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Gobernación 2022\STO PDD 2022\SGTO PDD III TRIMESTRE 2022\"/>
    </mc:Choice>
  </mc:AlternateContent>
  <bookViews>
    <workbookView xWindow="0" yWindow="0" windowWidth="24000" windowHeight="9045"/>
  </bookViews>
  <sheets>
    <sheet name="SGTO POAI 2022" sheetId="14" r:id="rId1"/>
    <sheet name="RESUMEN PROGRAMAS" sheetId="15" r:id="rId2"/>
    <sheet name="FUENTES POR UNIDAD" sheetId="21" r:id="rId3"/>
    <sheet name="LÍNEA ESTRATEGICA" sheetId="18" r:id="rId4"/>
    <sheet name="CONSOLIDADO UNIDADES" sheetId="22" r:id="rId5"/>
    <sheet name="RELACIÓN PROYECTOS" sheetId="20" r:id="rId6"/>
  </sheets>
  <definedNames>
    <definedName name="_1._Apoyo_con_equipos_para_la_seguridad_vial_Licenciamiento_de_software_para_comunicaciones" localSheetId="4">#REF!</definedName>
    <definedName name="_1._Apoyo_con_equipos_para_la_seguridad_vial_Licenciamiento_de_software_para_comunicaciones" localSheetId="2">#REF!</definedName>
    <definedName name="_1._Apoyo_con_equipos_para_la_seguridad_vial_Licenciamiento_de_software_para_comunicaciones">#REF!</definedName>
    <definedName name="_xlnm._FilterDatabase" localSheetId="2" hidden="1">'FUENTES POR UNIDAD'!$C$1:$C$83</definedName>
    <definedName name="_xlnm._FilterDatabase" localSheetId="5" hidden="1">'RELACIÓN PROYECTOS'!$A$2:$C$191</definedName>
    <definedName name="_xlnm._FilterDatabase" localSheetId="1" hidden="1">'RESUMEN PROGRAMAS'!$E$1:$E$192</definedName>
    <definedName name="_xlnm._FilterDatabase" localSheetId="0" hidden="1">'SGTO POAI 2022'!$A$7:$BO$302</definedName>
    <definedName name="aa" localSheetId="4">#REF!</definedName>
    <definedName name="aa" localSheetId="2">#REF!</definedName>
    <definedName name="aa">#REF!</definedName>
    <definedName name="CODIGO_DIVIPOLA" localSheetId="4">#REF!</definedName>
    <definedName name="CODIGO_DIVIPOLA" localSheetId="2">#REF!</definedName>
    <definedName name="CODIGO_DIVIPOLA">#REF!</definedName>
    <definedName name="DboREGISTRO_LEY_617" localSheetId="4">#REF!</definedName>
    <definedName name="DboREGISTRO_LEY_617" localSheetId="2">#REF!</definedName>
    <definedName name="DboREGISTRO_LEY_617">#REF!</definedName>
    <definedName name="ññ" localSheetId="4">#REF!</definedName>
    <definedName name="ññ" localSheetId="2">#REF!</definedName>
    <definedName name="ññ">#REF!</definedName>
  </definedNames>
  <calcPr calcId="162913"/>
</workbook>
</file>

<file path=xl/calcChain.xml><?xml version="1.0" encoding="utf-8"?>
<calcChain xmlns="http://schemas.openxmlformats.org/spreadsheetml/2006/main">
  <c r="H83" i="21" l="1"/>
  <c r="H81" i="21"/>
  <c r="H79" i="21"/>
  <c r="G191" i="20"/>
  <c r="E191" i="20"/>
  <c r="G188" i="20"/>
  <c r="E188" i="20"/>
  <c r="AW298" i="14" l="1"/>
  <c r="AW297" i="14"/>
  <c r="AW299" i="14"/>
  <c r="AW296" i="14"/>
  <c r="AI223" i="14" l="1"/>
  <c r="AN154" i="14" l="1"/>
  <c r="BF296" i="14" l="1"/>
  <c r="BF297" i="14"/>
  <c r="BF298" i="14"/>
  <c r="BF299" i="14"/>
  <c r="BF285" i="14"/>
  <c r="C182" i="20" s="1"/>
  <c r="D182" i="20" s="1"/>
  <c r="BF286" i="14"/>
  <c r="C183" i="20" s="1"/>
  <c r="D183" i="20" s="1"/>
  <c r="BF287" i="14"/>
  <c r="C185" i="20" s="1"/>
  <c r="D185" i="20" s="1"/>
  <c r="BF288" i="14"/>
  <c r="BF289" i="14"/>
  <c r="BF290" i="14"/>
  <c r="BF291" i="14"/>
  <c r="BF292" i="14"/>
  <c r="BF293" i="14"/>
  <c r="BF294" i="14"/>
  <c r="BF295" i="14"/>
  <c r="C188" i="20" s="1"/>
  <c r="F188" i="20" s="1"/>
  <c r="BF279" i="14"/>
  <c r="BF280" i="14"/>
  <c r="BF281" i="14"/>
  <c r="BF282" i="14"/>
  <c r="BF283" i="14"/>
  <c r="BF284" i="14"/>
  <c r="C179" i="20" s="1"/>
  <c r="D179" i="20" s="1"/>
  <c r="BF255" i="14"/>
  <c r="BF256" i="14"/>
  <c r="BF257" i="14"/>
  <c r="BF258" i="14"/>
  <c r="BF259" i="14"/>
  <c r="BF260" i="14"/>
  <c r="BF261" i="14"/>
  <c r="BF262" i="14"/>
  <c r="BF263" i="14"/>
  <c r="BF264" i="14"/>
  <c r="BF265" i="14"/>
  <c r="BF266" i="14"/>
  <c r="BF267" i="14"/>
  <c r="BF268" i="14"/>
  <c r="BF269" i="14"/>
  <c r="BF270" i="14"/>
  <c r="BF271" i="14"/>
  <c r="BF272" i="14"/>
  <c r="C172" i="20" s="1"/>
  <c r="D172" i="20" s="1"/>
  <c r="BF273" i="14"/>
  <c r="BF274" i="14"/>
  <c r="BF275" i="14"/>
  <c r="BF276" i="14"/>
  <c r="BF277" i="14"/>
  <c r="BF278" i="14"/>
  <c r="BF196" i="14"/>
  <c r="BF197" i="14"/>
  <c r="BF198" i="14"/>
  <c r="BF199" i="14"/>
  <c r="BF200" i="14"/>
  <c r="BF201" i="14"/>
  <c r="BF202" i="14"/>
  <c r="BF203" i="14"/>
  <c r="BF204" i="14"/>
  <c r="BF205" i="14"/>
  <c r="BF206" i="14"/>
  <c r="BF207" i="14"/>
  <c r="BF208" i="14"/>
  <c r="BF209" i="14"/>
  <c r="C145" i="20" s="1"/>
  <c r="D145" i="20" s="1"/>
  <c r="BF210" i="14"/>
  <c r="BF211" i="14"/>
  <c r="BF212" i="14"/>
  <c r="BF213" i="14"/>
  <c r="BF214" i="14"/>
  <c r="BF215" i="14"/>
  <c r="BF216" i="14"/>
  <c r="BF217" i="14"/>
  <c r="BF218" i="14"/>
  <c r="BF219" i="14"/>
  <c r="BF220" i="14"/>
  <c r="BF221" i="14"/>
  <c r="BF222" i="14"/>
  <c r="BF223" i="14"/>
  <c r="BF224" i="14"/>
  <c r="BF225" i="14"/>
  <c r="BF226" i="14"/>
  <c r="BF227" i="14"/>
  <c r="BF228" i="14"/>
  <c r="BF229" i="14"/>
  <c r="BF230" i="14"/>
  <c r="BF231" i="14"/>
  <c r="BF232" i="14"/>
  <c r="BF233" i="14"/>
  <c r="BF234" i="14"/>
  <c r="BF235" i="14"/>
  <c r="BF236" i="14"/>
  <c r="BF237" i="14"/>
  <c r="BF238" i="14"/>
  <c r="BF239" i="14"/>
  <c r="BF240" i="14"/>
  <c r="BF241" i="14"/>
  <c r="C156" i="20" s="1"/>
  <c r="D156" i="20" s="1"/>
  <c r="BF242" i="14"/>
  <c r="C157" i="20" s="1"/>
  <c r="D157" i="20" s="1"/>
  <c r="BF243" i="14"/>
  <c r="C158" i="20" s="1"/>
  <c r="D158" i="20" s="1"/>
  <c r="BF244" i="14"/>
  <c r="C159" i="20" s="1"/>
  <c r="D159" i="20" s="1"/>
  <c r="BF245" i="14"/>
  <c r="C160" i="20" s="1"/>
  <c r="D160" i="20" s="1"/>
  <c r="BF246" i="14"/>
  <c r="C161" i="20" s="1"/>
  <c r="D161" i="20" s="1"/>
  <c r="BF247" i="14"/>
  <c r="C162" i="20" s="1"/>
  <c r="D162" i="20" s="1"/>
  <c r="BF248" i="14"/>
  <c r="BF249" i="14"/>
  <c r="BF250" i="14"/>
  <c r="BF251" i="14"/>
  <c r="BF252" i="14"/>
  <c r="BF253" i="14"/>
  <c r="BF254" i="14"/>
  <c r="BF165" i="14"/>
  <c r="BF166" i="14"/>
  <c r="BF167" i="14"/>
  <c r="BF168" i="14"/>
  <c r="BF169" i="14"/>
  <c r="BF170" i="14"/>
  <c r="C116" i="20" s="1"/>
  <c r="D116" i="20" s="1"/>
  <c r="BF171" i="14"/>
  <c r="C117" i="20" s="1"/>
  <c r="BF172" i="14"/>
  <c r="C118" i="20" s="1"/>
  <c r="D118" i="20" s="1"/>
  <c r="BF173" i="14"/>
  <c r="BF174" i="14"/>
  <c r="BF175" i="14"/>
  <c r="BF176" i="14"/>
  <c r="C121" i="20" s="1"/>
  <c r="D121" i="20" s="1"/>
  <c r="BF177" i="14"/>
  <c r="BF178" i="14"/>
  <c r="C123" i="20" s="1"/>
  <c r="D123" i="20" s="1"/>
  <c r="BF179" i="14"/>
  <c r="BF180" i="14"/>
  <c r="C125" i="20" s="1"/>
  <c r="BF181" i="14"/>
  <c r="BF182" i="14"/>
  <c r="BF183" i="14"/>
  <c r="C127" i="20" s="1"/>
  <c r="D127" i="20" s="1"/>
  <c r="BF184" i="14"/>
  <c r="BF185" i="14"/>
  <c r="BF186" i="14"/>
  <c r="BF187" i="14"/>
  <c r="BF188" i="14"/>
  <c r="BF189" i="14"/>
  <c r="C132" i="20" s="1"/>
  <c r="D132" i="20" s="1"/>
  <c r="BF190" i="14"/>
  <c r="BF191" i="14"/>
  <c r="BF192" i="14"/>
  <c r="C136" i="20" s="1"/>
  <c r="D136" i="20" s="1"/>
  <c r="BF193" i="14"/>
  <c r="C137" i="20" s="1"/>
  <c r="D137" i="20" s="1"/>
  <c r="BF194" i="14"/>
  <c r="BF195" i="14"/>
  <c r="C139" i="20" s="1"/>
  <c r="D139" i="20" s="1"/>
  <c r="BF129" i="14"/>
  <c r="BF130" i="14"/>
  <c r="BF131" i="14"/>
  <c r="BF132" i="14"/>
  <c r="BF133" i="14"/>
  <c r="BF134" i="14"/>
  <c r="BF135" i="14"/>
  <c r="BF136" i="14"/>
  <c r="BF137" i="14"/>
  <c r="BF138" i="14"/>
  <c r="BF139" i="14"/>
  <c r="BF140" i="14"/>
  <c r="BF141" i="14"/>
  <c r="BF142" i="14"/>
  <c r="BF143" i="14"/>
  <c r="BF144" i="14"/>
  <c r="BF145" i="14"/>
  <c r="BF146" i="14"/>
  <c r="BF147" i="14"/>
  <c r="BF148" i="14"/>
  <c r="BF149" i="14"/>
  <c r="BF150" i="14"/>
  <c r="BF151" i="14"/>
  <c r="BF152" i="14"/>
  <c r="BF153" i="14"/>
  <c r="BF154" i="14"/>
  <c r="BF155" i="14"/>
  <c r="BF156" i="14"/>
  <c r="BF157" i="14"/>
  <c r="BF158" i="14"/>
  <c r="BF159" i="14"/>
  <c r="BF160" i="14"/>
  <c r="BF161" i="14"/>
  <c r="BF162" i="14"/>
  <c r="BF163" i="14"/>
  <c r="C108" i="20" s="1"/>
  <c r="D108" i="20" s="1"/>
  <c r="BF164" i="14"/>
  <c r="C110" i="20" s="1"/>
  <c r="C109" i="20" s="1"/>
  <c r="D109" i="20" s="1"/>
  <c r="BF126" i="14"/>
  <c r="C96" i="20" s="1"/>
  <c r="D96" i="20" s="1"/>
  <c r="BF127" i="14"/>
  <c r="BF128" i="14"/>
  <c r="C98" i="20" s="1"/>
  <c r="BF89" i="14"/>
  <c r="BF90" i="14"/>
  <c r="BF91" i="14"/>
  <c r="BF92" i="14"/>
  <c r="BF93" i="14"/>
  <c r="BF94" i="14"/>
  <c r="BF95" i="14"/>
  <c r="BF96" i="14"/>
  <c r="BF97" i="14"/>
  <c r="BF98" i="14"/>
  <c r="BF99" i="14"/>
  <c r="BF100" i="14"/>
  <c r="C79" i="20" s="1"/>
  <c r="D79" i="20" s="1"/>
  <c r="BF101" i="14"/>
  <c r="BF102" i="14"/>
  <c r="BF103" i="14"/>
  <c r="BF104" i="14"/>
  <c r="C82" i="20" s="1"/>
  <c r="D82" i="20" s="1"/>
  <c r="BF105" i="14"/>
  <c r="BF106" i="14"/>
  <c r="BF107" i="14"/>
  <c r="BF108" i="14"/>
  <c r="BF109" i="14"/>
  <c r="BF110" i="14"/>
  <c r="BF111" i="14"/>
  <c r="BF112" i="14"/>
  <c r="BF113" i="14"/>
  <c r="BF114" i="14"/>
  <c r="BF115" i="14"/>
  <c r="BF116" i="14"/>
  <c r="BF117" i="14"/>
  <c r="C89" i="20" s="1"/>
  <c r="D89" i="20" s="1"/>
  <c r="BF118" i="14"/>
  <c r="BF119" i="14"/>
  <c r="E104" i="15" s="1"/>
  <c r="F104" i="15" s="1"/>
  <c r="BF120" i="14"/>
  <c r="BF121" i="14"/>
  <c r="BF122" i="14"/>
  <c r="BF123" i="14"/>
  <c r="BF124" i="14"/>
  <c r="BF125" i="14"/>
  <c r="BF79" i="14"/>
  <c r="BF80" i="14"/>
  <c r="BF81" i="14"/>
  <c r="C68" i="20" s="1"/>
  <c r="D68" i="20" s="1"/>
  <c r="BF82" i="14"/>
  <c r="BF83" i="14"/>
  <c r="BF84" i="14"/>
  <c r="BF85" i="14"/>
  <c r="BF86" i="14"/>
  <c r="BF87" i="14"/>
  <c r="BF88" i="14"/>
  <c r="BF69" i="14"/>
  <c r="BF70" i="14"/>
  <c r="BF71" i="14"/>
  <c r="BF72" i="14"/>
  <c r="BF73" i="14"/>
  <c r="BF74" i="14"/>
  <c r="BF75" i="14"/>
  <c r="BF76" i="14"/>
  <c r="BF77" i="14"/>
  <c r="BF78" i="14"/>
  <c r="BF48" i="14"/>
  <c r="BF49" i="14"/>
  <c r="BF50" i="14"/>
  <c r="C47" i="20" s="1"/>
  <c r="D47" i="20" s="1"/>
  <c r="BF51" i="14"/>
  <c r="C48" i="20" s="1"/>
  <c r="BF52" i="14"/>
  <c r="BF53" i="14"/>
  <c r="BF54" i="14"/>
  <c r="BF55" i="14"/>
  <c r="BF56" i="14"/>
  <c r="BF57" i="14"/>
  <c r="C50" i="20" s="1"/>
  <c r="D50" i="20" s="1"/>
  <c r="BF58" i="14"/>
  <c r="C51" i="20" s="1"/>
  <c r="D51" i="20" s="1"/>
  <c r="BF59" i="14"/>
  <c r="C52" i="20" s="1"/>
  <c r="D52" i="20" s="1"/>
  <c r="BF60" i="14"/>
  <c r="C54" i="20" s="1"/>
  <c r="D54" i="20" s="1"/>
  <c r="BF61" i="14"/>
  <c r="BF62" i="14"/>
  <c r="BF63" i="14"/>
  <c r="BF64" i="14"/>
  <c r="C57" i="20" s="1"/>
  <c r="D57" i="20" s="1"/>
  <c r="BF65" i="14"/>
  <c r="BF66" i="14"/>
  <c r="BF67" i="14"/>
  <c r="BF68" i="14"/>
  <c r="BF26" i="14"/>
  <c r="C24" i="20" s="1"/>
  <c r="D24" i="20" s="1"/>
  <c r="BF28" i="14"/>
  <c r="E30" i="15" s="1"/>
  <c r="F30" i="15" s="1"/>
  <c r="BF29" i="14"/>
  <c r="BF27" i="14"/>
  <c r="C27" i="20" s="1"/>
  <c r="D27" i="20" s="1"/>
  <c r="BF30" i="14"/>
  <c r="C28" i="20" s="1"/>
  <c r="D28" i="20" s="1"/>
  <c r="BF31" i="14"/>
  <c r="E36" i="15" s="1"/>
  <c r="E35" i="15" s="1"/>
  <c r="F35" i="15" s="1"/>
  <c r="BF33" i="14"/>
  <c r="BF32" i="14"/>
  <c r="C32" i="20" s="1"/>
  <c r="BF34" i="14"/>
  <c r="BF35" i="14"/>
  <c r="BF36" i="14"/>
  <c r="BF37" i="14"/>
  <c r="BF38" i="14"/>
  <c r="BF39" i="14"/>
  <c r="C38" i="20" s="1"/>
  <c r="D38" i="20" s="1"/>
  <c r="BF40" i="14"/>
  <c r="BF41" i="14"/>
  <c r="BF42" i="14"/>
  <c r="BF43" i="14"/>
  <c r="BF44" i="14"/>
  <c r="BF45" i="14"/>
  <c r="BF46" i="14"/>
  <c r="C41" i="20" s="1"/>
  <c r="D41" i="20" s="1"/>
  <c r="BF47" i="14"/>
  <c r="C42" i="20" s="1"/>
  <c r="BF24" i="14"/>
  <c r="BF25" i="14"/>
  <c r="BF12" i="14"/>
  <c r="C11" i="20" s="1"/>
  <c r="D11" i="20" s="1"/>
  <c r="BF13" i="14"/>
  <c r="C12" i="20" s="1"/>
  <c r="BF14" i="14"/>
  <c r="BF15" i="14"/>
  <c r="C14" i="20" s="1"/>
  <c r="D14" i="20" s="1"/>
  <c r="BF16" i="14"/>
  <c r="C15" i="20" s="1"/>
  <c r="D15" i="20" s="1"/>
  <c r="BF17" i="14"/>
  <c r="BF18" i="14"/>
  <c r="BF19" i="14"/>
  <c r="BF20" i="14"/>
  <c r="BF21" i="14"/>
  <c r="BF22" i="14"/>
  <c r="BF23" i="14"/>
  <c r="C17" i="20" s="1"/>
  <c r="D17" i="20" s="1"/>
  <c r="BF8" i="14"/>
  <c r="C5" i="20" s="1"/>
  <c r="D5" i="20" s="1"/>
  <c r="BF9" i="14"/>
  <c r="BF10" i="14"/>
  <c r="BF11" i="14"/>
  <c r="C8" i="20" s="1"/>
  <c r="D8" i="20" s="1"/>
  <c r="BH295" i="14"/>
  <c r="G190" i="20" s="1"/>
  <c r="BG295" i="14"/>
  <c r="BH285" i="14"/>
  <c r="BH286" i="14"/>
  <c r="G183" i="20" s="1"/>
  <c r="BH287" i="14"/>
  <c r="G185" i="20" s="1"/>
  <c r="BH288" i="14"/>
  <c r="BH289" i="14"/>
  <c r="BH290" i="14"/>
  <c r="BH291" i="14"/>
  <c r="BH292" i="14"/>
  <c r="BH293" i="14"/>
  <c r="BH294" i="14"/>
  <c r="G187" i="20"/>
  <c r="BG285" i="14"/>
  <c r="BG286" i="14"/>
  <c r="E183" i="20" s="1"/>
  <c r="BG287" i="14"/>
  <c r="E185" i="20" s="1"/>
  <c r="BG288" i="14"/>
  <c r="BG289" i="14"/>
  <c r="BG290" i="14"/>
  <c r="BG291" i="14"/>
  <c r="BG292" i="14"/>
  <c r="BG293" i="14"/>
  <c r="BG294" i="14"/>
  <c r="E187" i="20"/>
  <c r="H187" i="20" s="1"/>
  <c r="H188" i="20"/>
  <c r="BH279" i="14"/>
  <c r="BH280" i="14"/>
  <c r="BH281" i="14"/>
  <c r="BH282" i="14"/>
  <c r="BH283" i="14"/>
  <c r="G178" i="20" s="1"/>
  <c r="BH284" i="14"/>
  <c r="BG279" i="14"/>
  <c r="BG280" i="14"/>
  <c r="BG281" i="14"/>
  <c r="BG282" i="14"/>
  <c r="BG283" i="14"/>
  <c r="E178" i="20" s="1"/>
  <c r="BG284" i="14"/>
  <c r="BH255" i="14"/>
  <c r="BH256" i="14"/>
  <c r="BH257" i="14"/>
  <c r="BH258" i="14"/>
  <c r="BH259" i="14"/>
  <c r="BH260" i="14"/>
  <c r="BH261" i="14"/>
  <c r="BH262" i="14"/>
  <c r="BH263" i="14"/>
  <c r="BH264" i="14"/>
  <c r="BH265" i="14"/>
  <c r="BH266" i="14"/>
  <c r="BH267" i="14"/>
  <c r="BH268" i="14"/>
  <c r="AV269" i="14"/>
  <c r="BH270" i="14"/>
  <c r="BH271" i="14"/>
  <c r="BH272" i="14"/>
  <c r="BH273" i="14"/>
  <c r="BH274" i="14"/>
  <c r="BH275" i="14"/>
  <c r="BH276" i="14"/>
  <c r="BH277" i="14"/>
  <c r="BH278" i="14"/>
  <c r="BG255" i="14"/>
  <c r="BG256" i="14"/>
  <c r="BG257" i="14"/>
  <c r="BG258" i="14"/>
  <c r="BG259" i="14"/>
  <c r="BG260" i="14"/>
  <c r="BG261" i="14"/>
  <c r="BG262" i="14"/>
  <c r="BG263" i="14"/>
  <c r="BG264" i="14"/>
  <c r="BG265" i="14"/>
  <c r="BG266" i="14"/>
  <c r="BG267" i="14"/>
  <c r="BG268" i="14"/>
  <c r="BG269" i="14"/>
  <c r="BG270" i="14"/>
  <c r="BG271" i="14"/>
  <c r="BG272" i="14"/>
  <c r="BG273" i="14"/>
  <c r="BG274" i="14"/>
  <c r="BG275" i="14"/>
  <c r="BG276" i="14"/>
  <c r="BG277" i="14"/>
  <c r="BG278" i="14"/>
  <c r="BH296" i="14"/>
  <c r="BH297" i="14"/>
  <c r="BH298" i="14"/>
  <c r="BH299" i="14"/>
  <c r="BH196" i="14"/>
  <c r="BH197" i="14"/>
  <c r="BH198" i="14"/>
  <c r="BH199" i="14"/>
  <c r="BH200" i="14"/>
  <c r="BH201" i="14"/>
  <c r="BH202" i="14"/>
  <c r="BH203" i="14"/>
  <c r="BH204" i="14"/>
  <c r="BH205" i="14"/>
  <c r="BH206" i="14"/>
  <c r="BH207" i="14"/>
  <c r="BH208" i="14"/>
  <c r="BH209" i="14"/>
  <c r="G145" i="20" s="1"/>
  <c r="BH210" i="14"/>
  <c r="BH211" i="14"/>
  <c r="BH212" i="14"/>
  <c r="BH213" i="14"/>
  <c r="BH214" i="14"/>
  <c r="BH215" i="14"/>
  <c r="BH216" i="14"/>
  <c r="BH217" i="14"/>
  <c r="BH218" i="14"/>
  <c r="BH219" i="14"/>
  <c r="BH220" i="14"/>
  <c r="BH221" i="14"/>
  <c r="BH222" i="14"/>
  <c r="AJ225" i="14"/>
  <c r="BH225" i="14" s="1"/>
  <c r="BH226" i="14"/>
  <c r="BH224" i="14"/>
  <c r="BH227" i="14"/>
  <c r="BH228" i="14"/>
  <c r="BH229" i="14"/>
  <c r="BH230" i="14"/>
  <c r="BH231" i="14"/>
  <c r="BH232" i="14"/>
  <c r="BH233" i="14"/>
  <c r="BH234" i="14"/>
  <c r="BH235" i="14"/>
  <c r="BH236" i="14"/>
  <c r="BH237" i="14"/>
  <c r="BH238" i="14"/>
  <c r="BH239" i="14"/>
  <c r="BH240" i="14"/>
  <c r="BH241" i="14"/>
  <c r="G156" i="20" s="1"/>
  <c r="BH242" i="14"/>
  <c r="G157" i="20" s="1"/>
  <c r="BH243" i="14"/>
  <c r="G158" i="20" s="1"/>
  <c r="BH244" i="14"/>
  <c r="G159" i="20" s="1"/>
  <c r="BH245" i="14"/>
  <c r="G160" i="20" s="1"/>
  <c r="BH246" i="14"/>
  <c r="G161" i="20" s="1"/>
  <c r="BH247" i="14"/>
  <c r="G162" i="20" s="1"/>
  <c r="BH248" i="14"/>
  <c r="BH249" i="14"/>
  <c r="BH250" i="14"/>
  <c r="BH251" i="14"/>
  <c r="BH252" i="14"/>
  <c r="BH253" i="14"/>
  <c r="BH254" i="14"/>
  <c r="BH165" i="14"/>
  <c r="BH166" i="14"/>
  <c r="BH167" i="14"/>
  <c r="G114" i="20" s="1"/>
  <c r="BH168" i="14"/>
  <c r="BH169" i="14"/>
  <c r="BH170" i="14"/>
  <c r="G116" i="20" s="1"/>
  <c r="BH171" i="14"/>
  <c r="G117" i="20" s="1"/>
  <c r="BH172" i="14"/>
  <c r="G118" i="20" s="1"/>
  <c r="BH173" i="14"/>
  <c r="G119" i="20" s="1"/>
  <c r="BH174" i="14"/>
  <c r="BH175" i="14"/>
  <c r="BH176" i="14"/>
  <c r="G121" i="20" s="1"/>
  <c r="BH177" i="14"/>
  <c r="BH178" i="14"/>
  <c r="G123" i="20" s="1"/>
  <c r="BH179" i="14"/>
  <c r="G124" i="20" s="1"/>
  <c r="BH180" i="14"/>
  <c r="G125" i="20" s="1"/>
  <c r="BH181" i="14"/>
  <c r="BH182" i="14"/>
  <c r="BH183" i="14"/>
  <c r="G127" i="20" s="1"/>
  <c r="BH184" i="14"/>
  <c r="BH185" i="14"/>
  <c r="BH186" i="14"/>
  <c r="G129" i="20" s="1"/>
  <c r="BH187" i="14"/>
  <c r="BH188" i="14"/>
  <c r="BH189" i="14"/>
  <c r="G132" i="20" s="1"/>
  <c r="BH190" i="14"/>
  <c r="G133" i="20" s="1"/>
  <c r="BH191" i="14"/>
  <c r="G135" i="20" s="1"/>
  <c r="BH192" i="14"/>
  <c r="G136" i="20" s="1"/>
  <c r="BH193" i="14"/>
  <c r="G137" i="20" s="1"/>
  <c r="BH194" i="14"/>
  <c r="G138" i="20" s="1"/>
  <c r="BH195" i="14"/>
  <c r="G139" i="20" s="1"/>
  <c r="BH129" i="14"/>
  <c r="BH130" i="14"/>
  <c r="BH131" i="14"/>
  <c r="BH132" i="14"/>
  <c r="BH133" i="14"/>
  <c r="BH134" i="14"/>
  <c r="BH135" i="14"/>
  <c r="BH136" i="14"/>
  <c r="BH137" i="14"/>
  <c r="BH138" i="14"/>
  <c r="BH139" i="14"/>
  <c r="BH140" i="14"/>
  <c r="BH141" i="14"/>
  <c r="BH142" i="14"/>
  <c r="BH143" i="14"/>
  <c r="BH144" i="14"/>
  <c r="BH145" i="14"/>
  <c r="BH146" i="14"/>
  <c r="BH147" i="14"/>
  <c r="BH148" i="14"/>
  <c r="BH149" i="14"/>
  <c r="BH150" i="14"/>
  <c r="BH151" i="14"/>
  <c r="BH152" i="14"/>
  <c r="BH153" i="14"/>
  <c r="BH154" i="14"/>
  <c r="BH155" i="14"/>
  <c r="BH156" i="14"/>
  <c r="BH157" i="14"/>
  <c r="BH158" i="14"/>
  <c r="BH159" i="14"/>
  <c r="BH160" i="14"/>
  <c r="BH161" i="14"/>
  <c r="BH162" i="14"/>
  <c r="BH163" i="14"/>
  <c r="G108" i="20" s="1"/>
  <c r="BH164" i="14"/>
  <c r="G110" i="20" s="1"/>
  <c r="G109" i="20" s="1"/>
  <c r="BH126" i="14"/>
  <c r="G96" i="20" s="1"/>
  <c r="BH127" i="14"/>
  <c r="G97" i="20" s="1"/>
  <c r="BH128" i="14"/>
  <c r="G98" i="20" s="1"/>
  <c r="BH89" i="14"/>
  <c r="BH90" i="14"/>
  <c r="BH91" i="14"/>
  <c r="BH92" i="14"/>
  <c r="BH93" i="14"/>
  <c r="BH94" i="14"/>
  <c r="BH95" i="14"/>
  <c r="BH96" i="14"/>
  <c r="BH97" i="14"/>
  <c r="BH98" i="14"/>
  <c r="BH99" i="14"/>
  <c r="G78" i="20" s="1"/>
  <c r="BH100" i="14"/>
  <c r="G79" i="20" s="1"/>
  <c r="BH101" i="14"/>
  <c r="BH102" i="14"/>
  <c r="BH103" i="14"/>
  <c r="BH104" i="14"/>
  <c r="G82" i="20" s="1"/>
  <c r="BH105" i="14"/>
  <c r="BH106" i="14"/>
  <c r="BH107" i="14"/>
  <c r="BH108" i="14"/>
  <c r="BH109" i="14"/>
  <c r="BH110" i="14"/>
  <c r="BH111" i="14"/>
  <c r="BH112" i="14"/>
  <c r="BH113" i="14"/>
  <c r="BH114" i="14"/>
  <c r="BH115" i="14"/>
  <c r="BH116" i="14"/>
  <c r="BH117" i="14"/>
  <c r="BH118" i="14"/>
  <c r="G90" i="20" s="1"/>
  <c r="BH119" i="14"/>
  <c r="BH120" i="14"/>
  <c r="BH121" i="14"/>
  <c r="BH122" i="14"/>
  <c r="BH123" i="14"/>
  <c r="BH124" i="14"/>
  <c r="BH125" i="14"/>
  <c r="BH79" i="14"/>
  <c r="BH80" i="14"/>
  <c r="BH81" i="14"/>
  <c r="G68" i="20" s="1"/>
  <c r="BH82" i="14"/>
  <c r="BH83" i="14"/>
  <c r="BH84" i="14"/>
  <c r="G70" i="20" s="1"/>
  <c r="BH85" i="14"/>
  <c r="BH86" i="14"/>
  <c r="BH87" i="14"/>
  <c r="BH88" i="14"/>
  <c r="BH69" i="14"/>
  <c r="BH70" i="14"/>
  <c r="BH71" i="14"/>
  <c r="BH72" i="14"/>
  <c r="BH73" i="14"/>
  <c r="BH74" i="14"/>
  <c r="BH75" i="14"/>
  <c r="BH76" i="14"/>
  <c r="G63" i="20" s="1"/>
  <c r="BH77" i="14"/>
  <c r="BH78" i="14"/>
  <c r="BH48" i="14"/>
  <c r="G45" i="20" s="1"/>
  <c r="BH49" i="14"/>
  <c r="G46" i="20" s="1"/>
  <c r="BH50" i="14"/>
  <c r="G47" i="20" s="1"/>
  <c r="BH51" i="14"/>
  <c r="G48" i="20" s="1"/>
  <c r="BH52" i="14"/>
  <c r="BH53" i="14"/>
  <c r="BH54" i="14"/>
  <c r="BH55" i="14"/>
  <c r="BH56" i="14"/>
  <c r="BH57" i="14"/>
  <c r="G50" i="20" s="1"/>
  <c r="BH58" i="14"/>
  <c r="BH59" i="14"/>
  <c r="G52" i="20" s="1"/>
  <c r="BH60" i="14"/>
  <c r="G54" i="20" s="1"/>
  <c r="BH61" i="14"/>
  <c r="BH62" i="14"/>
  <c r="BH63" i="14"/>
  <c r="BH64" i="14"/>
  <c r="G57" i="20" s="1"/>
  <c r="BH66" i="14"/>
  <c r="BH67" i="14"/>
  <c r="BH68" i="14"/>
  <c r="BH26" i="14"/>
  <c r="G24" i="20" s="1"/>
  <c r="BH28" i="14"/>
  <c r="BH29" i="14"/>
  <c r="BH27" i="14"/>
  <c r="G27" i="20" s="1"/>
  <c r="BH30" i="14"/>
  <c r="G28" i="20" s="1"/>
  <c r="BH31" i="14"/>
  <c r="G29" i="20" s="1"/>
  <c r="BH33" i="14"/>
  <c r="G31" i="20" s="1"/>
  <c r="BH32" i="14"/>
  <c r="BH34" i="14"/>
  <c r="BH35" i="14"/>
  <c r="BH36" i="14"/>
  <c r="BH37" i="14"/>
  <c r="BH38" i="14"/>
  <c r="BH39" i="14"/>
  <c r="BH40" i="14"/>
  <c r="BH41" i="14"/>
  <c r="BH42" i="14"/>
  <c r="BH43" i="14"/>
  <c r="BH44" i="14"/>
  <c r="BH45" i="14"/>
  <c r="BH46" i="14"/>
  <c r="G41" i="20" s="1"/>
  <c r="BH47" i="14"/>
  <c r="G42" i="20" s="1"/>
  <c r="BH24" i="14"/>
  <c r="BH25" i="14"/>
  <c r="G21" i="20" s="1"/>
  <c r="BH12" i="14"/>
  <c r="BH13" i="14"/>
  <c r="BH14" i="14"/>
  <c r="G13" i="20" s="1"/>
  <c r="BH15" i="14"/>
  <c r="G14" i="20" s="1"/>
  <c r="BH16" i="14"/>
  <c r="BH17" i="14"/>
  <c r="BH18" i="14"/>
  <c r="BH19" i="14"/>
  <c r="BH20" i="14"/>
  <c r="BH21" i="14"/>
  <c r="BH22" i="14"/>
  <c r="BH23" i="14"/>
  <c r="G17" i="20" s="1"/>
  <c r="BH8" i="14"/>
  <c r="BH9" i="14"/>
  <c r="G6" i="20" s="1"/>
  <c r="BH10" i="14"/>
  <c r="G7" i="20" s="1"/>
  <c r="BH11" i="14"/>
  <c r="G8" i="20" s="1"/>
  <c r="BG296" i="14"/>
  <c r="BG297" i="14"/>
  <c r="BG298" i="14"/>
  <c r="BG299" i="14"/>
  <c r="BG196" i="14"/>
  <c r="BG197" i="14"/>
  <c r="BG198" i="14"/>
  <c r="BG199" i="14"/>
  <c r="BG200" i="14"/>
  <c r="BG201" i="14"/>
  <c r="BG202" i="14"/>
  <c r="BG203" i="14"/>
  <c r="BG204" i="14"/>
  <c r="BG205" i="14"/>
  <c r="BG206" i="14"/>
  <c r="BG207" i="14"/>
  <c r="BG208" i="14"/>
  <c r="BG209" i="14"/>
  <c r="E145" i="20" s="1"/>
  <c r="BG210" i="14"/>
  <c r="BG211" i="14"/>
  <c r="BG212" i="14"/>
  <c r="BG213" i="14"/>
  <c r="BG214" i="14"/>
  <c r="BG215" i="14"/>
  <c r="BG216" i="14"/>
  <c r="BG217" i="14"/>
  <c r="BG218" i="14"/>
  <c r="BG219" i="14"/>
  <c r="BG220" i="14"/>
  <c r="BG221" i="14"/>
  <c r="BG222" i="14"/>
  <c r="BG223" i="14"/>
  <c r="BG224" i="14"/>
  <c r="BG225" i="14"/>
  <c r="BG226" i="14"/>
  <c r="BG228" i="14"/>
  <c r="BG229" i="14"/>
  <c r="BG230" i="14"/>
  <c r="BG231" i="14"/>
  <c r="BG232" i="14"/>
  <c r="BG233" i="14"/>
  <c r="BG234" i="14"/>
  <c r="BG235" i="14"/>
  <c r="BG236" i="14"/>
  <c r="BG237" i="14"/>
  <c r="BG238" i="14"/>
  <c r="BG239" i="14"/>
  <c r="BG240" i="14"/>
  <c r="BG241" i="14"/>
  <c r="E156" i="20" s="1"/>
  <c r="BG242" i="14"/>
  <c r="E157" i="20" s="1"/>
  <c r="BG243" i="14"/>
  <c r="E158" i="20" s="1"/>
  <c r="BG244" i="14"/>
  <c r="E159" i="20" s="1"/>
  <c r="BG245" i="14"/>
  <c r="E160" i="20" s="1"/>
  <c r="BG246" i="14"/>
  <c r="E161" i="20" s="1"/>
  <c r="BG247" i="14"/>
  <c r="E162" i="20" s="1"/>
  <c r="BG248" i="14"/>
  <c r="BG249" i="14"/>
  <c r="BG250" i="14"/>
  <c r="BG251" i="14"/>
  <c r="BG252" i="14"/>
  <c r="BG253" i="14"/>
  <c r="BG254" i="14"/>
  <c r="BG165" i="14"/>
  <c r="BG166" i="14"/>
  <c r="BG167" i="14"/>
  <c r="BG168" i="14"/>
  <c r="BG169" i="14"/>
  <c r="BG170" i="14"/>
  <c r="E116" i="20" s="1"/>
  <c r="BG171" i="14"/>
  <c r="BG172" i="14"/>
  <c r="E118" i="20" s="1"/>
  <c r="BG173" i="14"/>
  <c r="E119" i="20" s="1"/>
  <c r="BG174" i="14"/>
  <c r="BG175" i="14"/>
  <c r="BG176" i="14"/>
  <c r="E121" i="20" s="1"/>
  <c r="BG177" i="14"/>
  <c r="E122" i="20" s="1"/>
  <c r="BG178" i="14"/>
  <c r="E123" i="20" s="1"/>
  <c r="BG179" i="14"/>
  <c r="BG180" i="14"/>
  <c r="E125" i="20" s="1"/>
  <c r="BG181" i="14"/>
  <c r="BG182" i="14"/>
  <c r="BG183" i="14"/>
  <c r="E127" i="20" s="1"/>
  <c r="BG184" i="14"/>
  <c r="BG185" i="14"/>
  <c r="BG186" i="14"/>
  <c r="BG187" i="14"/>
  <c r="BG188" i="14"/>
  <c r="BG189" i="14"/>
  <c r="E132" i="20" s="1"/>
  <c r="BG190" i="14"/>
  <c r="E133" i="20" s="1"/>
  <c r="BG191" i="14"/>
  <c r="E135" i="20" s="1"/>
  <c r="BG192" i="14"/>
  <c r="E136" i="20" s="1"/>
  <c r="BG193" i="14"/>
  <c r="BG194" i="14"/>
  <c r="E138" i="20" s="1"/>
  <c r="BG195" i="14"/>
  <c r="E139" i="20" s="1"/>
  <c r="BG129" i="14"/>
  <c r="BG130" i="14"/>
  <c r="BG131" i="14"/>
  <c r="BG132" i="14"/>
  <c r="BG133" i="14"/>
  <c r="BG134" i="14"/>
  <c r="BG135" i="14"/>
  <c r="BG136" i="14"/>
  <c r="BG137" i="14"/>
  <c r="BG138" i="14"/>
  <c r="BG139" i="14"/>
  <c r="BG140" i="14"/>
  <c r="BG141" i="14"/>
  <c r="BG142" i="14"/>
  <c r="BG143" i="14"/>
  <c r="BG144" i="14"/>
  <c r="BG145" i="14"/>
  <c r="BG146" i="14"/>
  <c r="BG147" i="14"/>
  <c r="BG148" i="14"/>
  <c r="BG149" i="14"/>
  <c r="BG150" i="14"/>
  <c r="BG151" i="14"/>
  <c r="BG152" i="14"/>
  <c r="BG153" i="14"/>
  <c r="BG154" i="14"/>
  <c r="BG155" i="14"/>
  <c r="BG156" i="14"/>
  <c r="BG157" i="14"/>
  <c r="BG158" i="14"/>
  <c r="BG159" i="14"/>
  <c r="BG160" i="14"/>
  <c r="BG161" i="14"/>
  <c r="BG162" i="14"/>
  <c r="BG163" i="14"/>
  <c r="E108" i="20" s="1"/>
  <c r="BG164" i="14"/>
  <c r="E110" i="20" s="1"/>
  <c r="BG126" i="14"/>
  <c r="BG127" i="14"/>
  <c r="E97" i="20" s="1"/>
  <c r="BG128" i="14"/>
  <c r="E98" i="20" s="1"/>
  <c r="BG89" i="14"/>
  <c r="BG90" i="14"/>
  <c r="BG91" i="14"/>
  <c r="BG92" i="14"/>
  <c r="BG93" i="14"/>
  <c r="BG94" i="14"/>
  <c r="BG95" i="14"/>
  <c r="BG96" i="14"/>
  <c r="BG97" i="14"/>
  <c r="BG98" i="14"/>
  <c r="BG99" i="14"/>
  <c r="E78" i="20" s="1"/>
  <c r="BG100" i="14"/>
  <c r="BG101" i="14"/>
  <c r="BG102" i="14"/>
  <c r="BG103" i="14"/>
  <c r="BG104" i="14"/>
  <c r="E82" i="20" s="1"/>
  <c r="BG105" i="14"/>
  <c r="BG106" i="14"/>
  <c r="BG107" i="14"/>
  <c r="BG108" i="14"/>
  <c r="BG109" i="14"/>
  <c r="BG110" i="14"/>
  <c r="BG111" i="14"/>
  <c r="BG112" i="14"/>
  <c r="BG113" i="14"/>
  <c r="BG114" i="14"/>
  <c r="BG115" i="14"/>
  <c r="BG116" i="14"/>
  <c r="BG117" i="14"/>
  <c r="E89" i="20" s="1"/>
  <c r="BG118" i="14"/>
  <c r="E90" i="20" s="1"/>
  <c r="BG119" i="14"/>
  <c r="BG120" i="14"/>
  <c r="BG121" i="14"/>
  <c r="BG122" i="14"/>
  <c r="BG123" i="14"/>
  <c r="BG124" i="14"/>
  <c r="BG125" i="14"/>
  <c r="BG79" i="14"/>
  <c r="BG80" i="14"/>
  <c r="BG81" i="14"/>
  <c r="E68" i="20" s="1"/>
  <c r="BG82" i="14"/>
  <c r="BG83" i="14"/>
  <c r="BG84" i="14"/>
  <c r="E70" i="20" s="1"/>
  <c r="BG85" i="14"/>
  <c r="BG86" i="14"/>
  <c r="BG87" i="14"/>
  <c r="BG88" i="14"/>
  <c r="BG69" i="14"/>
  <c r="BG70" i="14"/>
  <c r="BG71" i="14"/>
  <c r="BG72" i="14"/>
  <c r="BG73" i="14"/>
  <c r="BG74" i="14"/>
  <c r="BG75" i="14"/>
  <c r="BG76" i="14"/>
  <c r="E63" i="20" s="1"/>
  <c r="BG77" i="14"/>
  <c r="BG78" i="14"/>
  <c r="BG48" i="14"/>
  <c r="BG49" i="14"/>
  <c r="E46" i="20" s="1"/>
  <c r="BG50" i="14"/>
  <c r="E47" i="20" s="1"/>
  <c r="BG51" i="14"/>
  <c r="E48" i="20" s="1"/>
  <c r="BG52" i="14"/>
  <c r="BG53" i="14"/>
  <c r="BG54" i="14"/>
  <c r="BG55" i="14"/>
  <c r="BG56" i="14"/>
  <c r="BG57" i="14"/>
  <c r="E50" i="20" s="1"/>
  <c r="BG58" i="14"/>
  <c r="E51" i="20" s="1"/>
  <c r="BG59" i="14"/>
  <c r="E52" i="20" s="1"/>
  <c r="BG60" i="14"/>
  <c r="E54" i="20" s="1"/>
  <c r="BG61" i="14"/>
  <c r="BG62" i="14"/>
  <c r="BG63" i="14"/>
  <c r="BG64" i="14"/>
  <c r="E57" i="20" s="1"/>
  <c r="BG65" i="14"/>
  <c r="BG66" i="14"/>
  <c r="BG67" i="14"/>
  <c r="BG68" i="14"/>
  <c r="BG26" i="14"/>
  <c r="E24" i="20" s="1"/>
  <c r="BG28" i="14"/>
  <c r="E25" i="20" s="1"/>
  <c r="BG29" i="14"/>
  <c r="E26" i="20" s="1"/>
  <c r="BG27" i="14"/>
  <c r="E27" i="20" s="1"/>
  <c r="BG30" i="14"/>
  <c r="E28" i="20" s="1"/>
  <c r="BG31" i="14"/>
  <c r="E29" i="20" s="1"/>
  <c r="BG33" i="14"/>
  <c r="E31" i="20" s="1"/>
  <c r="BG32" i="14"/>
  <c r="E32" i="20" s="1"/>
  <c r="BG34" i="14"/>
  <c r="BG35" i="14"/>
  <c r="BG36" i="14"/>
  <c r="E35" i="20" s="1"/>
  <c r="BG37" i="14"/>
  <c r="E36" i="20" s="1"/>
  <c r="BG38" i="14"/>
  <c r="BG39" i="14"/>
  <c r="E38" i="20" s="1"/>
  <c r="BG40" i="14"/>
  <c r="BG41" i="14"/>
  <c r="BG42" i="14"/>
  <c r="BG43" i="14"/>
  <c r="BG44" i="14"/>
  <c r="BG45" i="14"/>
  <c r="BG46" i="14"/>
  <c r="E41" i="20" s="1"/>
  <c r="BG47" i="14"/>
  <c r="E42" i="20" s="1"/>
  <c r="BG24" i="14"/>
  <c r="E20" i="20" s="1"/>
  <c r="BG25" i="14"/>
  <c r="BG12" i="14"/>
  <c r="E11" i="20" s="1"/>
  <c r="BG13" i="14"/>
  <c r="E12" i="20" s="1"/>
  <c r="BG14" i="14"/>
  <c r="BG15" i="14"/>
  <c r="E14" i="20" s="1"/>
  <c r="BG16" i="14"/>
  <c r="E15" i="20" s="1"/>
  <c r="BG17" i="14"/>
  <c r="BG18" i="14"/>
  <c r="BG19" i="14"/>
  <c r="BG20" i="14"/>
  <c r="BG21" i="14"/>
  <c r="BG22" i="14"/>
  <c r="BG23" i="14"/>
  <c r="E17" i="20" s="1"/>
  <c r="BG8" i="14"/>
  <c r="E5" i="20" s="1"/>
  <c r="BG9" i="14"/>
  <c r="E6" i="20" s="1"/>
  <c r="BG10" i="14"/>
  <c r="E7" i="20" s="1"/>
  <c r="BG11" i="14"/>
  <c r="E8" i="20" s="1"/>
  <c r="G76" i="21"/>
  <c r="E76" i="21"/>
  <c r="C76" i="21"/>
  <c r="G75" i="21"/>
  <c r="E75" i="21"/>
  <c r="C75" i="21"/>
  <c r="D75" i="21" s="1"/>
  <c r="AT108" i="14"/>
  <c r="AT107" i="14"/>
  <c r="AT89" i="14"/>
  <c r="AT91" i="14"/>
  <c r="E68" i="21"/>
  <c r="G68" i="21"/>
  <c r="E69" i="21"/>
  <c r="G69" i="21"/>
  <c r="E70" i="21"/>
  <c r="G70" i="21"/>
  <c r="E71" i="21"/>
  <c r="G71" i="21"/>
  <c r="E72" i="21"/>
  <c r="G72" i="21"/>
  <c r="E56" i="21"/>
  <c r="G56" i="21"/>
  <c r="E58" i="21"/>
  <c r="G58" i="21"/>
  <c r="E59" i="21"/>
  <c r="G59" i="21"/>
  <c r="E60" i="21"/>
  <c r="G60" i="21"/>
  <c r="E44" i="21"/>
  <c r="G44" i="21"/>
  <c r="E45" i="21"/>
  <c r="G45" i="21"/>
  <c r="E46" i="21"/>
  <c r="G46" i="21"/>
  <c r="E47" i="21"/>
  <c r="G47" i="21"/>
  <c r="E48" i="21"/>
  <c r="G48" i="21"/>
  <c r="E49" i="21"/>
  <c r="G49" i="21"/>
  <c r="E20" i="22"/>
  <c r="C34" i="22" s="1"/>
  <c r="E16" i="22"/>
  <c r="C25" i="22"/>
  <c r="G79" i="21"/>
  <c r="G78" i="21" s="1"/>
  <c r="E79" i="21"/>
  <c r="E78" i="21" s="1"/>
  <c r="C79" i="21"/>
  <c r="C72" i="21"/>
  <c r="D72" i="21" s="1"/>
  <c r="C71" i="21"/>
  <c r="D71" i="21" s="1"/>
  <c r="C70" i="21"/>
  <c r="D70" i="21" s="1"/>
  <c r="C69" i="21"/>
  <c r="D69" i="21" s="1"/>
  <c r="C68" i="21"/>
  <c r="D68" i="21" s="1"/>
  <c r="E63" i="21"/>
  <c r="E62" i="21" s="1"/>
  <c r="C63" i="21"/>
  <c r="C62" i="21" s="1"/>
  <c r="C60" i="21"/>
  <c r="C59" i="21"/>
  <c r="D59" i="21" s="1"/>
  <c r="C58" i="21"/>
  <c r="C57" i="21"/>
  <c r="D57" i="21" s="1"/>
  <c r="C56" i="21"/>
  <c r="D56" i="21" s="1"/>
  <c r="G53" i="21"/>
  <c r="E53" i="21"/>
  <c r="C53" i="21"/>
  <c r="G52" i="21"/>
  <c r="E52" i="21"/>
  <c r="C52" i="21"/>
  <c r="C49" i="21"/>
  <c r="D49" i="21" s="1"/>
  <c r="C48" i="21"/>
  <c r="D48" i="21" s="1"/>
  <c r="C47" i="21"/>
  <c r="D47" i="21" s="1"/>
  <c r="C46" i="21"/>
  <c r="D46" i="21" s="1"/>
  <c r="C45" i="21"/>
  <c r="D45" i="21" s="1"/>
  <c r="C44" i="21"/>
  <c r="D44" i="21" s="1"/>
  <c r="G41" i="21"/>
  <c r="G40" i="21" s="1"/>
  <c r="E41" i="21"/>
  <c r="C41" i="21"/>
  <c r="G38" i="21"/>
  <c r="E38" i="21"/>
  <c r="C38" i="21"/>
  <c r="G37" i="21"/>
  <c r="E37" i="21"/>
  <c r="C37" i="21"/>
  <c r="G34" i="21"/>
  <c r="E34" i="21"/>
  <c r="C34" i="21"/>
  <c r="D34" i="21" s="1"/>
  <c r="G33" i="21"/>
  <c r="E33" i="21"/>
  <c r="C33" i="21"/>
  <c r="G30" i="21"/>
  <c r="E30" i="21"/>
  <c r="C30" i="21"/>
  <c r="G29" i="21"/>
  <c r="E29" i="21"/>
  <c r="C29" i="21"/>
  <c r="D29" i="21" s="1"/>
  <c r="G28" i="21"/>
  <c r="E28" i="21"/>
  <c r="C28" i="21"/>
  <c r="D28" i="21" s="1"/>
  <c r="G25" i="21"/>
  <c r="E25" i="21"/>
  <c r="C25" i="21"/>
  <c r="D25" i="21" s="1"/>
  <c r="C24" i="21"/>
  <c r="D24" i="21" s="1"/>
  <c r="G21" i="21"/>
  <c r="E21" i="21"/>
  <c r="C21" i="21"/>
  <c r="D21" i="21" s="1"/>
  <c r="G20" i="21"/>
  <c r="E20" i="21"/>
  <c r="C20" i="21"/>
  <c r="D20" i="21" s="1"/>
  <c r="G19" i="21"/>
  <c r="E19" i="21"/>
  <c r="C19" i="21"/>
  <c r="G18" i="21"/>
  <c r="E18" i="21"/>
  <c r="C18" i="21"/>
  <c r="G17" i="21"/>
  <c r="E17" i="21"/>
  <c r="C17" i="21"/>
  <c r="G14" i="21"/>
  <c r="E14" i="21"/>
  <c r="C14" i="21"/>
  <c r="G13" i="21"/>
  <c r="E13" i="21"/>
  <c r="C13" i="21"/>
  <c r="G10" i="21"/>
  <c r="E10" i="21"/>
  <c r="E9" i="21" s="1"/>
  <c r="C10" i="21"/>
  <c r="C9" i="21" s="1"/>
  <c r="D9" i="21" s="1"/>
  <c r="G7" i="21"/>
  <c r="E7" i="21"/>
  <c r="C7" i="21"/>
  <c r="C6" i="21" s="1"/>
  <c r="D6" i="21" s="1"/>
  <c r="C34" i="15"/>
  <c r="BE301" i="14"/>
  <c r="BD301" i="14"/>
  <c r="BC301" i="14"/>
  <c r="AY301" i="14"/>
  <c r="AX301" i="14"/>
  <c r="AW301" i="14"/>
  <c r="AV301" i="14"/>
  <c r="AU301" i="14"/>
  <c r="AT301" i="14"/>
  <c r="AS301" i="14"/>
  <c r="AR301" i="14"/>
  <c r="AQ301" i="14"/>
  <c r="AP301" i="14"/>
  <c r="AO301" i="14"/>
  <c r="AN301" i="14"/>
  <c r="AM301" i="14"/>
  <c r="AL301" i="14"/>
  <c r="AK301" i="14"/>
  <c r="AJ301" i="14"/>
  <c r="AI301" i="14"/>
  <c r="AH301" i="14"/>
  <c r="AG301" i="14"/>
  <c r="AF301" i="14"/>
  <c r="AE301" i="14"/>
  <c r="AD301" i="14"/>
  <c r="AC301" i="14"/>
  <c r="AB301" i="14"/>
  <c r="BE300" i="14"/>
  <c r="BD300" i="14"/>
  <c r="BC300" i="14"/>
  <c r="AY300" i="14"/>
  <c r="AX300" i="14"/>
  <c r="AW300" i="14"/>
  <c r="AV300" i="14"/>
  <c r="AT300" i="14"/>
  <c r="AS300" i="14"/>
  <c r="AR300" i="14"/>
  <c r="AQ300" i="14"/>
  <c r="AP300" i="14"/>
  <c r="AO300" i="14"/>
  <c r="AN300" i="14"/>
  <c r="AM300" i="14"/>
  <c r="AL300" i="14"/>
  <c r="AK300" i="14"/>
  <c r="AH300" i="14"/>
  <c r="AG300" i="14"/>
  <c r="AF300" i="14"/>
  <c r="AE300" i="14"/>
  <c r="AD300" i="14"/>
  <c r="AC300" i="14"/>
  <c r="AB300" i="14"/>
  <c r="W299" i="14"/>
  <c r="W298" i="14"/>
  <c r="W297" i="14"/>
  <c r="W296" i="14"/>
  <c r="AW294" i="14"/>
  <c r="W294" i="14"/>
  <c r="AW293" i="14"/>
  <c r="W293" i="14"/>
  <c r="AW292" i="14"/>
  <c r="W292" i="14"/>
  <c r="AW291" i="14"/>
  <c r="W291" i="14"/>
  <c r="W290" i="14"/>
  <c r="W289" i="14"/>
  <c r="W288" i="14"/>
  <c r="AW287" i="14"/>
  <c r="W287" i="14"/>
  <c r="W286" i="14"/>
  <c r="W285" i="14"/>
  <c r="W284" i="14"/>
  <c r="AK283" i="14"/>
  <c r="AE283" i="14"/>
  <c r="AB283" i="14"/>
  <c r="W283" i="14"/>
  <c r="W282" i="14"/>
  <c r="BC281" i="14"/>
  <c r="AE281" i="14"/>
  <c r="AB281" i="14"/>
  <c r="W281" i="14"/>
  <c r="BC280" i="14"/>
  <c r="AE280" i="14"/>
  <c r="W280" i="14"/>
  <c r="BC279" i="14"/>
  <c r="AW279" i="14"/>
  <c r="AE279" i="14"/>
  <c r="AB279" i="14"/>
  <c r="W279" i="14"/>
  <c r="W278" i="14"/>
  <c r="AT277" i="14"/>
  <c r="W277" i="14"/>
  <c r="W276" i="14"/>
  <c r="AT275" i="14"/>
  <c r="W275" i="14"/>
  <c r="AT274" i="14"/>
  <c r="W274" i="14"/>
  <c r="AT273" i="14"/>
  <c r="W273" i="14"/>
  <c r="AT272" i="14"/>
  <c r="W272" i="14"/>
  <c r="W271" i="14"/>
  <c r="AT270" i="14"/>
  <c r="W270" i="14"/>
  <c r="W269" i="14"/>
  <c r="W268" i="14"/>
  <c r="W267" i="14"/>
  <c r="AT266" i="14"/>
  <c r="W266" i="14"/>
  <c r="AT265" i="14"/>
  <c r="W265" i="14"/>
  <c r="AT264" i="14"/>
  <c r="W264" i="14"/>
  <c r="W263" i="14"/>
  <c r="AT262" i="14"/>
  <c r="W262" i="14"/>
  <c r="W261" i="14"/>
  <c r="AT260" i="14"/>
  <c r="W260" i="14"/>
  <c r="AT259" i="14"/>
  <c r="W259" i="14"/>
  <c r="AT258" i="14"/>
  <c r="W258" i="14"/>
  <c r="AT257" i="14"/>
  <c r="W257" i="14"/>
  <c r="AT256" i="14"/>
  <c r="W256" i="14"/>
  <c r="W255" i="14"/>
  <c r="W254" i="14"/>
  <c r="W253" i="14"/>
  <c r="AT252" i="14"/>
  <c r="W252" i="14"/>
  <c r="AT251" i="14"/>
  <c r="W251" i="14"/>
  <c r="AK250" i="14"/>
  <c r="AH250" i="14"/>
  <c r="AE250" i="14"/>
  <c r="W250" i="14"/>
  <c r="AH249" i="14"/>
  <c r="AE249" i="14"/>
  <c r="W249" i="14"/>
  <c r="BC248" i="14"/>
  <c r="W248" i="14"/>
  <c r="AK247" i="14"/>
  <c r="AE247" i="14"/>
  <c r="W247" i="14"/>
  <c r="AH246" i="14"/>
  <c r="W246" i="14"/>
  <c r="AT245" i="14"/>
  <c r="W245" i="14"/>
  <c r="AH244" i="14"/>
  <c r="W244" i="14"/>
  <c r="AH243" i="14"/>
  <c r="W243" i="14"/>
  <c r="W242" i="14"/>
  <c r="AT241" i="14"/>
  <c r="W241" i="14"/>
  <c r="W240" i="14"/>
  <c r="AH239" i="14"/>
  <c r="W239" i="14"/>
  <c r="AH238" i="14"/>
  <c r="W238" i="14"/>
  <c r="W237" i="14"/>
  <c r="AH236" i="14"/>
  <c r="W236" i="14"/>
  <c r="AH235" i="14"/>
  <c r="W235" i="14"/>
  <c r="AH234" i="14"/>
  <c r="W234" i="14"/>
  <c r="AH233" i="14"/>
  <c r="W233" i="14"/>
  <c r="AH232" i="14"/>
  <c r="W232" i="14"/>
  <c r="AH231" i="14"/>
  <c r="W231" i="14"/>
  <c r="AH230" i="14"/>
  <c r="W230" i="14"/>
  <c r="BC229" i="14"/>
  <c r="AH229" i="14"/>
  <c r="W229" i="14"/>
  <c r="W228" i="14"/>
  <c r="W227" i="14"/>
  <c r="W226" i="14"/>
  <c r="W225" i="14"/>
  <c r="W224" i="14"/>
  <c r="W223" i="14"/>
  <c r="W222" i="14"/>
  <c r="W221" i="14"/>
  <c r="AH220" i="14"/>
  <c r="W220" i="14"/>
  <c r="AH219" i="14"/>
  <c r="W219" i="14"/>
  <c r="AH218" i="14"/>
  <c r="W218" i="14"/>
  <c r="AK217" i="14"/>
  <c r="W217" i="14"/>
  <c r="W216" i="14"/>
  <c r="W215" i="14"/>
  <c r="W214" i="14"/>
  <c r="W213" i="14"/>
  <c r="W212" i="14"/>
  <c r="W211" i="14"/>
  <c r="AT210" i="14"/>
  <c r="W210" i="14"/>
  <c r="W209" i="14"/>
  <c r="W208" i="14"/>
  <c r="AH207" i="14"/>
  <c r="W207" i="14"/>
  <c r="AT206" i="14"/>
  <c r="AH206" i="14"/>
  <c r="W206" i="14"/>
  <c r="AH205" i="14"/>
  <c r="W205" i="14"/>
  <c r="AH204" i="14"/>
  <c r="W204" i="14"/>
  <c r="AH203" i="14"/>
  <c r="W203" i="14"/>
  <c r="AH202" i="14"/>
  <c r="W202" i="14"/>
  <c r="AH201" i="14"/>
  <c r="W201" i="14"/>
  <c r="W200" i="14"/>
  <c r="W199" i="14"/>
  <c r="AH198" i="14"/>
  <c r="W198" i="14"/>
  <c r="AH197" i="14"/>
  <c r="W197" i="14"/>
  <c r="AH196" i="14"/>
  <c r="W196" i="14"/>
  <c r="AT195" i="14"/>
  <c r="W195" i="14"/>
  <c r="AT194" i="14"/>
  <c r="W194" i="14"/>
  <c r="W193" i="14"/>
  <c r="AT192" i="14"/>
  <c r="W192" i="14"/>
  <c r="AT191" i="14"/>
  <c r="W191" i="14"/>
  <c r="AT190" i="14"/>
  <c r="W190" i="14"/>
  <c r="W189" i="14"/>
  <c r="AB188" i="14"/>
  <c r="W188" i="14"/>
  <c r="AT187" i="14"/>
  <c r="W187" i="14"/>
  <c r="AT186" i="14"/>
  <c r="W186" i="14"/>
  <c r="AT185" i="14"/>
  <c r="W185" i="14"/>
  <c r="AT184" i="14"/>
  <c r="W184" i="14"/>
  <c r="AT183" i="14"/>
  <c r="W183" i="14"/>
  <c r="AT182" i="14"/>
  <c r="W182" i="14"/>
  <c r="AT181" i="14"/>
  <c r="W181" i="14"/>
  <c r="AT180" i="14"/>
  <c r="W180" i="14"/>
  <c r="AT179" i="14"/>
  <c r="W179" i="14"/>
  <c r="AT178" i="14"/>
  <c r="W178" i="14"/>
  <c r="AT177" i="14"/>
  <c r="W177" i="14"/>
  <c r="AT176" i="14"/>
  <c r="W176" i="14"/>
  <c r="W175" i="14"/>
  <c r="AT174" i="14"/>
  <c r="W174" i="14"/>
  <c r="AT173" i="14"/>
  <c r="W173" i="14"/>
  <c r="AT172" i="14"/>
  <c r="W172" i="14"/>
  <c r="AT171" i="14"/>
  <c r="W171" i="14"/>
  <c r="AT170" i="14"/>
  <c r="W170" i="14"/>
  <c r="AT169" i="14"/>
  <c r="W169" i="14"/>
  <c r="AT168" i="14"/>
  <c r="W168" i="14"/>
  <c r="AT167" i="14"/>
  <c r="W167" i="14"/>
  <c r="AT166" i="14"/>
  <c r="W166" i="14"/>
  <c r="AT165" i="14"/>
  <c r="W165" i="14"/>
  <c r="AT164" i="14"/>
  <c r="AE164" i="14"/>
  <c r="W164" i="14"/>
  <c r="AT163" i="14"/>
  <c r="W163" i="14"/>
  <c r="W162" i="14"/>
  <c r="AT161" i="14"/>
  <c r="W161" i="14"/>
  <c r="AT160" i="14"/>
  <c r="W160" i="14"/>
  <c r="W159" i="14"/>
  <c r="W158" i="14"/>
  <c r="AT157" i="14"/>
  <c r="W157" i="14"/>
  <c r="AN156" i="14"/>
  <c r="W156" i="14"/>
  <c r="AT155" i="14"/>
  <c r="AN155" i="14"/>
  <c r="W155" i="14"/>
  <c r="AT154" i="14"/>
  <c r="AE154" i="14"/>
  <c r="W154" i="14"/>
  <c r="W153" i="14"/>
  <c r="AT152" i="14"/>
  <c r="W152" i="14"/>
  <c r="AT151" i="14"/>
  <c r="W151" i="14"/>
  <c r="AT150" i="14"/>
  <c r="W150" i="14"/>
  <c r="AT149" i="14"/>
  <c r="W149" i="14"/>
  <c r="AT148" i="14"/>
  <c r="W148" i="14"/>
  <c r="AT147" i="14"/>
  <c r="W147" i="14"/>
  <c r="AT146" i="14"/>
  <c r="W146" i="14"/>
  <c r="AT145" i="14"/>
  <c r="W145" i="14"/>
  <c r="AT144" i="14"/>
  <c r="W144" i="14"/>
  <c r="AN143" i="14"/>
  <c r="W143" i="14"/>
  <c r="W142" i="14"/>
  <c r="AT141" i="14"/>
  <c r="W141" i="14"/>
  <c r="W140" i="14"/>
  <c r="AT139" i="14"/>
  <c r="W139" i="14"/>
  <c r="AN138" i="14"/>
  <c r="AE138" i="14"/>
  <c r="W138" i="14"/>
  <c r="W137" i="14"/>
  <c r="AT136" i="14"/>
  <c r="W136" i="14"/>
  <c r="AT135" i="14"/>
  <c r="AE135" i="14"/>
  <c r="W135" i="14"/>
  <c r="BC134" i="14"/>
  <c r="AT134" i="14"/>
  <c r="AN134" i="14"/>
  <c r="W134" i="14"/>
  <c r="W133" i="14"/>
  <c r="AN132" i="14"/>
  <c r="W132" i="14"/>
  <c r="AT131" i="14"/>
  <c r="W131" i="14"/>
  <c r="AT130" i="14"/>
  <c r="W130" i="14"/>
  <c r="AN129" i="14"/>
  <c r="W129" i="14"/>
  <c r="AT128" i="14"/>
  <c r="W128" i="14"/>
  <c r="AT127" i="14"/>
  <c r="W127" i="14"/>
  <c r="AT126" i="14"/>
  <c r="W126" i="14"/>
  <c r="AT125" i="14"/>
  <c r="W125" i="14"/>
  <c r="AT124" i="14"/>
  <c r="W124" i="14"/>
  <c r="W123" i="14"/>
  <c r="W122" i="14"/>
  <c r="AT121" i="14"/>
  <c r="W121" i="14"/>
  <c r="AT120" i="14"/>
  <c r="W120" i="14"/>
  <c r="AT119" i="14"/>
  <c r="W119" i="14"/>
  <c r="AT118" i="14"/>
  <c r="W118" i="14"/>
  <c r="AT117" i="14"/>
  <c r="W117" i="14"/>
  <c r="AT116" i="14"/>
  <c r="W116" i="14"/>
  <c r="AT115" i="14"/>
  <c r="W115" i="14"/>
  <c r="W114" i="14"/>
  <c r="W113" i="14"/>
  <c r="AT112" i="14"/>
  <c r="W112" i="14"/>
  <c r="W111" i="14"/>
  <c r="AT110" i="14"/>
  <c r="W110" i="14"/>
  <c r="W109" i="14"/>
  <c r="W108" i="14"/>
  <c r="W107" i="14"/>
  <c r="W106" i="14"/>
  <c r="AT105" i="14"/>
  <c r="W105" i="14"/>
  <c r="W104" i="14"/>
  <c r="AT103" i="14"/>
  <c r="W103" i="14"/>
  <c r="AT102" i="14"/>
  <c r="W102" i="14"/>
  <c r="AT101" i="14"/>
  <c r="W101" i="14"/>
  <c r="AT100" i="14"/>
  <c r="W100" i="14"/>
  <c r="AT99" i="14"/>
  <c r="W99" i="14"/>
  <c r="AT98" i="14"/>
  <c r="W98" i="14"/>
  <c r="AT97" i="14"/>
  <c r="W97" i="14"/>
  <c r="AT96" i="14"/>
  <c r="W96" i="14"/>
  <c r="AT95" i="14"/>
  <c r="W95" i="14"/>
  <c r="AT94" i="14"/>
  <c r="W94" i="14"/>
  <c r="AT93" i="14"/>
  <c r="W93" i="14"/>
  <c r="AT92" i="14"/>
  <c r="W92" i="14"/>
  <c r="W91" i="14"/>
  <c r="AT90" i="14"/>
  <c r="W90" i="14"/>
  <c r="W89" i="14"/>
  <c r="AT88" i="14"/>
  <c r="W88" i="14"/>
  <c r="AT87" i="14"/>
  <c r="W87" i="14"/>
  <c r="AT86" i="14"/>
  <c r="W86" i="14"/>
  <c r="AT85" i="14"/>
  <c r="W85" i="14"/>
  <c r="AW84" i="14"/>
  <c r="AT84" i="14"/>
  <c r="W84" i="14"/>
  <c r="AT83" i="14"/>
  <c r="W83" i="14"/>
  <c r="AT82" i="14"/>
  <c r="W82" i="14"/>
  <c r="AT81" i="14"/>
  <c r="W81" i="14"/>
  <c r="AT80" i="14"/>
  <c r="W80" i="14"/>
  <c r="AT79" i="14"/>
  <c r="W79" i="14"/>
  <c r="AW78" i="14"/>
  <c r="AT78" i="14"/>
  <c r="W78" i="14"/>
  <c r="AT77" i="14"/>
  <c r="W77" i="14"/>
  <c r="AB76" i="14"/>
  <c r="W76" i="14"/>
  <c r="AB75" i="14"/>
  <c r="W75" i="14"/>
  <c r="AT74" i="14"/>
  <c r="AB74" i="14"/>
  <c r="W74" i="14"/>
  <c r="W73" i="14"/>
  <c r="W72" i="14"/>
  <c r="AT71" i="14"/>
  <c r="W71" i="14"/>
  <c r="AT70" i="14"/>
  <c r="AB70" i="14"/>
  <c r="W70" i="14"/>
  <c r="AT69" i="14"/>
  <c r="W69" i="14"/>
  <c r="AT68" i="14"/>
  <c r="W68" i="14"/>
  <c r="AT67" i="14"/>
  <c r="W67" i="14"/>
  <c r="AT66" i="14"/>
  <c r="W66" i="14"/>
  <c r="AT65" i="14"/>
  <c r="W65" i="14"/>
  <c r="AT64" i="14"/>
  <c r="W64" i="14"/>
  <c r="AT63" i="14"/>
  <c r="W63" i="14"/>
  <c r="AT62" i="14"/>
  <c r="W62" i="14"/>
  <c r="AT61" i="14"/>
  <c r="W61" i="14"/>
  <c r="AT60" i="14"/>
  <c r="W60" i="14"/>
  <c r="W59" i="14"/>
  <c r="AW58" i="14"/>
  <c r="W58" i="14"/>
  <c r="AT57" i="14"/>
  <c r="W57" i="14"/>
  <c r="AT56" i="14"/>
  <c r="W56" i="14"/>
  <c r="AT55" i="14"/>
  <c r="W55" i="14"/>
  <c r="AT54" i="14"/>
  <c r="W54" i="14"/>
  <c r="AT53" i="14"/>
  <c r="W53" i="14"/>
  <c r="AT52" i="14"/>
  <c r="W52" i="14"/>
  <c r="AT51" i="14"/>
  <c r="W51" i="14"/>
  <c r="AT50" i="14"/>
  <c r="W50" i="14"/>
  <c r="AT49" i="14"/>
  <c r="W49" i="14"/>
  <c r="AT48" i="14"/>
  <c r="W48" i="14"/>
  <c r="AT47" i="14"/>
  <c r="W47" i="14"/>
  <c r="AT46" i="14"/>
  <c r="W46" i="14"/>
  <c r="AQ45" i="14"/>
  <c r="W45" i="14"/>
  <c r="W44" i="14"/>
  <c r="W43" i="14"/>
  <c r="AQ42" i="14"/>
  <c r="AB42" i="14"/>
  <c r="W42" i="14"/>
  <c r="AQ41" i="14"/>
  <c r="W41" i="14"/>
  <c r="W40" i="14"/>
  <c r="W39" i="14"/>
  <c r="AT38" i="14"/>
  <c r="W38" i="14"/>
  <c r="AW37" i="14"/>
  <c r="AT37" i="14"/>
  <c r="W37" i="14"/>
  <c r="AW36" i="14"/>
  <c r="AT36" i="14"/>
  <c r="W36" i="14"/>
  <c r="BC35" i="14"/>
  <c r="AW35" i="14"/>
  <c r="AT35" i="14"/>
  <c r="W35" i="14"/>
  <c r="AW34" i="14"/>
  <c r="W34" i="14"/>
  <c r="AT33" i="14"/>
  <c r="W33" i="14"/>
  <c r="AT32" i="14"/>
  <c r="W32" i="14"/>
  <c r="AB31" i="14"/>
  <c r="W31" i="14"/>
  <c r="AT30" i="14"/>
  <c r="W30" i="14"/>
  <c r="AT29" i="14"/>
  <c r="W29" i="14"/>
  <c r="AB28" i="14"/>
  <c r="W28" i="14"/>
  <c r="AT27" i="14"/>
  <c r="W27" i="14"/>
  <c r="AT26" i="14"/>
  <c r="W26" i="14"/>
  <c r="AT25" i="14"/>
  <c r="W25" i="14"/>
  <c r="BC24" i="14"/>
  <c r="AT24" i="14"/>
  <c r="W24" i="14"/>
  <c r="W23" i="14"/>
  <c r="W22" i="14"/>
  <c r="W21" i="14"/>
  <c r="W20" i="14"/>
  <c r="AT19" i="14"/>
  <c r="W19" i="14"/>
  <c r="W18" i="14"/>
  <c r="AT17" i="14"/>
  <c r="W17" i="14"/>
  <c r="AT16" i="14"/>
  <c r="W16" i="14"/>
  <c r="AT15" i="14"/>
  <c r="W15" i="14"/>
  <c r="AT14" i="14"/>
  <c r="W14" i="14"/>
  <c r="W13" i="14"/>
  <c r="AT12" i="14"/>
  <c r="W12" i="14"/>
  <c r="AT11" i="14"/>
  <c r="W11" i="14"/>
  <c r="AT10" i="14"/>
  <c r="W10" i="14"/>
  <c r="AT9" i="14"/>
  <c r="W9" i="14"/>
  <c r="AT8" i="14"/>
  <c r="W8" i="14"/>
  <c r="E22" i="22"/>
  <c r="C48" i="22" s="1"/>
  <c r="I95" i="15"/>
  <c r="I92" i="15"/>
  <c r="I137" i="15"/>
  <c r="I136" i="15" s="1"/>
  <c r="I111" i="15"/>
  <c r="D98" i="20"/>
  <c r="D42" i="20"/>
  <c r="F60" i="21" l="1"/>
  <c r="E46" i="15"/>
  <c r="F46" i="15" s="1"/>
  <c r="AU300" i="14"/>
  <c r="AU302" i="14" s="1"/>
  <c r="D110" i="20"/>
  <c r="E121" i="15"/>
  <c r="E120" i="15" s="1"/>
  <c r="F120" i="15" s="1"/>
  <c r="G175" i="15"/>
  <c r="G174" i="15" s="1"/>
  <c r="G58" i="15"/>
  <c r="G95" i="15"/>
  <c r="J95" i="15" s="1"/>
  <c r="G118" i="15"/>
  <c r="I50" i="15"/>
  <c r="D10" i="21"/>
  <c r="G154" i="20"/>
  <c r="E157" i="15"/>
  <c r="F157" i="15" s="1"/>
  <c r="E60" i="15"/>
  <c r="E59" i="15" s="1"/>
  <c r="F59" i="15" s="1"/>
  <c r="I58" i="15"/>
  <c r="F12" i="20"/>
  <c r="F36" i="15"/>
  <c r="I118" i="15"/>
  <c r="D12" i="20"/>
  <c r="E51" i="15"/>
  <c r="F51" i="15" s="1"/>
  <c r="F38" i="20"/>
  <c r="G32" i="15"/>
  <c r="G31" i="15" s="1"/>
  <c r="E183" i="15"/>
  <c r="E182" i="15" s="1"/>
  <c r="E181" i="15" s="1"/>
  <c r="F181" i="15" s="1"/>
  <c r="E178" i="15"/>
  <c r="E177" i="15" s="1"/>
  <c r="F177" i="15" s="1"/>
  <c r="F89" i="20"/>
  <c r="F160" i="20"/>
  <c r="F156" i="20"/>
  <c r="H68" i="20"/>
  <c r="H98" i="20"/>
  <c r="H123" i="20"/>
  <c r="E79" i="15"/>
  <c r="F79" i="15" s="1"/>
  <c r="E102" i="15"/>
  <c r="F102" i="15" s="1"/>
  <c r="H76" i="21"/>
  <c r="G152" i="20"/>
  <c r="G111" i="15"/>
  <c r="J111" i="15" s="1"/>
  <c r="I63" i="15"/>
  <c r="G51" i="15"/>
  <c r="F5" i="20"/>
  <c r="F15" i="20"/>
  <c r="F28" i="20"/>
  <c r="F24" i="20"/>
  <c r="H63" i="20"/>
  <c r="I57" i="15"/>
  <c r="G137" i="15"/>
  <c r="J137" i="15" s="1"/>
  <c r="I26" i="15"/>
  <c r="I25" i="15" s="1"/>
  <c r="E63" i="15"/>
  <c r="F63" i="15" s="1"/>
  <c r="I34" i="15"/>
  <c r="I33" i="15" s="1"/>
  <c r="C102" i="20"/>
  <c r="D102" i="20" s="1"/>
  <c r="I79" i="15"/>
  <c r="I102" i="15"/>
  <c r="G63" i="15"/>
  <c r="I28" i="15"/>
  <c r="I27" i="15" s="1"/>
  <c r="G126" i="20"/>
  <c r="E26" i="15"/>
  <c r="E25" i="15" s="1"/>
  <c r="F25" i="15" s="1"/>
  <c r="E173" i="15"/>
  <c r="E172" i="15" s="1"/>
  <c r="F172" i="15" s="1"/>
  <c r="H7" i="20"/>
  <c r="I93" i="15"/>
  <c r="G135" i="15"/>
  <c r="G134" i="15" s="1"/>
  <c r="I68" i="15"/>
  <c r="I67" i="15" s="1"/>
  <c r="E135" i="15"/>
  <c r="F135" i="15" s="1"/>
  <c r="G26" i="15"/>
  <c r="G25" i="15" s="1"/>
  <c r="E24" i="21"/>
  <c r="E23" i="21" s="1"/>
  <c r="F70" i="21"/>
  <c r="G57" i="15"/>
  <c r="E97" i="15"/>
  <c r="F97" i="15" s="1"/>
  <c r="F32" i="20"/>
  <c r="G68" i="15"/>
  <c r="G67" i="15" s="1"/>
  <c r="G9" i="15"/>
  <c r="G39" i="15"/>
  <c r="G38" i="15" s="1"/>
  <c r="G37" i="15" s="1"/>
  <c r="D60" i="21"/>
  <c r="G28" i="15"/>
  <c r="G27" i="15" s="1"/>
  <c r="H30" i="21"/>
  <c r="H52" i="21"/>
  <c r="H75" i="21"/>
  <c r="G46" i="15"/>
  <c r="F9" i="21"/>
  <c r="F10" i="21"/>
  <c r="H19" i="21"/>
  <c r="F29" i="21"/>
  <c r="G47" i="15"/>
  <c r="G42" i="15"/>
  <c r="G41" i="15" s="1"/>
  <c r="G79" i="15"/>
  <c r="G105" i="15"/>
  <c r="G102" i="15"/>
  <c r="E154" i="20"/>
  <c r="E151" i="20"/>
  <c r="F125" i="20"/>
  <c r="E9" i="15"/>
  <c r="F9" i="15" s="1"/>
  <c r="G65" i="15"/>
  <c r="G64" i="15" s="1"/>
  <c r="E43" i="21"/>
  <c r="F59" i="21"/>
  <c r="G126" i="15"/>
  <c r="G125" i="15" s="1"/>
  <c r="I121" i="15"/>
  <c r="I120" i="15" s="1"/>
  <c r="I119" i="15" s="1"/>
  <c r="I51" i="15"/>
  <c r="E68" i="15"/>
  <c r="F68" i="15" s="1"/>
  <c r="D7" i="21"/>
  <c r="AN302" i="14"/>
  <c r="AR302" i="14"/>
  <c r="AV302" i="14"/>
  <c r="BC302" i="14"/>
  <c r="F7" i="21"/>
  <c r="F14" i="21"/>
  <c r="H18" i="21"/>
  <c r="F21" i="21"/>
  <c r="E27" i="21"/>
  <c r="F34" i="21"/>
  <c r="G36" i="21"/>
  <c r="H47" i="21"/>
  <c r="H45" i="21"/>
  <c r="H60" i="21"/>
  <c r="I175" i="15"/>
  <c r="I174" i="15" s="1"/>
  <c r="C74" i="21"/>
  <c r="D74" i="21" s="1"/>
  <c r="F14" i="20"/>
  <c r="F8" i="20"/>
  <c r="F17" i="20"/>
  <c r="G64" i="20"/>
  <c r="G120" i="20"/>
  <c r="G143" i="20"/>
  <c r="F48" i="21"/>
  <c r="D32" i="20"/>
  <c r="E51" i="21"/>
  <c r="C105" i="20"/>
  <c r="D105" i="20" s="1"/>
  <c r="E140" i="15"/>
  <c r="F140" i="15" s="1"/>
  <c r="D125" i="20"/>
  <c r="E28" i="15"/>
  <c r="E27" i="15" s="1"/>
  <c r="F27" i="15" s="1"/>
  <c r="E99" i="15"/>
  <c r="E98" i="15" s="1"/>
  <c r="F98" i="15" s="1"/>
  <c r="I60" i="15"/>
  <c r="I59" i="15" s="1"/>
  <c r="I128" i="15"/>
  <c r="I127" i="15" s="1"/>
  <c r="I36" i="15"/>
  <c r="I35" i="15" s="1"/>
  <c r="AB302" i="14"/>
  <c r="AF302" i="14"/>
  <c r="G178" i="15"/>
  <c r="G177" i="15" s="1"/>
  <c r="F136" i="20"/>
  <c r="F121" i="20"/>
  <c r="E148" i="20"/>
  <c r="I86" i="15"/>
  <c r="I85" i="15" s="1"/>
  <c r="I96" i="15"/>
  <c r="G160" i="15"/>
  <c r="G159" i="15" s="1"/>
  <c r="I153" i="15"/>
  <c r="I152" i="15"/>
  <c r="E44" i="15"/>
  <c r="E43" i="15" s="1"/>
  <c r="F43" i="15" s="1"/>
  <c r="F45" i="21"/>
  <c r="I135" i="15"/>
  <c r="E106" i="15"/>
  <c r="F106" i="15" s="1"/>
  <c r="E95" i="15"/>
  <c r="F95" i="15" s="1"/>
  <c r="E58" i="15"/>
  <c r="F58" i="15" s="1"/>
  <c r="E15" i="15"/>
  <c r="F15" i="15" s="1"/>
  <c r="F46" i="21"/>
  <c r="E6" i="21"/>
  <c r="F6" i="21" s="1"/>
  <c r="AQ302" i="14"/>
  <c r="AY302" i="14"/>
  <c r="E175" i="15"/>
  <c r="I183" i="15"/>
  <c r="I182" i="15" s="1"/>
  <c r="I181" i="15" s="1"/>
  <c r="G103" i="20"/>
  <c r="H135" i="20"/>
  <c r="I132" i="15"/>
  <c r="H127" i="20"/>
  <c r="H178" i="20"/>
  <c r="C154" i="20"/>
  <c r="C144" i="20"/>
  <c r="D144" i="20" s="1"/>
  <c r="E145" i="15"/>
  <c r="F145" i="15" s="1"/>
  <c r="E160" i="15"/>
  <c r="E159" i="15" s="1"/>
  <c r="E156" i="15"/>
  <c r="E180" i="15"/>
  <c r="E179" i="15" s="1"/>
  <c r="F179" i="15" s="1"/>
  <c r="G50" i="15"/>
  <c r="E126" i="15"/>
  <c r="E65" i="15"/>
  <c r="I56" i="15"/>
  <c r="I178" i="15"/>
  <c r="H52" i="20"/>
  <c r="E49" i="20"/>
  <c r="E71" i="20"/>
  <c r="E69" i="20"/>
  <c r="G96" i="15"/>
  <c r="G93" i="15"/>
  <c r="I84" i="15"/>
  <c r="I83" i="15" s="1"/>
  <c r="I99" i="15"/>
  <c r="I98" i="15" s="1"/>
  <c r="H97" i="20"/>
  <c r="G107" i="20"/>
  <c r="I126" i="15"/>
  <c r="I125" i="15" s="1"/>
  <c r="I188" i="15"/>
  <c r="I187" i="15" s="1"/>
  <c r="I186" i="15" s="1"/>
  <c r="I185" i="15" s="1"/>
  <c r="I19" i="22" s="1"/>
  <c r="K19" i="22" s="1"/>
  <c r="G156" i="15"/>
  <c r="G153" i="15"/>
  <c r="G167" i="15"/>
  <c r="I167" i="15"/>
  <c r="C120" i="20"/>
  <c r="D120" i="20" s="1"/>
  <c r="H48" i="20"/>
  <c r="E92" i="15"/>
  <c r="F92" i="15" s="1"/>
  <c r="E131" i="15"/>
  <c r="F131" i="15" s="1"/>
  <c r="E50" i="15"/>
  <c r="E34" i="15"/>
  <c r="E111" i="15"/>
  <c r="F111" i="15" s="1"/>
  <c r="G60" i="15"/>
  <c r="G59" i="15" s="1"/>
  <c r="G121" i="15"/>
  <c r="G120" i="15" s="1"/>
  <c r="G119" i="15" s="1"/>
  <c r="AK302" i="14"/>
  <c r="BD302" i="14"/>
  <c r="H21" i="21"/>
  <c r="H34" i="21"/>
  <c r="F47" i="20"/>
  <c r="F68" i="20"/>
  <c r="E102" i="20"/>
  <c r="F123" i="20"/>
  <c r="I70" i="15"/>
  <c r="I69" i="15" s="1"/>
  <c r="G69" i="20"/>
  <c r="G80" i="20"/>
  <c r="G77" i="20"/>
  <c r="G128" i="20"/>
  <c r="H121" i="20"/>
  <c r="C84" i="20"/>
  <c r="D84" i="20" s="1"/>
  <c r="C150" i="20"/>
  <c r="D150" i="20" s="1"/>
  <c r="C181" i="20"/>
  <c r="D181" i="20" s="1"/>
  <c r="G81" i="20"/>
  <c r="I94" i="15"/>
  <c r="I91" i="15"/>
  <c r="C20" i="20"/>
  <c r="C35" i="20"/>
  <c r="D35" i="20" s="1"/>
  <c r="C90" i="20"/>
  <c r="D90" i="20" s="1"/>
  <c r="E93" i="15"/>
  <c r="F93" i="15" s="1"/>
  <c r="F25" i="21"/>
  <c r="D30" i="21"/>
  <c r="C27" i="21"/>
  <c r="D27" i="21" s="1"/>
  <c r="H33" i="21"/>
  <c r="E32" i="21"/>
  <c r="E40" i="21"/>
  <c r="H40" i="21" s="1"/>
  <c r="H41" i="21"/>
  <c r="D52" i="21"/>
  <c r="F52" i="21"/>
  <c r="F79" i="21"/>
  <c r="C78" i="21"/>
  <c r="D78" i="21" s="1"/>
  <c r="D79" i="21"/>
  <c r="E124" i="20"/>
  <c r="H124" i="20" s="1"/>
  <c r="G131" i="15"/>
  <c r="E117" i="20"/>
  <c r="F117" i="20" s="1"/>
  <c r="G130" i="15"/>
  <c r="E114" i="20"/>
  <c r="H114" i="20" s="1"/>
  <c r="G128" i="15"/>
  <c r="H156" i="20"/>
  <c r="I160" i="15"/>
  <c r="I159" i="15" s="1"/>
  <c r="I158" i="15" s="1"/>
  <c r="E190" i="20"/>
  <c r="H190" i="20" s="1"/>
  <c r="G183" i="15"/>
  <c r="C124" i="20"/>
  <c r="D124" i="20" s="1"/>
  <c r="C114" i="20"/>
  <c r="D114" i="20" s="1"/>
  <c r="E128" i="15"/>
  <c r="E127" i="15" s="1"/>
  <c r="F127" i="15" s="1"/>
  <c r="E45" i="20"/>
  <c r="H45" i="20" s="1"/>
  <c r="G56" i="15"/>
  <c r="G91" i="20"/>
  <c r="I104" i="15"/>
  <c r="C13" i="20"/>
  <c r="D13" i="20" s="1"/>
  <c r="C26" i="20"/>
  <c r="D26" i="20" s="1"/>
  <c r="E32" i="15"/>
  <c r="E31" i="15" s="1"/>
  <c r="F31" i="15" s="1"/>
  <c r="E96" i="15"/>
  <c r="F96" i="15" s="1"/>
  <c r="I112" i="15"/>
  <c r="I110" i="15" s="1"/>
  <c r="F30" i="21"/>
  <c r="G32" i="21"/>
  <c r="H25" i="21"/>
  <c r="H133" i="20"/>
  <c r="E129" i="20"/>
  <c r="H129" i="20" s="1"/>
  <c r="G132" i="15"/>
  <c r="G25" i="20"/>
  <c r="I30" i="15"/>
  <c r="I29" i="15" s="1"/>
  <c r="C138" i="20"/>
  <c r="D138" i="20" s="1"/>
  <c r="C133" i="20"/>
  <c r="D133" i="20" s="1"/>
  <c r="E137" i="15"/>
  <c r="C129" i="20"/>
  <c r="D129" i="20" s="1"/>
  <c r="C31" i="20"/>
  <c r="D31" i="20" s="1"/>
  <c r="E39" i="15"/>
  <c r="E70" i="15"/>
  <c r="C45" i="20"/>
  <c r="D45" i="20" s="1"/>
  <c r="E56" i="15"/>
  <c r="F56" i="15" s="1"/>
  <c r="E105" i="15"/>
  <c r="F105" i="15" s="1"/>
  <c r="C178" i="20"/>
  <c r="D178" i="20" s="1"/>
  <c r="E168" i="15"/>
  <c r="F168" i="15" s="1"/>
  <c r="E103" i="15"/>
  <c r="F103" i="15" s="1"/>
  <c r="E137" i="20"/>
  <c r="E134" i="20" s="1"/>
  <c r="G140" i="15"/>
  <c r="G139" i="15" s="1"/>
  <c r="G138" i="15" s="1"/>
  <c r="G15" i="20"/>
  <c r="H15" i="20" s="1"/>
  <c r="I16" i="15"/>
  <c r="G11" i="20"/>
  <c r="H11" i="20" s="1"/>
  <c r="I15" i="15"/>
  <c r="G37" i="20"/>
  <c r="I44" i="15"/>
  <c r="I43" i="15" s="1"/>
  <c r="C78" i="20"/>
  <c r="D78" i="20" s="1"/>
  <c r="C97" i="20"/>
  <c r="D97" i="20" s="1"/>
  <c r="E112" i="15"/>
  <c r="F112" i="15" s="1"/>
  <c r="AL302" i="14"/>
  <c r="AP302" i="14"/>
  <c r="AT302" i="14"/>
  <c r="AX302" i="14"/>
  <c r="BE302" i="14"/>
  <c r="AE302" i="14"/>
  <c r="AM302" i="14"/>
  <c r="H53" i="21"/>
  <c r="H68" i="21"/>
  <c r="E62" i="20"/>
  <c r="E77" i="20"/>
  <c r="E75" i="20"/>
  <c r="E164" i="20"/>
  <c r="G85" i="20"/>
  <c r="E73" i="15"/>
  <c r="C74" i="20"/>
  <c r="D74" i="20" s="1"/>
  <c r="C152" i="20"/>
  <c r="D152" i="20" s="1"/>
  <c r="C143" i="20"/>
  <c r="D143" i="20" s="1"/>
  <c r="H46" i="21"/>
  <c r="H44" i="21"/>
  <c r="E92" i="20"/>
  <c r="H119" i="20"/>
  <c r="I105" i="15"/>
  <c r="I97" i="15"/>
  <c r="G74" i="20"/>
  <c r="AD302" i="14"/>
  <c r="AH302" i="14"/>
  <c r="H28" i="21"/>
  <c r="F33" i="21"/>
  <c r="F56" i="21"/>
  <c r="F71" i="21"/>
  <c r="G70" i="15"/>
  <c r="G62" i="15"/>
  <c r="E67" i="20"/>
  <c r="H78" i="20"/>
  <c r="G34" i="20"/>
  <c r="H46" i="20"/>
  <c r="H108" i="20"/>
  <c r="H160" i="20"/>
  <c r="F54" i="20"/>
  <c r="F108" i="20"/>
  <c r="C171" i="20"/>
  <c r="D171" i="20" s="1"/>
  <c r="D62" i="21"/>
  <c r="F62" i="21"/>
  <c r="D13" i="21"/>
  <c r="F13" i="21"/>
  <c r="H17" i="21"/>
  <c r="G16" i="21"/>
  <c r="G78" i="15"/>
  <c r="E61" i="20"/>
  <c r="G51" i="20"/>
  <c r="H51" i="20" s="1"/>
  <c r="I65" i="15"/>
  <c r="E179" i="20"/>
  <c r="F179" i="20" s="1"/>
  <c r="G168" i="15"/>
  <c r="G180" i="15"/>
  <c r="BF301" i="14"/>
  <c r="BH301" i="14"/>
  <c r="G34" i="15"/>
  <c r="E6" i="18"/>
  <c r="G147" i="15"/>
  <c r="F159" i="20"/>
  <c r="H159" i="20"/>
  <c r="E149" i="20"/>
  <c r="F145" i="20"/>
  <c r="H145" i="20"/>
  <c r="BH65" i="14"/>
  <c r="I73" i="15" s="1"/>
  <c r="I72" i="15" s="1"/>
  <c r="I71" i="15" s="1"/>
  <c r="G24" i="21"/>
  <c r="BH269" i="14"/>
  <c r="G6" i="18" s="1"/>
  <c r="G63" i="21"/>
  <c r="E153" i="15"/>
  <c r="F153" i="15" s="1"/>
  <c r="E152" i="15"/>
  <c r="F152" i="15" s="1"/>
  <c r="H14" i="21"/>
  <c r="E12" i="21"/>
  <c r="H20" i="21"/>
  <c r="E16" i="21"/>
  <c r="E37" i="20"/>
  <c r="G44" i="15"/>
  <c r="E96" i="20"/>
  <c r="E95" i="20" s="1"/>
  <c r="G112" i="15"/>
  <c r="I117" i="15"/>
  <c r="E182" i="20"/>
  <c r="F182" i="20" s="1"/>
  <c r="G173" i="15"/>
  <c r="G84" i="15"/>
  <c r="G15" i="15"/>
  <c r="D117" i="20"/>
  <c r="E79" i="20"/>
  <c r="F79" i="20" s="1"/>
  <c r="G92" i="15"/>
  <c r="BG227" i="14"/>
  <c r="E5" i="18" s="1"/>
  <c r="E57" i="21"/>
  <c r="F57" i="21" s="1"/>
  <c r="AI300" i="14"/>
  <c r="AI302" i="14" s="1"/>
  <c r="G26" i="20"/>
  <c r="H26" i="20" s="1"/>
  <c r="I32" i="15"/>
  <c r="I31" i="15" s="1"/>
  <c r="I78" i="15"/>
  <c r="G93" i="20"/>
  <c r="I106" i="15"/>
  <c r="G89" i="20"/>
  <c r="H89" i="20" s="1"/>
  <c r="I103" i="15"/>
  <c r="G122" i="20"/>
  <c r="H122" i="20" s="1"/>
  <c r="I131" i="15"/>
  <c r="I147" i="15"/>
  <c r="E172" i="20"/>
  <c r="F172" i="20" s="1"/>
  <c r="G157" i="15"/>
  <c r="G152" i="15"/>
  <c r="C37" i="20"/>
  <c r="D37" i="20" s="1"/>
  <c r="C126" i="20"/>
  <c r="D126" i="20" s="1"/>
  <c r="C122" i="20"/>
  <c r="C119" i="20"/>
  <c r="D119" i="20" s="1"/>
  <c r="I9" i="15"/>
  <c r="E167" i="15"/>
  <c r="F167" i="15" s="1"/>
  <c r="I140" i="15"/>
  <c r="E62" i="15"/>
  <c r="G16" i="15"/>
  <c r="H29" i="21"/>
  <c r="G27" i="21"/>
  <c r="D53" i="21"/>
  <c r="F53" i="21"/>
  <c r="C51" i="21"/>
  <c r="F52" i="20"/>
  <c r="E91" i="20"/>
  <c r="G104" i="15"/>
  <c r="H104" i="15" s="1"/>
  <c r="G5" i="20"/>
  <c r="H5" i="20" s="1"/>
  <c r="I10" i="15"/>
  <c r="G38" i="20"/>
  <c r="H38" i="20" s="1"/>
  <c r="I46" i="15"/>
  <c r="G182" i="20"/>
  <c r="I173" i="15"/>
  <c r="C7" i="20"/>
  <c r="D7" i="20" s="1"/>
  <c r="E10" i="15"/>
  <c r="F10" i="15" s="1"/>
  <c r="C21" i="20"/>
  <c r="D21" i="20" s="1"/>
  <c r="E21" i="15"/>
  <c r="C91" i="20"/>
  <c r="D91" i="20" s="1"/>
  <c r="C135" i="20"/>
  <c r="D135" i="20" s="1"/>
  <c r="C130" i="20"/>
  <c r="D130" i="20" s="1"/>
  <c r="E132" i="15"/>
  <c r="F132" i="15" s="1"/>
  <c r="C115" i="20"/>
  <c r="D115" i="20" s="1"/>
  <c r="E130" i="15"/>
  <c r="F130" i="15" s="1"/>
  <c r="E147" i="15"/>
  <c r="F147" i="15" s="1"/>
  <c r="E146" i="15"/>
  <c r="F146" i="15" s="1"/>
  <c r="H58" i="21"/>
  <c r="E64" i="20"/>
  <c r="E104" i="20"/>
  <c r="E130" i="20"/>
  <c r="F127" i="20"/>
  <c r="F118" i="20"/>
  <c r="E115" i="20"/>
  <c r="H158" i="20"/>
  <c r="H28" i="20"/>
  <c r="G75" i="20"/>
  <c r="H125" i="20"/>
  <c r="G163" i="20"/>
  <c r="H185" i="20"/>
  <c r="C67" i="20"/>
  <c r="D67" i="20" s="1"/>
  <c r="C83" i="20"/>
  <c r="C177" i="20"/>
  <c r="D177" i="20" s="1"/>
  <c r="F185" i="20"/>
  <c r="AC302" i="14"/>
  <c r="AG302" i="14"/>
  <c r="AO302" i="14"/>
  <c r="AS302" i="14"/>
  <c r="AW302" i="14"/>
  <c r="E83" i="20"/>
  <c r="E80" i="20"/>
  <c r="E105" i="20"/>
  <c r="E147" i="20"/>
  <c r="E143" i="20"/>
  <c r="G131" i="20"/>
  <c r="C169" i="20"/>
  <c r="D169" i="20" s="1"/>
  <c r="H38" i="21"/>
  <c r="G51" i="21"/>
  <c r="G74" i="21"/>
  <c r="E16" i="20"/>
  <c r="H29" i="20"/>
  <c r="G106" i="15"/>
  <c r="G103" i="15"/>
  <c r="E84" i="20"/>
  <c r="F116" i="20"/>
  <c r="E113" i="20"/>
  <c r="E144" i="20"/>
  <c r="H31" i="20"/>
  <c r="G49" i="20"/>
  <c r="G92" i="20"/>
  <c r="H136" i="20"/>
  <c r="E167" i="20"/>
  <c r="G167" i="20"/>
  <c r="C87" i="20"/>
  <c r="D87" i="20" s="1"/>
  <c r="C75" i="20"/>
  <c r="D75" i="20" s="1"/>
  <c r="C147" i="20"/>
  <c r="D147" i="20" s="1"/>
  <c r="D18" i="21"/>
  <c r="F18" i="21"/>
  <c r="C46" i="20"/>
  <c r="D46" i="20" s="1"/>
  <c r="E57" i="15"/>
  <c r="C63" i="20"/>
  <c r="C61" i="20"/>
  <c r="D61" i="20" s="1"/>
  <c r="E78" i="15"/>
  <c r="E86" i="15"/>
  <c r="C70" i="20"/>
  <c r="C6" i="18"/>
  <c r="D6" i="18" s="1"/>
  <c r="C81" i="20"/>
  <c r="D81" i="20" s="1"/>
  <c r="E91" i="15"/>
  <c r="F91" i="15" s="1"/>
  <c r="E117" i="15"/>
  <c r="C191" i="20"/>
  <c r="E188" i="15"/>
  <c r="F49" i="21"/>
  <c r="I39" i="15"/>
  <c r="I38" i="15" s="1"/>
  <c r="E118" i="15"/>
  <c r="F118" i="15" s="1"/>
  <c r="G36" i="15"/>
  <c r="G35" i="15" s="1"/>
  <c r="H35" i="15" s="1"/>
  <c r="E84" i="15"/>
  <c r="E83" i="15" s="1"/>
  <c r="F28" i="21"/>
  <c r="G30" i="15"/>
  <c r="H30" i="15" s="1"/>
  <c r="F20" i="21"/>
  <c r="G10" i="15"/>
  <c r="G97" i="15"/>
  <c r="D17" i="21"/>
  <c r="F17" i="21"/>
  <c r="F76" i="21"/>
  <c r="D76" i="21"/>
  <c r="H24" i="20"/>
  <c r="C6" i="20"/>
  <c r="D6" i="20" s="1"/>
  <c r="C8" i="18"/>
  <c r="D8" i="18" s="1"/>
  <c r="E16" i="15"/>
  <c r="E47" i="15"/>
  <c r="C36" i="20"/>
  <c r="D36" i="20" s="1"/>
  <c r="C7" i="18"/>
  <c r="D7" i="18" s="1"/>
  <c r="C23" i="21"/>
  <c r="D23" i="21" s="1"/>
  <c r="G9" i="21"/>
  <c r="H9" i="21" s="1"/>
  <c r="H10" i="21"/>
  <c r="C12" i="21"/>
  <c r="D14" i="21"/>
  <c r="H37" i="21"/>
  <c r="E36" i="21"/>
  <c r="F44" i="21"/>
  <c r="C43" i="21"/>
  <c r="G142" i="20"/>
  <c r="I145" i="15"/>
  <c r="G179" i="20"/>
  <c r="I168" i="15"/>
  <c r="I180" i="15"/>
  <c r="E94" i="15"/>
  <c r="F94" i="15" s="1"/>
  <c r="C16" i="21"/>
  <c r="D19" i="21"/>
  <c r="F19" i="21"/>
  <c r="D33" i="21"/>
  <c r="C32" i="21"/>
  <c r="D63" i="21"/>
  <c r="F63" i="21"/>
  <c r="H6" i="20"/>
  <c r="E58" i="20"/>
  <c r="E56" i="20" s="1"/>
  <c r="G73" i="15"/>
  <c r="G72" i="15" s="1"/>
  <c r="H50" i="20"/>
  <c r="F50" i="20"/>
  <c r="H82" i="20"/>
  <c r="F82" i="20"/>
  <c r="H138" i="20"/>
  <c r="G39" i="20"/>
  <c r="I47" i="15"/>
  <c r="G35" i="20"/>
  <c r="H35" i="20" s="1"/>
  <c r="I42" i="15"/>
  <c r="I41" i="15" s="1"/>
  <c r="G115" i="20"/>
  <c r="I130" i="15"/>
  <c r="F47" i="21"/>
  <c r="H8" i="20"/>
  <c r="F98" i="20"/>
  <c r="F158" i="20"/>
  <c r="F11" i="20"/>
  <c r="E106" i="20"/>
  <c r="G61" i="20"/>
  <c r="F183" i="20"/>
  <c r="H183" i="20"/>
  <c r="F48" i="20"/>
  <c r="H162" i="20"/>
  <c r="F162" i="20"/>
  <c r="G153" i="20"/>
  <c r="E169" i="20"/>
  <c r="E177" i="20"/>
  <c r="G186" i="20"/>
  <c r="G184" i="20" s="1"/>
  <c r="F51" i="20"/>
  <c r="H49" i="21"/>
  <c r="H71" i="21"/>
  <c r="H17" i="20"/>
  <c r="F139" i="20"/>
  <c r="H139" i="20"/>
  <c r="H47" i="20"/>
  <c r="E93" i="20"/>
  <c r="E85" i="20"/>
  <c r="E107" i="20"/>
  <c r="E120" i="20"/>
  <c r="F161" i="20"/>
  <c r="G40" i="20"/>
  <c r="G62" i="20"/>
  <c r="G87" i="20"/>
  <c r="G76" i="20"/>
  <c r="G104" i="20"/>
  <c r="G113" i="20"/>
  <c r="G147" i="20"/>
  <c r="G146" i="20"/>
  <c r="E174" i="20"/>
  <c r="E173" i="20" s="1"/>
  <c r="E171" i="20"/>
  <c r="G168" i="20"/>
  <c r="C58" i="20"/>
  <c r="C71" i="20"/>
  <c r="D71" i="20" s="1"/>
  <c r="C69" i="20"/>
  <c r="D69" i="20" s="1"/>
  <c r="C93" i="20"/>
  <c r="D93" i="20" s="1"/>
  <c r="C85" i="20"/>
  <c r="D85" i="20" s="1"/>
  <c r="C80" i="20"/>
  <c r="C76" i="20"/>
  <c r="D76" i="20" s="1"/>
  <c r="C107" i="20"/>
  <c r="D107" i="20" s="1"/>
  <c r="C164" i="20"/>
  <c r="D164" i="20" s="1"/>
  <c r="C151" i="20"/>
  <c r="D151" i="20" s="1"/>
  <c r="C148" i="20"/>
  <c r="C146" i="20"/>
  <c r="D146" i="20" s="1"/>
  <c r="E39" i="20"/>
  <c r="G86" i="15"/>
  <c r="H90" i="20"/>
  <c r="E146" i="20"/>
  <c r="G55" i="20"/>
  <c r="G53" i="20" s="1"/>
  <c r="G88" i="20"/>
  <c r="G84" i="20"/>
  <c r="G148" i="20"/>
  <c r="G144" i="20"/>
  <c r="C88" i="20"/>
  <c r="D88" i="20" s="1"/>
  <c r="C104" i="20"/>
  <c r="D104" i="20" s="1"/>
  <c r="C163" i="20"/>
  <c r="D163" i="20" s="1"/>
  <c r="C167" i="20"/>
  <c r="E87" i="20"/>
  <c r="E76" i="20"/>
  <c r="E128" i="20"/>
  <c r="E126" i="20"/>
  <c r="E163" i="20"/>
  <c r="E155" i="20"/>
  <c r="E152" i="20"/>
  <c r="G83" i="20"/>
  <c r="G95" i="20"/>
  <c r="G94" i="20" s="1"/>
  <c r="G105" i="20"/>
  <c r="G164" i="20"/>
  <c r="G155" i="20"/>
  <c r="E168" i="20"/>
  <c r="G177" i="20"/>
  <c r="C55" i="20"/>
  <c r="C64" i="20"/>
  <c r="D64" i="20" s="1"/>
  <c r="C77" i="20"/>
  <c r="D77" i="20" s="1"/>
  <c r="C113" i="20"/>
  <c r="C155" i="20"/>
  <c r="D155" i="20" s="1"/>
  <c r="C153" i="20"/>
  <c r="D153" i="20" s="1"/>
  <c r="E29" i="15"/>
  <c r="H13" i="21"/>
  <c r="G12" i="21"/>
  <c r="C36" i="21"/>
  <c r="F37" i="21"/>
  <c r="F68" i="21"/>
  <c r="C67" i="21"/>
  <c r="H69" i="21"/>
  <c r="F69" i="21"/>
  <c r="E13" i="20"/>
  <c r="E8" i="18"/>
  <c r="E81" i="20"/>
  <c r="G94" i="15"/>
  <c r="E74" i="20"/>
  <c r="G91" i="15"/>
  <c r="E109" i="20"/>
  <c r="F109" i="20" s="1"/>
  <c r="F110" i="20"/>
  <c r="G117" i="15"/>
  <c r="E131" i="20"/>
  <c r="F132" i="20"/>
  <c r="H132" i="20"/>
  <c r="F157" i="20"/>
  <c r="H157" i="20"/>
  <c r="E153" i="20"/>
  <c r="G145" i="15"/>
  <c r="G188" i="15"/>
  <c r="BG301" i="14"/>
  <c r="G16" i="20"/>
  <c r="G12" i="20"/>
  <c r="H12" i="20" s="1"/>
  <c r="C34" i="20"/>
  <c r="E42" i="15"/>
  <c r="C29" i="20"/>
  <c r="D29" i="20" s="1"/>
  <c r="C25" i="20"/>
  <c r="D25" i="20" s="1"/>
  <c r="C5" i="18"/>
  <c r="D48" i="20"/>
  <c r="BF300" i="14"/>
  <c r="G99" i="15"/>
  <c r="D58" i="21"/>
  <c r="F58" i="21"/>
  <c r="C55" i="21"/>
  <c r="D55" i="21" s="1"/>
  <c r="G43" i="21"/>
  <c r="H70" i="21"/>
  <c r="G67" i="21"/>
  <c r="E74" i="21"/>
  <c r="F75" i="21"/>
  <c r="H116" i="20"/>
  <c r="F42" i="20"/>
  <c r="E34" i="20"/>
  <c r="F27" i="20"/>
  <c r="H27" i="20"/>
  <c r="G172" i="20"/>
  <c r="I157" i="15"/>
  <c r="E7" i="18"/>
  <c r="D37" i="21"/>
  <c r="G6" i="21"/>
  <c r="H7" i="21"/>
  <c r="D41" i="21"/>
  <c r="C40" i="21"/>
  <c r="F41" i="21"/>
  <c r="H72" i="21"/>
  <c r="F72" i="21"/>
  <c r="H161" i="20"/>
  <c r="F41" i="20"/>
  <c r="E40" i="20"/>
  <c r="H41" i="20"/>
  <c r="H57" i="20"/>
  <c r="I62" i="15"/>
  <c r="D38" i="21"/>
  <c r="F38" i="21"/>
  <c r="E21" i="20"/>
  <c r="G21" i="15"/>
  <c r="G20" i="20"/>
  <c r="I21" i="15"/>
  <c r="G36" i="20"/>
  <c r="H36" i="20" s="1"/>
  <c r="G7" i="18"/>
  <c r="G32" i="20"/>
  <c r="H32" i="20" s="1"/>
  <c r="E67" i="21"/>
  <c r="H59" i="21"/>
  <c r="E88" i="20"/>
  <c r="H42" i="20"/>
  <c r="H54" i="20"/>
  <c r="H118" i="20"/>
  <c r="C149" i="20"/>
  <c r="C142" i="20"/>
  <c r="E4" i="20"/>
  <c r="E23" i="20"/>
  <c r="F57" i="20"/>
  <c r="E55" i="20"/>
  <c r="E53" i="20" s="1"/>
  <c r="E142" i="20"/>
  <c r="H14" i="20"/>
  <c r="H70" i="20"/>
  <c r="E30" i="20"/>
  <c r="E103" i="20"/>
  <c r="E101" i="20"/>
  <c r="G106" i="20"/>
  <c r="G102" i="20"/>
  <c r="G151" i="20"/>
  <c r="G169" i="20"/>
  <c r="G189" i="20"/>
  <c r="C40" i="20"/>
  <c r="D40" i="20" s="1"/>
  <c r="C49" i="20"/>
  <c r="D49" i="20" s="1"/>
  <c r="C101" i="20"/>
  <c r="C128" i="20"/>
  <c r="C186" i="20"/>
  <c r="D186" i="20" s="1"/>
  <c r="G71" i="20"/>
  <c r="G134" i="20"/>
  <c r="G174" i="20"/>
  <c r="E186" i="20"/>
  <c r="E184" i="20" s="1"/>
  <c r="C92" i="20"/>
  <c r="C174" i="20"/>
  <c r="C168" i="20"/>
  <c r="G67" i="20"/>
  <c r="G101" i="20"/>
  <c r="G130" i="20"/>
  <c r="G150" i="20"/>
  <c r="C16" i="20"/>
  <c r="C39" i="20"/>
  <c r="D39" i="20" s="1"/>
  <c r="C62" i="20"/>
  <c r="C106" i="20"/>
  <c r="C103" i="20"/>
  <c r="D103" i="20" s="1"/>
  <c r="C187" i="20"/>
  <c r="D188" i="20"/>
  <c r="H79" i="15" l="1"/>
  <c r="F173" i="15"/>
  <c r="H46" i="15"/>
  <c r="J58" i="15"/>
  <c r="H36" i="21"/>
  <c r="F121" i="15"/>
  <c r="J174" i="15"/>
  <c r="E155" i="15"/>
  <c r="F155" i="15" s="1"/>
  <c r="J118" i="15"/>
  <c r="H59" i="15"/>
  <c r="F60" i="15"/>
  <c r="H154" i="20"/>
  <c r="I116" i="15"/>
  <c r="I115" i="15" s="1"/>
  <c r="I114" i="15" s="1"/>
  <c r="I12" i="22" s="1"/>
  <c r="K12" i="22" s="1"/>
  <c r="J31" i="15"/>
  <c r="F182" i="15"/>
  <c r="H183" i="15"/>
  <c r="F183" i="15"/>
  <c r="H51" i="15"/>
  <c r="I77" i="15"/>
  <c r="I76" i="15" s="1"/>
  <c r="G49" i="15"/>
  <c r="G48" i="15" s="1"/>
  <c r="C95" i="20"/>
  <c r="F95" i="20" s="1"/>
  <c r="H97" i="15"/>
  <c r="F156" i="15"/>
  <c r="H177" i="15"/>
  <c r="G58" i="20"/>
  <c r="H58" i="20" s="1"/>
  <c r="F178" i="15"/>
  <c r="H128" i="20"/>
  <c r="J32" i="15"/>
  <c r="J26" i="15"/>
  <c r="J67" i="15"/>
  <c r="J135" i="15"/>
  <c r="J51" i="15"/>
  <c r="J57" i="15"/>
  <c r="J63" i="15"/>
  <c r="E119" i="15"/>
  <c r="H119" i="15" s="1"/>
  <c r="F84" i="20"/>
  <c r="J175" i="15"/>
  <c r="H39" i="15"/>
  <c r="H156" i="15"/>
  <c r="F154" i="20"/>
  <c r="J27" i="15"/>
  <c r="H43" i="21"/>
  <c r="J46" i="15"/>
  <c r="J105" i="15"/>
  <c r="G136" i="15"/>
  <c r="G133" i="15" s="1"/>
  <c r="F102" i="20"/>
  <c r="H151" i="20"/>
  <c r="D154" i="20"/>
  <c r="H75" i="20"/>
  <c r="G61" i="15"/>
  <c r="I66" i="15"/>
  <c r="J79" i="15"/>
  <c r="H9" i="15"/>
  <c r="H70" i="15"/>
  <c r="H128" i="15"/>
  <c r="I55" i="15"/>
  <c r="H25" i="15"/>
  <c r="F24" i="21"/>
  <c r="H92" i="20"/>
  <c r="H63" i="15"/>
  <c r="F26" i="15"/>
  <c r="E134" i="15"/>
  <c r="F134" i="15" s="1"/>
  <c r="J102" i="15"/>
  <c r="E181" i="20"/>
  <c r="E180" i="20" s="1"/>
  <c r="G182" i="15"/>
  <c r="G181" i="15" s="1"/>
  <c r="H181" i="15" s="1"/>
  <c r="H121" i="15"/>
  <c r="G55" i="15"/>
  <c r="H135" i="15"/>
  <c r="J96" i="15"/>
  <c r="H177" i="20"/>
  <c r="J131" i="15"/>
  <c r="J68" i="15"/>
  <c r="I49" i="15"/>
  <c r="H26" i="15"/>
  <c r="G30" i="20"/>
  <c r="H30" i="20" s="1"/>
  <c r="J39" i="15"/>
  <c r="G155" i="15"/>
  <c r="G154" i="15" s="1"/>
  <c r="G77" i="15"/>
  <c r="G76" i="15" s="1"/>
  <c r="G75" i="15" s="1"/>
  <c r="G8" i="22" s="1"/>
  <c r="J93" i="15"/>
  <c r="G45" i="15"/>
  <c r="H16" i="20"/>
  <c r="E67" i="15"/>
  <c r="H67" i="15" s="1"/>
  <c r="J104" i="15"/>
  <c r="J28" i="15"/>
  <c r="H115" i="20"/>
  <c r="F144" i="20"/>
  <c r="H64" i="20"/>
  <c r="E10" i="20"/>
  <c r="E9" i="20" s="1"/>
  <c r="H68" i="15"/>
  <c r="H164" i="20"/>
  <c r="F152" i="20"/>
  <c r="H148" i="20"/>
  <c r="J25" i="15"/>
  <c r="H51" i="21"/>
  <c r="F35" i="20"/>
  <c r="H95" i="15"/>
  <c r="E55" i="21"/>
  <c r="F55" i="21" s="1"/>
  <c r="F7" i="18"/>
  <c r="F114" i="20"/>
  <c r="F84" i="15"/>
  <c r="F138" i="20"/>
  <c r="H191" i="20"/>
  <c r="I82" i="15"/>
  <c r="I81" i="15" s="1"/>
  <c r="I9" i="22" s="1"/>
  <c r="K9" i="22" s="1"/>
  <c r="E44" i="20"/>
  <c r="E43" i="20" s="1"/>
  <c r="H113" i="20"/>
  <c r="H79" i="20"/>
  <c r="H32" i="15"/>
  <c r="H58" i="15"/>
  <c r="H34" i="20"/>
  <c r="J91" i="15"/>
  <c r="J42" i="15"/>
  <c r="J183" i="15"/>
  <c r="G101" i="15"/>
  <c r="G100" i="15" s="1"/>
  <c r="H31" i="15"/>
  <c r="E176" i="20"/>
  <c r="E175" i="20" s="1"/>
  <c r="H27" i="21"/>
  <c r="J16" i="15"/>
  <c r="H50" i="15"/>
  <c r="H178" i="15"/>
  <c r="H105" i="15"/>
  <c r="I151" i="15"/>
  <c r="I150" i="15" s="1"/>
  <c r="G44" i="20"/>
  <c r="F99" i="15"/>
  <c r="J50" i="15"/>
  <c r="H102" i="15"/>
  <c r="H84" i="15"/>
  <c r="H62" i="20"/>
  <c r="H102" i="20"/>
  <c r="J117" i="15"/>
  <c r="H83" i="20"/>
  <c r="H104" i="20"/>
  <c r="H80" i="20"/>
  <c r="H111" i="15"/>
  <c r="H143" i="20"/>
  <c r="C134" i="20"/>
  <c r="D134" i="20" s="1"/>
  <c r="H106" i="20"/>
  <c r="H120" i="15"/>
  <c r="F135" i="20"/>
  <c r="F177" i="20"/>
  <c r="F178" i="20"/>
  <c r="H131" i="15"/>
  <c r="F27" i="21"/>
  <c r="F78" i="21"/>
  <c r="F8" i="18"/>
  <c r="G176" i="20"/>
  <c r="G175" i="20" s="1"/>
  <c r="H105" i="20"/>
  <c r="F44" i="15"/>
  <c r="F143" i="20"/>
  <c r="F31" i="20"/>
  <c r="I14" i="15"/>
  <c r="I13" i="15" s="1"/>
  <c r="I12" i="15" s="1"/>
  <c r="I4" i="22" s="1"/>
  <c r="H160" i="15"/>
  <c r="H69" i="20"/>
  <c r="E139" i="15"/>
  <c r="F139" i="15" s="1"/>
  <c r="J97" i="15"/>
  <c r="H77" i="20"/>
  <c r="G23" i="20"/>
  <c r="H23" i="20" s="1"/>
  <c r="C176" i="20"/>
  <c r="H169" i="20"/>
  <c r="H6" i="18"/>
  <c r="E176" i="15"/>
  <c r="F176" i="15" s="1"/>
  <c r="H84" i="20"/>
  <c r="F164" i="20"/>
  <c r="H49" i="20"/>
  <c r="F97" i="20"/>
  <c r="J59" i="15"/>
  <c r="F32" i="15"/>
  <c r="E110" i="15"/>
  <c r="H32" i="21"/>
  <c r="H25" i="20"/>
  <c r="H74" i="21"/>
  <c r="F28" i="15"/>
  <c r="H28" i="15"/>
  <c r="F87" i="20"/>
  <c r="H120" i="20"/>
  <c r="F78" i="20"/>
  <c r="J153" i="15"/>
  <c r="C170" i="20"/>
  <c r="D170" i="20" s="1"/>
  <c r="F180" i="15"/>
  <c r="H27" i="15"/>
  <c r="H144" i="20"/>
  <c r="H107" i="20"/>
  <c r="F105" i="20"/>
  <c r="F91" i="20"/>
  <c r="J167" i="15"/>
  <c r="E66" i="20"/>
  <c r="E65" i="20" s="1"/>
  <c r="F159" i="15"/>
  <c r="E158" i="15"/>
  <c r="F158" i="15" s="1"/>
  <c r="H132" i="15"/>
  <c r="F34" i="15"/>
  <c r="E33" i="15"/>
  <c r="F33" i="15" s="1"/>
  <c r="F126" i="15"/>
  <c r="H126" i="15"/>
  <c r="E125" i="15"/>
  <c r="F125" i="15" s="1"/>
  <c r="H10" i="15"/>
  <c r="H157" i="15"/>
  <c r="H103" i="15"/>
  <c r="H179" i="20"/>
  <c r="H130" i="15"/>
  <c r="J126" i="15"/>
  <c r="J160" i="15"/>
  <c r="H93" i="15"/>
  <c r="F50" i="15"/>
  <c r="E49" i="15"/>
  <c r="H130" i="20"/>
  <c r="H71" i="20"/>
  <c r="G4" i="20"/>
  <c r="G3" i="20" s="1"/>
  <c r="E129" i="15"/>
  <c r="F129" i="15" s="1"/>
  <c r="F119" i="20"/>
  <c r="H60" i="15"/>
  <c r="J147" i="15"/>
  <c r="J78" i="15"/>
  <c r="G73" i="20"/>
  <c r="F160" i="15"/>
  <c r="I134" i="15"/>
  <c r="J60" i="15"/>
  <c r="F65" i="15"/>
  <c r="H65" i="15"/>
  <c r="E64" i="15"/>
  <c r="E174" i="15"/>
  <c r="H175" i="15"/>
  <c r="F175" i="15"/>
  <c r="F45" i="20"/>
  <c r="E8" i="15"/>
  <c r="F8" i="15" s="1"/>
  <c r="E144" i="15"/>
  <c r="E143" i="15" s="1"/>
  <c r="E142" i="15" s="1"/>
  <c r="G166" i="15"/>
  <c r="G165" i="15" s="1"/>
  <c r="G164" i="15" s="1"/>
  <c r="G17" i="22" s="1"/>
  <c r="F61" i="20"/>
  <c r="G86" i="20"/>
  <c r="I177" i="15"/>
  <c r="J177" i="15" s="1"/>
  <c r="J178" i="15"/>
  <c r="E72" i="15"/>
  <c r="H72" i="15" s="1"/>
  <c r="F73" i="15"/>
  <c r="H74" i="20"/>
  <c r="H168" i="15"/>
  <c r="J35" i="15"/>
  <c r="G60" i="20"/>
  <c r="G59" i="20" s="1"/>
  <c r="H140" i="15"/>
  <c r="E166" i="20"/>
  <c r="F128" i="15"/>
  <c r="C30" i="20"/>
  <c r="D30" i="20" s="1"/>
  <c r="F137" i="20"/>
  <c r="H137" i="20"/>
  <c r="F70" i="15"/>
  <c r="E69" i="15"/>
  <c r="F69" i="15" s="1"/>
  <c r="F137" i="15"/>
  <c r="E136" i="15"/>
  <c r="H56" i="15"/>
  <c r="J56" i="15"/>
  <c r="E101" i="15"/>
  <c r="J128" i="15"/>
  <c r="G127" i="15"/>
  <c r="I90" i="15"/>
  <c r="I89" i="15" s="1"/>
  <c r="H137" i="15"/>
  <c r="F90" i="20"/>
  <c r="D20" i="20"/>
  <c r="F20" i="20"/>
  <c r="F124" i="20"/>
  <c r="H36" i="15"/>
  <c r="C4" i="20"/>
  <c r="F4" i="20" s="1"/>
  <c r="F36" i="20"/>
  <c r="F29" i="20"/>
  <c r="J36" i="15"/>
  <c r="E166" i="15"/>
  <c r="F166" i="15" s="1"/>
  <c r="F93" i="20"/>
  <c r="F6" i="20"/>
  <c r="F6" i="18"/>
  <c r="H117" i="20"/>
  <c r="F130" i="20"/>
  <c r="C131" i="20"/>
  <c r="D131" i="20" s="1"/>
  <c r="J132" i="15"/>
  <c r="H96" i="15"/>
  <c r="C19" i="20"/>
  <c r="C18" i="20" s="1"/>
  <c r="D18" i="20" s="1"/>
  <c r="F129" i="20"/>
  <c r="F26" i="20"/>
  <c r="F169" i="20"/>
  <c r="G129" i="15"/>
  <c r="F115" i="20"/>
  <c r="J140" i="15"/>
  <c r="H93" i="20"/>
  <c r="G69" i="15"/>
  <c r="J70" i="15"/>
  <c r="E38" i="15"/>
  <c r="F39" i="15"/>
  <c r="F133" i="20"/>
  <c r="F147" i="20"/>
  <c r="E20" i="15"/>
  <c r="F21" i="15"/>
  <c r="E150" i="20"/>
  <c r="F150" i="20" s="1"/>
  <c r="J15" i="15"/>
  <c r="H15" i="15"/>
  <c r="G14" i="15"/>
  <c r="G43" i="15"/>
  <c r="J44" i="15"/>
  <c r="E60" i="20"/>
  <c r="E59" i="20" s="1"/>
  <c r="F67" i="21"/>
  <c r="F25" i="20"/>
  <c r="H44" i="15"/>
  <c r="G146" i="15"/>
  <c r="G144" i="15" s="1"/>
  <c r="C66" i="20"/>
  <c r="C65" i="20" s="1"/>
  <c r="D65" i="20" s="1"/>
  <c r="H168" i="20"/>
  <c r="H147" i="20"/>
  <c r="H87" i="20"/>
  <c r="H39" i="20"/>
  <c r="F58" i="20"/>
  <c r="E151" i="15"/>
  <c r="E150" i="15" s="1"/>
  <c r="I139" i="15"/>
  <c r="F7" i="20"/>
  <c r="I172" i="15"/>
  <c r="J173" i="15"/>
  <c r="F67" i="20"/>
  <c r="F122" i="20"/>
  <c r="D122" i="20"/>
  <c r="J103" i="15"/>
  <c r="I101" i="15"/>
  <c r="I100" i="15" s="1"/>
  <c r="J92" i="15"/>
  <c r="H92" i="15"/>
  <c r="J84" i="15"/>
  <c r="G83" i="15"/>
  <c r="J83" i="15" s="1"/>
  <c r="F37" i="20"/>
  <c r="H37" i="20"/>
  <c r="H63" i="21"/>
  <c r="G62" i="21"/>
  <c r="H62" i="21" s="1"/>
  <c r="H153" i="15"/>
  <c r="H167" i="15"/>
  <c r="G33" i="20"/>
  <c r="F64" i="20"/>
  <c r="H12" i="21"/>
  <c r="E90" i="15"/>
  <c r="E89" i="15" s="1"/>
  <c r="E170" i="20"/>
  <c r="F107" i="20"/>
  <c r="F77" i="20"/>
  <c r="H167" i="20"/>
  <c r="G181" i="20"/>
  <c r="G180" i="20" s="1"/>
  <c r="H182" i="20"/>
  <c r="I8" i="15"/>
  <c r="I7" i="15" s="1"/>
  <c r="I6" i="15" s="1"/>
  <c r="I3" i="22" s="1"/>
  <c r="K3" i="22" s="1"/>
  <c r="J9" i="15"/>
  <c r="J152" i="15"/>
  <c r="H152" i="15"/>
  <c r="G151" i="15"/>
  <c r="J112" i="15"/>
  <c r="H112" i="15"/>
  <c r="G171" i="20"/>
  <c r="I156" i="15"/>
  <c r="J156" i="15" s="1"/>
  <c r="H147" i="15"/>
  <c r="C112" i="20"/>
  <c r="D112" i="20" s="1"/>
  <c r="H91" i="20"/>
  <c r="H172" i="20"/>
  <c r="G8" i="18"/>
  <c r="H8" i="18" s="1"/>
  <c r="BG300" i="14"/>
  <c r="BG302" i="14" s="1"/>
  <c r="J106" i="15"/>
  <c r="H106" i="15"/>
  <c r="F83" i="20"/>
  <c r="D83" i="20"/>
  <c r="F51" i="21"/>
  <c r="D51" i="21"/>
  <c r="F62" i="15"/>
  <c r="H62" i="15"/>
  <c r="E61" i="15"/>
  <c r="F61" i="15" s="1"/>
  <c r="G172" i="15"/>
  <c r="H173" i="15"/>
  <c r="F96" i="20"/>
  <c r="H96" i="20"/>
  <c r="H24" i="21"/>
  <c r="G23" i="21"/>
  <c r="H23" i="21" s="1"/>
  <c r="F75" i="20"/>
  <c r="H34" i="15"/>
  <c r="J34" i="15"/>
  <c r="G33" i="15"/>
  <c r="G110" i="15"/>
  <c r="J110" i="15" s="1"/>
  <c r="G179" i="15"/>
  <c r="H180" i="15"/>
  <c r="I64" i="15"/>
  <c r="J64" i="15" s="1"/>
  <c r="J65" i="15"/>
  <c r="H16" i="21"/>
  <c r="D55" i="20"/>
  <c r="C53" i="20"/>
  <c r="D53" i="20" s="1"/>
  <c r="H126" i="20"/>
  <c r="F126" i="20"/>
  <c r="BH223" i="14"/>
  <c r="AJ300" i="14"/>
  <c r="AJ302" i="14" s="1"/>
  <c r="G57" i="21"/>
  <c r="J47" i="15"/>
  <c r="I45" i="15"/>
  <c r="G71" i="15"/>
  <c r="J71" i="15" s="1"/>
  <c r="I179" i="15"/>
  <c r="J180" i="15"/>
  <c r="F12" i="21"/>
  <c r="D12" i="21"/>
  <c r="E116" i="15"/>
  <c r="F117" i="15"/>
  <c r="F167" i="20"/>
  <c r="D167" i="20"/>
  <c r="F148" i="20"/>
  <c r="D148" i="20"/>
  <c r="F69" i="20"/>
  <c r="F113" i="20"/>
  <c r="D113" i="20"/>
  <c r="F155" i="20"/>
  <c r="G85" i="15"/>
  <c r="J86" i="15"/>
  <c r="H86" i="15"/>
  <c r="F80" i="20"/>
  <c r="D80" i="20"/>
  <c r="F151" i="20"/>
  <c r="F71" i="20"/>
  <c r="J125" i="15"/>
  <c r="J168" i="15"/>
  <c r="I166" i="15"/>
  <c r="H47" i="15"/>
  <c r="E45" i="15"/>
  <c r="F47" i="15"/>
  <c r="E189" i="20"/>
  <c r="H189" i="20" s="1"/>
  <c r="H118" i="15"/>
  <c r="F188" i="15"/>
  <c r="E187" i="15"/>
  <c r="D63" i="20"/>
  <c r="F63" i="20"/>
  <c r="G112" i="20"/>
  <c r="G111" i="20" s="1"/>
  <c r="F55" i="20"/>
  <c r="C73" i="20"/>
  <c r="D73" i="20" s="1"/>
  <c r="H131" i="20"/>
  <c r="G10" i="20"/>
  <c r="H61" i="20"/>
  <c r="F120" i="20"/>
  <c r="H67" i="21"/>
  <c r="J72" i="15"/>
  <c r="J30" i="15"/>
  <c r="H73" i="15"/>
  <c r="F163" i="20"/>
  <c r="H163" i="20"/>
  <c r="F76" i="20"/>
  <c r="H146" i="20"/>
  <c r="F146" i="20"/>
  <c r="C56" i="20"/>
  <c r="D56" i="20" s="1"/>
  <c r="D58" i="20"/>
  <c r="F85" i="20"/>
  <c r="H85" i="20"/>
  <c r="F104" i="20"/>
  <c r="H152" i="20"/>
  <c r="J181" i="15"/>
  <c r="F46" i="20"/>
  <c r="J10" i="15"/>
  <c r="G8" i="15"/>
  <c r="F83" i="15"/>
  <c r="G158" i="15"/>
  <c r="J159" i="15"/>
  <c r="H159" i="15"/>
  <c r="F70" i="20"/>
  <c r="D70" i="20"/>
  <c r="F78" i="15"/>
  <c r="E77" i="15"/>
  <c r="E55" i="15"/>
  <c r="F57" i="15"/>
  <c r="H57" i="15"/>
  <c r="C23" i="20"/>
  <c r="D23" i="20" s="1"/>
  <c r="H53" i="20"/>
  <c r="E112" i="20"/>
  <c r="E111" i="20" s="1"/>
  <c r="F171" i="20"/>
  <c r="F23" i="21"/>
  <c r="G29" i="15"/>
  <c r="J29" i="15" s="1"/>
  <c r="J73" i="15"/>
  <c r="H155" i="20"/>
  <c r="H76" i="20"/>
  <c r="I129" i="15"/>
  <c r="J130" i="15"/>
  <c r="F32" i="21"/>
  <c r="D32" i="21"/>
  <c r="D16" i="21"/>
  <c r="F16" i="21"/>
  <c r="F43" i="21"/>
  <c r="D43" i="21"/>
  <c r="F16" i="15"/>
  <c r="E14" i="15"/>
  <c r="H16" i="15"/>
  <c r="C190" i="20"/>
  <c r="F190" i="20" s="1"/>
  <c r="F191" i="20"/>
  <c r="D191" i="20"/>
  <c r="F86" i="15"/>
  <c r="E85" i="15"/>
  <c r="F85" i="15" s="1"/>
  <c r="H78" i="15"/>
  <c r="G173" i="20"/>
  <c r="H173" i="20" s="1"/>
  <c r="H174" i="20"/>
  <c r="E94" i="20"/>
  <c r="H95" i="20"/>
  <c r="F21" i="20"/>
  <c r="E19" i="20"/>
  <c r="H21" i="20"/>
  <c r="F40" i="20"/>
  <c r="H40" i="20"/>
  <c r="E81" i="21"/>
  <c r="F74" i="21"/>
  <c r="BF302" i="14"/>
  <c r="C9" i="18"/>
  <c r="D9" i="18" s="1"/>
  <c r="D5" i="18"/>
  <c r="J188" i="15"/>
  <c r="G187" i="15"/>
  <c r="H188" i="15"/>
  <c r="J94" i="15"/>
  <c r="H94" i="15"/>
  <c r="F13" i="20"/>
  <c r="H13" i="20"/>
  <c r="D36" i="21"/>
  <c r="F36" i="21"/>
  <c r="C65" i="21"/>
  <c r="J38" i="15"/>
  <c r="I37" i="15"/>
  <c r="J37" i="15" s="1"/>
  <c r="I24" i="15"/>
  <c r="D62" i="20"/>
  <c r="F62" i="20"/>
  <c r="E3" i="20"/>
  <c r="C173" i="20"/>
  <c r="D173" i="20" s="1"/>
  <c r="D174" i="20"/>
  <c r="C60" i="20"/>
  <c r="I20" i="15"/>
  <c r="J21" i="15"/>
  <c r="C184" i="20"/>
  <c r="F16" i="20"/>
  <c r="D16" i="20"/>
  <c r="C10" i="20"/>
  <c r="H134" i="20"/>
  <c r="D128" i="20"/>
  <c r="F128" i="20"/>
  <c r="C44" i="20"/>
  <c r="H103" i="20"/>
  <c r="F103" i="20"/>
  <c r="F49" i="20"/>
  <c r="C141" i="20"/>
  <c r="D142" i="20"/>
  <c r="H88" i="20"/>
  <c r="F88" i="20"/>
  <c r="G19" i="20"/>
  <c r="H20" i="20"/>
  <c r="J62" i="15"/>
  <c r="I61" i="15"/>
  <c r="H6" i="21"/>
  <c r="J157" i="15"/>
  <c r="F174" i="20"/>
  <c r="G98" i="15"/>
  <c r="H99" i="15"/>
  <c r="J99" i="15"/>
  <c r="F42" i="15"/>
  <c r="E41" i="15"/>
  <c r="H145" i="15"/>
  <c r="J145" i="15"/>
  <c r="F81" i="20"/>
  <c r="H81" i="20"/>
  <c r="F39" i="20"/>
  <c r="D67" i="21"/>
  <c r="C81" i="21"/>
  <c r="D81" i="21" s="1"/>
  <c r="I109" i="15"/>
  <c r="I11" i="22"/>
  <c r="F29" i="15"/>
  <c r="D187" i="20"/>
  <c r="F187" i="20"/>
  <c r="G100" i="20"/>
  <c r="H101" i="20"/>
  <c r="F92" i="20"/>
  <c r="D92" i="20"/>
  <c r="H184" i="20"/>
  <c r="G66" i="20"/>
  <c r="H67" i="20"/>
  <c r="E100" i="20"/>
  <c r="F101" i="20"/>
  <c r="F106" i="20"/>
  <c r="D106" i="20"/>
  <c r="G166" i="20"/>
  <c r="C86" i="20"/>
  <c r="D86" i="20" s="1"/>
  <c r="H186" i="20"/>
  <c r="F186" i="20"/>
  <c r="C100" i="20"/>
  <c r="D101" i="20"/>
  <c r="H142" i="20"/>
  <c r="F142" i="20"/>
  <c r="F149" i="20"/>
  <c r="D149" i="20"/>
  <c r="H7" i="18"/>
  <c r="G81" i="21"/>
  <c r="E86" i="20"/>
  <c r="D40" i="21"/>
  <c r="F40" i="21"/>
  <c r="C33" i="20"/>
  <c r="D33" i="20" s="1"/>
  <c r="D34" i="20"/>
  <c r="H91" i="15"/>
  <c r="G90" i="15"/>
  <c r="J41" i="15"/>
  <c r="H42" i="15"/>
  <c r="F168" i="20"/>
  <c r="C166" i="20"/>
  <c r="D168" i="20"/>
  <c r="G20" i="15"/>
  <c r="H21" i="15"/>
  <c r="E33" i="20"/>
  <c r="F34" i="20"/>
  <c r="F5" i="18"/>
  <c r="E9" i="18"/>
  <c r="F153" i="20"/>
  <c r="H153" i="20"/>
  <c r="G116" i="15"/>
  <c r="H117" i="15"/>
  <c r="E73" i="20"/>
  <c r="F74" i="20"/>
  <c r="H55" i="20"/>
  <c r="E154" i="15" l="1"/>
  <c r="E149" i="15" s="1"/>
  <c r="J136" i="15"/>
  <c r="F119" i="15"/>
  <c r="D95" i="20"/>
  <c r="F67" i="15"/>
  <c r="C94" i="20"/>
  <c r="D94" i="20" s="1"/>
  <c r="J49" i="15"/>
  <c r="G56" i="20"/>
  <c r="H56" i="20" s="1"/>
  <c r="H73" i="20"/>
  <c r="G54" i="15"/>
  <c r="E65" i="21"/>
  <c r="F65" i="21" s="1"/>
  <c r="I48" i="15"/>
  <c r="J48" i="15" s="1"/>
  <c r="J45" i="15"/>
  <c r="J77" i="15"/>
  <c r="J55" i="15"/>
  <c r="F134" i="20"/>
  <c r="F181" i="20"/>
  <c r="F176" i="20"/>
  <c r="H176" i="20"/>
  <c r="H101" i="15"/>
  <c r="H134" i="15"/>
  <c r="D176" i="20"/>
  <c r="F90" i="15"/>
  <c r="H155" i="15"/>
  <c r="H182" i="15"/>
  <c r="J182" i="15"/>
  <c r="E138" i="15"/>
  <c r="F138" i="15" s="1"/>
  <c r="G72" i="20"/>
  <c r="C175" i="20"/>
  <c r="D175" i="20" s="1"/>
  <c r="H139" i="15"/>
  <c r="F143" i="15"/>
  <c r="F23" i="20"/>
  <c r="F10" i="20"/>
  <c r="E7" i="15"/>
  <c r="E6" i="15" s="1"/>
  <c r="H10" i="20"/>
  <c r="D4" i="20"/>
  <c r="C3" i="20"/>
  <c r="D3" i="20" s="1"/>
  <c r="F144" i="15"/>
  <c r="H44" i="20"/>
  <c r="F44" i="20"/>
  <c r="G124" i="15"/>
  <c r="G123" i="15" s="1"/>
  <c r="G13" i="22" s="1"/>
  <c r="G22" i="20"/>
  <c r="E66" i="15"/>
  <c r="F66" i="15" s="1"/>
  <c r="H129" i="15"/>
  <c r="H29" i="15"/>
  <c r="C111" i="20"/>
  <c r="D111" i="20" s="1"/>
  <c r="F170" i="20"/>
  <c r="E24" i="15"/>
  <c r="F24" i="15" s="1"/>
  <c r="H8" i="15"/>
  <c r="H180" i="20"/>
  <c r="F110" i="15"/>
  <c r="E109" i="15"/>
  <c r="F86" i="20"/>
  <c r="E141" i="20"/>
  <c r="F141" i="20" s="1"/>
  <c r="H4" i="20"/>
  <c r="H60" i="20"/>
  <c r="E165" i="20"/>
  <c r="E124" i="15"/>
  <c r="F124" i="15" s="1"/>
  <c r="G9" i="20"/>
  <c r="H9" i="20" s="1"/>
  <c r="H181" i="20"/>
  <c r="F151" i="15"/>
  <c r="H146" i="15"/>
  <c r="H125" i="15"/>
  <c r="H151" i="15"/>
  <c r="I88" i="15"/>
  <c r="I10" i="22" s="1"/>
  <c r="K10" i="22" s="1"/>
  <c r="H166" i="15"/>
  <c r="F174" i="15"/>
  <c r="E171" i="15"/>
  <c r="H174" i="15"/>
  <c r="F49" i="15"/>
  <c r="E48" i="15"/>
  <c r="H49" i="15"/>
  <c r="F64" i="15"/>
  <c r="H64" i="15"/>
  <c r="J134" i="15"/>
  <c r="I133" i="15"/>
  <c r="J133" i="15" s="1"/>
  <c r="F131" i="20"/>
  <c r="F136" i="15"/>
  <c r="E133" i="15"/>
  <c r="J101" i="15"/>
  <c r="F166" i="20"/>
  <c r="G24" i="15"/>
  <c r="J24" i="15" s="1"/>
  <c r="E165" i="15"/>
  <c r="F165" i="15" s="1"/>
  <c r="H83" i="15"/>
  <c r="H38" i="15"/>
  <c r="F38" i="15"/>
  <c r="E37" i="15"/>
  <c r="E100" i="15"/>
  <c r="F100" i="15" s="1"/>
  <c r="F101" i="15"/>
  <c r="F72" i="15"/>
  <c r="E71" i="15"/>
  <c r="F71" i="15" s="1"/>
  <c r="F9" i="18"/>
  <c r="D19" i="20"/>
  <c r="F66" i="20"/>
  <c r="F60" i="20"/>
  <c r="G43" i="20"/>
  <c r="H43" i="20" s="1"/>
  <c r="D66" i="20"/>
  <c r="F65" i="20"/>
  <c r="G66" i="15"/>
  <c r="H69" i="15"/>
  <c r="J69" i="15"/>
  <c r="H136" i="15"/>
  <c r="H127" i="15"/>
  <c r="J127" i="15"/>
  <c r="F30" i="20"/>
  <c r="F112" i="20"/>
  <c r="I40" i="15"/>
  <c r="H86" i="20"/>
  <c r="I155" i="15"/>
  <c r="J155" i="15" s="1"/>
  <c r="C72" i="20"/>
  <c r="D72" i="20" s="1"/>
  <c r="J33" i="15"/>
  <c r="H33" i="15"/>
  <c r="F33" i="20"/>
  <c r="E82" i="15"/>
  <c r="F82" i="15" s="1"/>
  <c r="G171" i="15"/>
  <c r="H172" i="15"/>
  <c r="H150" i="20"/>
  <c r="J172" i="15"/>
  <c r="I171" i="15"/>
  <c r="E19" i="15"/>
  <c r="F20" i="15"/>
  <c r="H179" i="15"/>
  <c r="G176" i="15"/>
  <c r="H176" i="15" s="1"/>
  <c r="G150" i="15"/>
  <c r="J150" i="15" s="1"/>
  <c r="J151" i="15"/>
  <c r="J43" i="15"/>
  <c r="H43" i="15"/>
  <c r="G40" i="15"/>
  <c r="F173" i="20"/>
  <c r="H112" i="20"/>
  <c r="G109" i="15"/>
  <c r="J109" i="15" s="1"/>
  <c r="H110" i="15"/>
  <c r="H171" i="20"/>
  <c r="G170" i="20"/>
  <c r="H170" i="20" s="1"/>
  <c r="I138" i="15"/>
  <c r="J138" i="15" s="1"/>
  <c r="J139" i="15"/>
  <c r="G13" i="15"/>
  <c r="J14" i="15"/>
  <c r="H61" i="15"/>
  <c r="E13" i="15"/>
  <c r="F14" i="15"/>
  <c r="H14" i="15"/>
  <c r="H158" i="15"/>
  <c r="J158" i="15"/>
  <c r="G7" i="15"/>
  <c r="J8" i="15"/>
  <c r="F45" i="15"/>
  <c r="H45" i="15"/>
  <c r="F53" i="20"/>
  <c r="E115" i="15"/>
  <c r="F116" i="15"/>
  <c r="I146" i="15"/>
  <c r="BH300" i="14"/>
  <c r="BH302" i="14" s="1"/>
  <c r="G5" i="18"/>
  <c r="G149" i="20"/>
  <c r="E54" i="15"/>
  <c r="F55" i="15"/>
  <c r="H55" i="15"/>
  <c r="C14" i="22"/>
  <c r="F142" i="15"/>
  <c r="H33" i="20"/>
  <c r="C189" i="20"/>
  <c r="D189" i="20" s="1"/>
  <c r="D190" i="20"/>
  <c r="J129" i="15"/>
  <c r="I124" i="15"/>
  <c r="F77" i="15"/>
  <c r="E76" i="15"/>
  <c r="H77" i="15"/>
  <c r="E186" i="15"/>
  <c r="F187" i="15"/>
  <c r="I165" i="15"/>
  <c r="J166" i="15"/>
  <c r="F150" i="15"/>
  <c r="J85" i="15"/>
  <c r="G82" i="15"/>
  <c r="H85" i="15"/>
  <c r="J179" i="15"/>
  <c r="I176" i="15"/>
  <c r="H57" i="21"/>
  <c r="G55" i="21"/>
  <c r="F56" i="20"/>
  <c r="E72" i="20"/>
  <c r="F73" i="20"/>
  <c r="I75" i="15"/>
  <c r="J76" i="15"/>
  <c r="C99" i="20"/>
  <c r="D99" i="20" s="1"/>
  <c r="D100" i="20"/>
  <c r="E99" i="20"/>
  <c r="F100" i="20"/>
  <c r="G65" i="20"/>
  <c r="H65" i="20" s="1"/>
  <c r="H66" i="20"/>
  <c r="K11" i="22"/>
  <c r="G18" i="20"/>
  <c r="H19" i="20"/>
  <c r="E22" i="20"/>
  <c r="C43" i="20"/>
  <c r="D43" i="20" s="1"/>
  <c r="D44" i="20"/>
  <c r="C9" i="20"/>
  <c r="D9" i="20" s="1"/>
  <c r="D10" i="20"/>
  <c r="H111" i="20"/>
  <c r="C22" i="20"/>
  <c r="D22" i="20" s="1"/>
  <c r="H94" i="20"/>
  <c r="H175" i="20"/>
  <c r="F89" i="15"/>
  <c r="K4" i="22"/>
  <c r="I108" i="15"/>
  <c r="G143" i="15"/>
  <c r="H144" i="15"/>
  <c r="J61" i="15"/>
  <c r="I54" i="15"/>
  <c r="J20" i="15"/>
  <c r="I19" i="15"/>
  <c r="D65" i="21"/>
  <c r="C83" i="21"/>
  <c r="G186" i="15"/>
  <c r="H187" i="15"/>
  <c r="J187" i="15"/>
  <c r="F81" i="21"/>
  <c r="H3" i="20"/>
  <c r="G115" i="15"/>
  <c r="H116" i="15"/>
  <c r="J116" i="15"/>
  <c r="G19" i="15"/>
  <c r="H20" i="15"/>
  <c r="D166" i="20"/>
  <c r="C165" i="20"/>
  <c r="D165" i="20" s="1"/>
  <c r="H59" i="20"/>
  <c r="C140" i="20"/>
  <c r="D140" i="20" s="1"/>
  <c r="D141" i="20"/>
  <c r="C59" i="20"/>
  <c r="D59" i="20" s="1"/>
  <c r="D60" i="20"/>
  <c r="E18" i="20"/>
  <c r="F18" i="20" s="1"/>
  <c r="F19" i="20"/>
  <c r="J100" i="15"/>
  <c r="H90" i="15"/>
  <c r="J90" i="15"/>
  <c r="G89" i="15"/>
  <c r="H166" i="20"/>
  <c r="G99" i="20"/>
  <c r="H100" i="20"/>
  <c r="E40" i="15"/>
  <c r="F41" i="15"/>
  <c r="H41" i="15"/>
  <c r="H98" i="15"/>
  <c r="J98" i="15"/>
  <c r="D184" i="20"/>
  <c r="C180" i="20"/>
  <c r="F180" i="20" s="1"/>
  <c r="F184" i="20"/>
  <c r="F154" i="15" l="1"/>
  <c r="H154" i="15"/>
  <c r="J171" i="15"/>
  <c r="H7" i="15"/>
  <c r="H71" i="15"/>
  <c r="F7" i="15"/>
  <c r="F94" i="20"/>
  <c r="E83" i="21"/>
  <c r="F83" i="21" s="1"/>
  <c r="H22" i="20"/>
  <c r="E140" i="20"/>
  <c r="F140" i="20" s="1"/>
  <c r="I23" i="15"/>
  <c r="I6" i="22" s="1"/>
  <c r="H66" i="15"/>
  <c r="F111" i="20"/>
  <c r="H165" i="15"/>
  <c r="F175" i="20"/>
  <c r="E81" i="15"/>
  <c r="C9" i="22" s="1"/>
  <c r="I154" i="15"/>
  <c r="J154" i="15" s="1"/>
  <c r="H138" i="15"/>
  <c r="H99" i="20"/>
  <c r="H72" i="20"/>
  <c r="E164" i="15"/>
  <c r="H164" i="15" s="1"/>
  <c r="H24" i="15"/>
  <c r="F3" i="20"/>
  <c r="E23" i="15"/>
  <c r="F23" i="15" s="1"/>
  <c r="H100" i="15"/>
  <c r="H124" i="15"/>
  <c r="E88" i="15"/>
  <c r="F88" i="15" s="1"/>
  <c r="G23" i="15"/>
  <c r="E123" i="15"/>
  <c r="H123" i="15" s="1"/>
  <c r="H150" i="15"/>
  <c r="F43" i="20"/>
  <c r="G149" i="15"/>
  <c r="G15" i="22" s="1"/>
  <c r="E108" i="15"/>
  <c r="F109" i="15"/>
  <c r="E170" i="15"/>
  <c r="F171" i="15"/>
  <c r="J40" i="15"/>
  <c r="F48" i="15"/>
  <c r="H48" i="15"/>
  <c r="F133" i="15"/>
  <c r="H133" i="15"/>
  <c r="J66" i="15"/>
  <c r="G53" i="15"/>
  <c r="G7" i="22" s="1"/>
  <c r="F37" i="15"/>
  <c r="H37" i="15"/>
  <c r="G165" i="20"/>
  <c r="H165" i="20" s="1"/>
  <c r="F72" i="20"/>
  <c r="E18" i="15"/>
  <c r="F19" i="15"/>
  <c r="G12" i="15"/>
  <c r="J13" i="15"/>
  <c r="G108" i="15"/>
  <c r="J108" i="15" s="1"/>
  <c r="H109" i="15"/>
  <c r="G170" i="15"/>
  <c r="H171" i="15"/>
  <c r="F22" i="20"/>
  <c r="H82" i="15"/>
  <c r="J82" i="15"/>
  <c r="G81" i="15"/>
  <c r="I164" i="15"/>
  <c r="J165" i="15"/>
  <c r="F76" i="15"/>
  <c r="H76" i="15"/>
  <c r="E75" i="15"/>
  <c r="F14" i="22"/>
  <c r="D14" i="22"/>
  <c r="M14" i="22"/>
  <c r="N14" i="22" s="1"/>
  <c r="J7" i="15"/>
  <c r="G6" i="15"/>
  <c r="J176" i="15"/>
  <c r="I170" i="15"/>
  <c r="F54" i="15"/>
  <c r="H54" i="15"/>
  <c r="H149" i="20"/>
  <c r="G141" i="20"/>
  <c r="J146" i="15"/>
  <c r="I144" i="15"/>
  <c r="E53" i="15"/>
  <c r="F9" i="20"/>
  <c r="F186" i="15"/>
  <c r="E185" i="15"/>
  <c r="J124" i="15"/>
  <c r="I123" i="15"/>
  <c r="H5" i="18"/>
  <c r="G9" i="18"/>
  <c r="H9" i="18" s="1"/>
  <c r="F13" i="15"/>
  <c r="E12" i="15"/>
  <c r="H13" i="15"/>
  <c r="F99" i="20"/>
  <c r="H55" i="21"/>
  <c r="G65" i="21"/>
  <c r="F115" i="15"/>
  <c r="E114" i="15"/>
  <c r="F189" i="20"/>
  <c r="D180" i="20"/>
  <c r="C192" i="20"/>
  <c r="D192" i="20" s="1"/>
  <c r="F40" i="15"/>
  <c r="H40" i="15"/>
  <c r="F59" i="20"/>
  <c r="G114" i="15"/>
  <c r="H115" i="15"/>
  <c r="J115" i="15"/>
  <c r="I18" i="15"/>
  <c r="J19" i="15"/>
  <c r="G88" i="15"/>
  <c r="H89" i="15"/>
  <c r="J89" i="15"/>
  <c r="H19" i="15"/>
  <c r="G18" i="15"/>
  <c r="C3" i="22"/>
  <c r="F6" i="15"/>
  <c r="H143" i="15"/>
  <c r="G142" i="15"/>
  <c r="J75" i="15"/>
  <c r="I8" i="22"/>
  <c r="H186" i="15"/>
  <c r="G185" i="15"/>
  <c r="J186" i="15"/>
  <c r="F165" i="20"/>
  <c r="C15" i="22"/>
  <c r="F149" i="15"/>
  <c r="H18" i="20"/>
  <c r="J54" i="15"/>
  <c r="I53" i="15"/>
  <c r="E192" i="20" l="1"/>
  <c r="F192" i="20" s="1"/>
  <c r="C17" i="22"/>
  <c r="H17" i="22" s="1"/>
  <c r="I149" i="15"/>
  <c r="J149" i="15" s="1"/>
  <c r="F164" i="15"/>
  <c r="F81" i="15"/>
  <c r="F123" i="15"/>
  <c r="C10" i="22"/>
  <c r="D10" i="22" s="1"/>
  <c r="H23" i="15"/>
  <c r="G6" i="22"/>
  <c r="J6" i="22" s="1"/>
  <c r="C6" i="22"/>
  <c r="D6" i="22" s="1"/>
  <c r="C13" i="22"/>
  <c r="M13" i="22" s="1"/>
  <c r="N13" i="22" s="1"/>
  <c r="J23" i="15"/>
  <c r="H53" i="15"/>
  <c r="H149" i="15"/>
  <c r="F108" i="15"/>
  <c r="C11" i="22"/>
  <c r="F170" i="15"/>
  <c r="C18" i="22"/>
  <c r="E162" i="15"/>
  <c r="F162" i="15" s="1"/>
  <c r="G11" i="22"/>
  <c r="H108" i="15"/>
  <c r="F18" i="15"/>
  <c r="C5" i="22"/>
  <c r="G18" i="22"/>
  <c r="H170" i="15"/>
  <c r="G4" i="22"/>
  <c r="J12" i="15"/>
  <c r="H65" i="21"/>
  <c r="G83" i="21"/>
  <c r="F53" i="15"/>
  <c r="F12" i="15"/>
  <c r="H12" i="15"/>
  <c r="C4" i="22"/>
  <c r="F9" i="22"/>
  <c r="M9" i="22"/>
  <c r="N9" i="22" s="1"/>
  <c r="D9" i="22"/>
  <c r="F185" i="15"/>
  <c r="C19" i="22"/>
  <c r="E190" i="15"/>
  <c r="F190" i="15" s="1"/>
  <c r="I143" i="15"/>
  <c r="J144" i="15"/>
  <c r="G3" i="22"/>
  <c r="J6" i="15"/>
  <c r="H6" i="15"/>
  <c r="C7" i="22"/>
  <c r="H7" i="22" s="1"/>
  <c r="C12" i="22"/>
  <c r="F114" i="15"/>
  <c r="H75" i="15"/>
  <c r="F75" i="15"/>
  <c r="C8" i="22"/>
  <c r="I17" i="22"/>
  <c r="J164" i="15"/>
  <c r="J123" i="15"/>
  <c r="I13" i="22"/>
  <c r="H141" i="20"/>
  <c r="G140" i="20"/>
  <c r="H140" i="20" s="1"/>
  <c r="J170" i="15"/>
  <c r="I18" i="22"/>
  <c r="I190" i="15"/>
  <c r="J81" i="15"/>
  <c r="G9" i="22"/>
  <c r="H81" i="15"/>
  <c r="I7" i="22"/>
  <c r="J53" i="15"/>
  <c r="K6" i="22"/>
  <c r="J8" i="22"/>
  <c r="K8" i="22"/>
  <c r="L8" i="22" s="1"/>
  <c r="H114" i="15"/>
  <c r="J114" i="15"/>
  <c r="G12" i="22"/>
  <c r="H142" i="15"/>
  <c r="G14" i="22"/>
  <c r="G10" i="22"/>
  <c r="H88" i="15"/>
  <c r="J88" i="15"/>
  <c r="J18" i="15"/>
  <c r="I5" i="22"/>
  <c r="M15" i="22"/>
  <c r="N15" i="22" s="1"/>
  <c r="D15" i="22"/>
  <c r="F15" i="22"/>
  <c r="H15" i="22"/>
  <c r="G19" i="22"/>
  <c r="J185" i="15"/>
  <c r="H185" i="15"/>
  <c r="G190" i="15"/>
  <c r="H18" i="15"/>
  <c r="G5" i="22"/>
  <c r="G162" i="15"/>
  <c r="F3" i="22"/>
  <c r="M3" i="22"/>
  <c r="D3" i="22"/>
  <c r="F17" i="22" l="1"/>
  <c r="D17" i="22"/>
  <c r="I15" i="22"/>
  <c r="K15" i="22" s="1"/>
  <c r="L15" i="22" s="1"/>
  <c r="M17" i="22"/>
  <c r="N17" i="22" s="1"/>
  <c r="F10" i="22"/>
  <c r="M6" i="22"/>
  <c r="N6" i="22" s="1"/>
  <c r="M10" i="22"/>
  <c r="N10" i="22" s="1"/>
  <c r="H13" i="22"/>
  <c r="D13" i="22"/>
  <c r="F6" i="22"/>
  <c r="H6" i="22"/>
  <c r="L6" i="22"/>
  <c r="F13" i="22"/>
  <c r="H18" i="22"/>
  <c r="F11" i="22"/>
  <c r="D11" i="22"/>
  <c r="M11" i="22"/>
  <c r="N11" i="22" s="1"/>
  <c r="F18" i="22"/>
  <c r="M18" i="22"/>
  <c r="N18" i="22" s="1"/>
  <c r="D18" i="22"/>
  <c r="F7" i="22"/>
  <c r="C20" i="22"/>
  <c r="C33" i="22" s="1"/>
  <c r="E192" i="15"/>
  <c r="J4" i="22"/>
  <c r="L4" i="22"/>
  <c r="J11" i="22"/>
  <c r="H11" i="22"/>
  <c r="L11" i="22"/>
  <c r="M7" i="22"/>
  <c r="N7" i="22" s="1"/>
  <c r="M5" i="22"/>
  <c r="N5" i="22" s="1"/>
  <c r="F5" i="22"/>
  <c r="D5" i="22"/>
  <c r="J18" i="22"/>
  <c r="L18" i="22"/>
  <c r="J13" i="22"/>
  <c r="K13" i="22"/>
  <c r="L13" i="22" s="1"/>
  <c r="F8" i="22"/>
  <c r="M8" i="22"/>
  <c r="N8" i="22" s="1"/>
  <c r="D8" i="22"/>
  <c r="H8" i="22"/>
  <c r="F12" i="22"/>
  <c r="M12" i="22"/>
  <c r="N12" i="22" s="1"/>
  <c r="D12" i="22"/>
  <c r="L3" i="22"/>
  <c r="J3" i="22"/>
  <c r="D19" i="22"/>
  <c r="M19" i="22"/>
  <c r="N19" i="22" s="1"/>
  <c r="F19" i="22"/>
  <c r="H3" i="22"/>
  <c r="C16" i="22"/>
  <c r="D16" i="22" s="1"/>
  <c r="J9" i="22"/>
  <c r="L9" i="22"/>
  <c r="H9" i="22"/>
  <c r="F4" i="22"/>
  <c r="H4" i="22"/>
  <c r="M4" i="22"/>
  <c r="N4" i="22" s="1"/>
  <c r="D4" i="22"/>
  <c r="D7" i="22"/>
  <c r="G192" i="20"/>
  <c r="H192" i="20" s="1"/>
  <c r="I142" i="15"/>
  <c r="J143" i="15"/>
  <c r="K17" i="22"/>
  <c r="J17" i="22"/>
  <c r="I20" i="22"/>
  <c r="C36" i="22" s="1"/>
  <c r="H5" i="22"/>
  <c r="G16" i="22"/>
  <c r="K7" i="22"/>
  <c r="L7" i="22" s="1"/>
  <c r="J7" i="22"/>
  <c r="N3" i="22"/>
  <c r="H19" i="22"/>
  <c r="G20" i="22"/>
  <c r="J19" i="22"/>
  <c r="L19" i="22"/>
  <c r="J12" i="22"/>
  <c r="H12" i="22"/>
  <c r="L12" i="22"/>
  <c r="H14" i="22"/>
  <c r="G192" i="15"/>
  <c r="H162" i="15"/>
  <c r="H190" i="15"/>
  <c r="J190" i="15"/>
  <c r="K5" i="22"/>
  <c r="J5" i="22"/>
  <c r="H10" i="22"/>
  <c r="J10" i="22"/>
  <c r="L10" i="22"/>
  <c r="J15" i="22" l="1"/>
  <c r="D20" i="22"/>
  <c r="H192" i="15"/>
  <c r="F20" i="22"/>
  <c r="M20" i="22"/>
  <c r="C38" i="22" s="1"/>
  <c r="D38" i="22" s="1"/>
  <c r="M16" i="22"/>
  <c r="N16" i="22" s="1"/>
  <c r="C24" i="22"/>
  <c r="D25" i="22" s="1"/>
  <c r="F16" i="22"/>
  <c r="L17" i="22"/>
  <c r="K20" i="22"/>
  <c r="C37" i="22" s="1"/>
  <c r="C22" i="22"/>
  <c r="D22" i="22" s="1"/>
  <c r="I14" i="22"/>
  <c r="I162" i="15"/>
  <c r="J142" i="15"/>
  <c r="C35" i="22"/>
  <c r="H20" i="22"/>
  <c r="J20" i="22"/>
  <c r="D34" i="22"/>
  <c r="D33" i="22"/>
  <c r="L5" i="22"/>
  <c r="C26" i="22"/>
  <c r="G22" i="22"/>
  <c r="H16" i="22"/>
  <c r="M22" i="22" l="1"/>
  <c r="C52" i="22" s="1"/>
  <c r="N20" i="22"/>
  <c r="D24" i="22"/>
  <c r="L20" i="22"/>
  <c r="C29" i="22"/>
  <c r="D29" i="22" s="1"/>
  <c r="D26" i="22"/>
  <c r="C47" i="22"/>
  <c r="D48" i="22" s="1"/>
  <c r="F22" i="22"/>
  <c r="J162" i="15"/>
  <c r="I192" i="15"/>
  <c r="J192" i="15" s="1"/>
  <c r="K14" i="22"/>
  <c r="J14" i="22"/>
  <c r="I16" i="22"/>
  <c r="D35" i="22"/>
  <c r="D36" i="22"/>
  <c r="C49" i="22"/>
  <c r="H22" i="22"/>
  <c r="D37" i="22"/>
  <c r="N22" i="22" l="1"/>
  <c r="D49" i="22"/>
  <c r="D47" i="22"/>
  <c r="D52" i="22"/>
  <c r="I22" i="22"/>
  <c r="J16" i="22"/>
  <c r="C27" i="22"/>
  <c r="D27" i="22" s="1"/>
  <c r="L14" i="22"/>
  <c r="K16" i="22"/>
  <c r="L16" i="22" l="1"/>
  <c r="K22" i="22"/>
  <c r="C28" i="22"/>
  <c r="D28" i="22" s="1"/>
  <c r="J22" i="22"/>
  <c r="C50" i="22"/>
  <c r="D50" i="22" s="1"/>
  <c r="L22" i="22" l="1"/>
  <c r="C51" i="22"/>
  <c r="D51" i="22" s="1"/>
</calcChain>
</file>

<file path=xl/comments1.xml><?xml version="1.0" encoding="utf-8"?>
<comments xmlns="http://schemas.openxmlformats.org/spreadsheetml/2006/main">
  <authors>
    <author>tc={7EDF9AEF-6B96-4280-B133-C88CC45E5DCA}</author>
    <author>tc={2720DCB4-B9DE-4AF6-9B82-51AADE029649}</author>
    <author>tc={8D695760-E658-448E-83F3-1976238D4FE8}</author>
    <author>tc={EB429771-3B5D-4477-9EFE-E48F0D4505AA}</author>
    <author>tc={21FFF4DF-C4C9-493A-BFB6-C72DA15222C1}</author>
    <author>tc={49A3909C-2645-4634-8C65-4BD77E6C16AB}</author>
    <author>tc={BEBBD42B-DD56-4E7B-8E75-D1532AF0513A}</author>
    <author>tc={4166C83F-0F3D-4A2E-AE0A-B181038094D1}</author>
    <author>tc={DFEC2B15-03C0-49E1-A20B-45954E9296DB}</author>
    <author>tc={D2E8822E-3432-4500-83EA-F74C0446A465}</author>
    <author>tc={A7DF54F2-BA3D-4A10-9960-B28515B60137}</author>
    <author>tc={C5155A8F-180B-46DB-946C-B18136465433}</author>
    <author>tc={FAB1B980-3EC6-40FA-A429-C1FA42FA6856}</author>
    <author>tc={5986F0C9-B71C-46F8-82CC-B759D82A23AD}</author>
    <author>tc={5C046F2E-6000-4876-87F4-E522581EC9AE}</author>
    <author>tc={24B6BC02-9D2A-477F-936D-B93C762C4A9F}</author>
    <author>tc={EFE5AE9C-A95F-45CF-AE8E-096382D7B502}</author>
    <author>tc={10E1BE9C-EC7E-4228-81AF-EBE50E498AAC}</author>
    <author>tc={60DC14A7-4710-4864-B343-C12FCF82DA25}</author>
    <author>tc={09A8517B-DF42-4087-BCFF-39FECC16B006}</author>
    <author>tc={0A2C99F8-38C1-4BC3-8F47-9C8AB82E423B}</author>
    <author>tc={0C00304E-5ECB-40CE-913D-74EAFD31D6B2}</author>
    <author>tc={3D3523E6-3993-415B-B773-3506527B4C9F}</author>
    <author>tc={356486AE-A2A8-4F02-BDD1-82CC824F89E6}</author>
    <author>tc={DFD7FBAF-7E31-44A2-B7FA-39989D63ED44}</author>
    <author>tc={46B0095C-A923-49E8-8640-6DF0C95C263D}</author>
    <author>tc={645CCFB6-10B3-415C-A200-6C88F2A714D8}</author>
    <author>tc={F28C066A-A40A-45F1-96DB-4BC5C687AC25}</author>
    <author>tc={7010612B-D16B-458B-A84C-FAE1F3FFEEDF}</author>
    <author>tc={62207218-B4D2-498B-852C-5C531FE0060D}</author>
    <author>tc={740318C1-674C-473C-B97C-FA76A99CA2F8}</author>
    <author>tc={4F185DE1-12B0-4E7D-B489-BFADAE8489DA}</author>
    <author>tc={EB1FDC7A-7623-41BC-9A25-9EA1C91F2CB7}</author>
    <author>tc={D7AC52AB-CC6E-48BF-AC0F-314206D65B14}</author>
    <author>tc={39E1FD30-EC0E-425B-BEF1-7F7D7CDF21F7}</author>
    <author>tc={B2248248-5CBD-4104-BAC3-691909A6EBA2}</author>
    <author>tc={9C4B71B5-FC6C-4AFD-A7F2-D750DE470DA2}</author>
    <author>tc={F92631E1-40F1-492E-97F3-59B5E2AA5C33}</author>
    <author>tc={99D6CE24-6CCC-4579-B323-1CA1511887C7}</author>
    <author>tc={B62043FF-6CFD-47FD-B0F8-70775262492B}</author>
    <author>tc={59011793-94CA-4CED-93D2-9336E35A8B04}</author>
    <author>tc={E438FEB9-4755-4518-AB6C-751D5179417E}</author>
    <author>tc={22BBD720-BF13-42E8-801C-6B55A6CB8AA4}</author>
    <author>tc={D3C4D7D8-7AB1-4B28-9565-56D39869D211}</author>
    <author>tc={3DB8F2F8-6F0F-4C17-B4BD-F0CA7E2E44CA}</author>
    <author>tc={D1A9CD96-0DB4-4BCA-B20F-867074D62201}</author>
    <author>tc={CF0BC284-4BD6-4ECD-B2B5-22D3E73C5BFD}</author>
    <author>tc={C53D14F3-4AAF-4FDD-BCC6-C9DD26198C60}</author>
    <author>tc={7930151D-809A-421F-BF50-36C28D048A16}</author>
    <author>tc={E2B02026-BD01-432B-B7DA-FF1EF82006CA}</author>
    <author>tc={14CC3B7A-7B1B-43B5-B19A-83202E71594E}</author>
    <author>tc={CB12B946-2574-4704-97C3-AEFB3FD56D64}</author>
    <author>tc={7FCC7641-6F47-493D-953A-5671B61AF0EE}</author>
    <author>tc={26A0E642-C86F-4C94-BFD6-FFCB4394F63E}</author>
    <author>tc={BFD69441-3FC8-48CE-A570-46C040E63ED9}</author>
  </authors>
  <commentList>
    <comment ref="AT27" authorId="0"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249 de marzo 25 
Reply:
    ajuste según decreto 378 de mayo 23</t>
        </r>
      </text>
    </comment>
    <comment ref="AQ45" authorId="1" shapeId="0">
      <text>
        <r>
          <rPr>
            <sz val="11"/>
            <color theme="1"/>
            <rFont val="Arial"/>
            <family val="2"/>
          </rPr>
          <t xml:space="preserve">[Threaded comment]
Your version of Excel allows you to read this threaded comment; however, any edits to it will get removed if the file is opened in a newer version of Excel. Learn more: https://go.microsoft.com/fwlink/?linkid=870924
Comment:
    ajuste según decreto 251 de marzo </t>
        </r>
      </text>
    </comment>
    <comment ref="AT52" authorId="2"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170 de febrero 24
Reply:
    ajuste según decreto 08 de enero 03
Reply:
    ajuste según decreto 401 de junio 06</t>
        </r>
      </text>
    </comment>
    <comment ref="AT54" authorId="3"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170 de febrero 24
Reply:
    ajuste según decreto 401 de junio 06</t>
        </r>
      </text>
    </comment>
    <comment ref="AT70" authorId="4"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062 de enero 20
Reply:
    ajuste según decreto 08 de enero 03
Reply:
    ajuste según decreto 434 de junio 23</t>
        </r>
      </text>
    </comment>
    <comment ref="AW78" authorId="5"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170 de febrero 24
Reply:
    ajuste según decreto 400 de junio 06</t>
        </r>
      </text>
    </comment>
    <comment ref="AT81" authorId="6"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398 de junio 06</t>
        </r>
      </text>
    </comment>
    <comment ref="AT84" authorId="7"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398 de junio 06</t>
        </r>
      </text>
    </comment>
    <comment ref="AT90" authorId="8"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03 de enero 03
Reply:
    ajuste según decreto 355 de mayo 12</t>
        </r>
      </text>
    </comment>
    <comment ref="AT91" authorId="9"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355 de mayo 12</t>
        </r>
      </text>
    </comment>
    <comment ref="AT92" authorId="10"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62 de enero 18
Reply:
    ajuste según decreto 08 de enero 03
Reply:
    ajuste según decreto 398 de junio 06</t>
        </r>
      </text>
    </comment>
    <comment ref="AT94" authorId="11"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398 de junio 06</t>
        </r>
      </text>
    </comment>
    <comment ref="AT96" authorId="12"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03 de enero 03</t>
        </r>
      </text>
    </comment>
    <comment ref="AT103" authorId="13"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398 de junio 06</t>
        </r>
      </text>
    </comment>
    <comment ref="AT126" authorId="14"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434 de junio 23</t>
        </r>
      </text>
    </comment>
    <comment ref="AT127" authorId="15"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062 de enero 18
Reply:
    Adición Feb.11/22, según Decreto 121 de Feb. 10/22
Reply:
    Adición feb. 25/22, segun Decreto 168 de 24/02/2022
Reply:
    ajuste según decreto 08 de enero 03
Reply:
    ajuste según decreto 434 de junio 23</t>
        </r>
      </text>
    </comment>
    <comment ref="AT128" authorId="16"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434 de junio 23</t>
        </r>
      </text>
    </comment>
    <comment ref="AN129" authorId="17"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261 de marzo 29</t>
        </r>
      </text>
    </comment>
    <comment ref="AN132" authorId="18"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261 de marzo 29</t>
        </r>
      </text>
    </comment>
    <comment ref="AN134" authorId="19"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260 de marzo 29</t>
        </r>
      </text>
    </comment>
    <comment ref="AT134" authorId="20"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125 de febrero 11
Reply:
    ajuste según decreto 398 de junio 06</t>
        </r>
      </text>
    </comment>
    <comment ref="AW134" authorId="21"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241 de marzo 23</t>
        </r>
      </text>
    </comment>
    <comment ref="BC134" authorId="22"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055 DE ENERO 18
Reply:
    ajuste según decreto 298 de abril 20</t>
        </r>
      </text>
    </comment>
    <comment ref="AE135" authorId="23"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415 de junio 14</t>
        </r>
      </text>
    </comment>
    <comment ref="AE138" authorId="24"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209 de marzo 10
Reply:
    ajuste según decreto 415 de junio 14</t>
        </r>
      </text>
    </comment>
    <comment ref="AN143" authorId="25"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288 de abril 07</t>
        </r>
      </text>
    </comment>
    <comment ref="AT154" authorId="26"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03 de enero 03
Reply:
    ajuste según decreto 398 de junio 06
Reply:
    ajuste según decreto 405 de junio 07</t>
        </r>
      </text>
    </comment>
    <comment ref="AW154" authorId="27"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318 de abril 28</t>
        </r>
      </text>
    </comment>
    <comment ref="AN156" authorId="28"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261 de marzo 29</t>
        </r>
      </text>
    </comment>
    <comment ref="AT171" authorId="29"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170 de febrero 24
Reply:
    ajuste según decreto 08 de enero 03
Reply:
    ajuste según decreto 398 de junio 06</t>
        </r>
      </text>
    </comment>
    <comment ref="AT181" authorId="30"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398 de junio 06</t>
        </r>
      </text>
    </comment>
    <comment ref="AT182" authorId="31"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398 de junio 06</t>
        </r>
      </text>
    </comment>
    <comment ref="AH198" authorId="32"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374 de mayo 20</t>
        </r>
      </text>
    </comment>
    <comment ref="AH234" authorId="33"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03 de enero 03
Reply:
    ajuste según decreto 241 de marzo 23</t>
        </r>
      </text>
    </comment>
    <comment ref="AH249" authorId="34"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357 de mayo 13</t>
        </r>
      </text>
    </comment>
    <comment ref="AE250" authorId="35"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224 de marzo 15</t>
        </r>
      </text>
    </comment>
    <comment ref="AH250" authorId="36"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241 de marzo 23</t>
        </r>
      </text>
    </comment>
    <comment ref="AK250" authorId="37"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241 de marzo 23</t>
        </r>
      </text>
    </comment>
    <comment ref="AT256" authorId="38"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398 de junio 06
Reply:
    ajuste según decreto 401 de junio 06</t>
        </r>
      </text>
    </comment>
    <comment ref="AT258" authorId="39"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401 de junio 06</t>
        </r>
      </text>
    </comment>
    <comment ref="AT259" authorId="40"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62 d enero 18
Reply:
    ajuste según decreto 08 d enero 03
Reply:
    ajuste según decreto 401 de junio 06</t>
        </r>
      </text>
    </comment>
    <comment ref="AT262" authorId="41"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62 de enero 18
Reply:
    ajuste según decreto 08 de enero 03
Reply:
    ajuste según decreto 401 de junio 06</t>
        </r>
      </text>
    </comment>
    <comment ref="AT264" authorId="42"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355</t>
        </r>
      </text>
    </comment>
    <comment ref="AT265" authorId="43"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355</t>
        </r>
      </text>
    </comment>
    <comment ref="AT266" authorId="44"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062 de enero 18
Reply:
    ajuste según decreto 398 de junio 06</t>
        </r>
      </text>
    </comment>
    <comment ref="AT273" authorId="45"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398 de junio 06
Reply:
    ajuste según decreto 401 de junio 06</t>
        </r>
      </text>
    </comment>
    <comment ref="AT275" authorId="46"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401 de junio 06</t>
        </r>
      </text>
    </comment>
    <comment ref="AT277" authorId="47"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401 de junio 06</t>
        </r>
      </text>
    </comment>
    <comment ref="AE279" authorId="48"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
Reply:
    ajuste según resoluciones 11 y 12</t>
        </r>
      </text>
    </comment>
    <comment ref="BC279" authorId="49"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t>
        </r>
      </text>
    </comment>
    <comment ref="AE280" authorId="50"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
Reply:
    ajuste según resoluciones 11 y 12</t>
        </r>
      </text>
    </comment>
    <comment ref="AT280" authorId="51"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t>
        </r>
      </text>
    </comment>
    <comment ref="BC280" authorId="52"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t>
        </r>
      </text>
    </comment>
    <comment ref="AT283" authorId="53"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 de febrero 11
Reply:
    ajuste según resoluciones 11 y 12 enero</t>
        </r>
      </text>
    </comment>
    <comment ref="AW283" authorId="54"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resoluciones 11 y 12 enero</t>
        </r>
      </text>
    </comment>
  </commentList>
</comments>
</file>

<file path=xl/sharedStrings.xml><?xml version="1.0" encoding="utf-8"?>
<sst xmlns="http://schemas.openxmlformats.org/spreadsheetml/2006/main" count="5023" uniqueCount="1515">
  <si>
    <t xml:space="preserve">CODIGO:  </t>
  </si>
  <si>
    <t xml:space="preserve">VERSIÓN: </t>
  </si>
  <si>
    <t xml:space="preserve">FECHA: </t>
  </si>
  <si>
    <t>PÁGINA:</t>
  </si>
  <si>
    <t>UNIDAD EJECUTORA</t>
  </si>
  <si>
    <t>LÍNEA ESTRATÉGICA</t>
  </si>
  <si>
    <t>SECTOR</t>
  </si>
  <si>
    <t>PROGRAMA</t>
  </si>
  <si>
    <t>INDICADOR DE RESULTADO Y/O BIENESTAR</t>
  </si>
  <si>
    <t>PRODUCTO</t>
  </si>
  <si>
    <t>INDICADOR PRODUCTO</t>
  </si>
  <si>
    <t>PROYECTO</t>
  </si>
  <si>
    <t>CÓDIGO</t>
  </si>
  <si>
    <t>NOMBRE</t>
  </si>
  <si>
    <t>CÓDIGO PDD</t>
  </si>
  <si>
    <t>PRODUCTO PDD</t>
  </si>
  <si>
    <t>CÓDIGO CATÁLOGO DE PRODUCTOS MGA</t>
  </si>
  <si>
    <t xml:space="preserve">PRODUCTO CATÁLOGO MGA </t>
  </si>
  <si>
    <t>INDICADOR PDD</t>
  </si>
  <si>
    <t>CÓDIGO CATALOGO DE INDICADORES MGA</t>
  </si>
  <si>
    <t xml:space="preserve">INDICADOR CATÁLOGO MGA </t>
  </si>
  <si>
    <t>CÓDIGO BPIN</t>
  </si>
  <si>
    <t>NOMBRE DEL PROYECTO</t>
  </si>
  <si>
    <t>OBJETIVO DEL PROYECTO</t>
  </si>
  <si>
    <t xml:space="preserve">SGP SALÚD PUBLICA - PRESTACIÓN DE SERVICIOS
 </t>
  </si>
  <si>
    <t xml:space="preserve">SGP AGUA POTABLE Y SANEAMIENTO BÁSICO
</t>
  </si>
  <si>
    <t xml:space="preserve">RECURSO ORDINARIO
</t>
  </si>
  <si>
    <t xml:space="preserve">LIDERAZGO, GOBERNABILIDAD Y TRANSPARENCIA </t>
  </si>
  <si>
    <t>Gobierno territorial</t>
  </si>
  <si>
    <t>Fortalecimiento a la gestión y dirección de la administración pública territorial "Quindío con una administración al servicio de la ciudadanía "</t>
  </si>
  <si>
    <t>Índice de Gestión del Modelo Integrado de Planeación y de Gestión MIPG  de la Administración Departamental</t>
  </si>
  <si>
    <t>ND</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</si>
  <si>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</si>
  <si>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</si>
  <si>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</si>
  <si>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</si>
  <si>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</si>
  <si>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</si>
  <si>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</si>
  <si>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</si>
  <si>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</si>
  <si>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</si>
  <si>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</si>
  <si>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 xml:space="preserve">Proceso de modernización administrativa, incluido en  estudio de la viabilidad de creación de la Oficina de la Felicidad. </t>
  </si>
  <si>
    <t>Proceso de modernización administrativa implementada</t>
  </si>
  <si>
    <t xml:space="preserve">Metodologías aplicadas </t>
  </si>
  <si>
    <t xml:space="preserve">Implementación de un programa de modernización  de la gestión Administrativa  de la Administración Departamental del Quindío. "TÚ y YO SOMOS QUINDÍO" </t>
  </si>
  <si>
    <t>Fortalecimiento del buen gobierno para el respeto y garantía de los derechos humanos. "Quindío integrado y participativo"</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</si>
  <si>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</si>
  <si>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</si>
  <si>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</si>
  <si>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</si>
  <si>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</si>
  <si>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</si>
  <si>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</si>
  <si>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 xml:space="preserve">305 SECRETARÍA DE PLANEACIÓN </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</si>
  <si>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</si>
  <si>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</si>
  <si>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</si>
  <si>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</si>
  <si>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</si>
  <si>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</si>
  <si>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</si>
  <si>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Eventos de Rendición Pública de Cuentas que divulgan la gestión administrativa.</t>
  </si>
  <si>
    <t>Eventos de Rendición Públicas de Cuentas realizados</t>
  </si>
  <si>
    <t xml:space="preserve"> Implementación  de eventos de Rendición Pública de Cuentas  de divulgación de gestión  de la Administración Departamental  "TU Y YO SOMOS QUINDIO" </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</si>
  <si>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</si>
  <si>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</si>
  <si>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</si>
  <si>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</si>
  <si>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</si>
  <si>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 xml:space="preserve"> 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</si>
  <si>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</si>
  <si>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</si>
  <si>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</si>
  <si>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</si>
  <si>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</si>
  <si>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 xml:space="preserve">  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</si>
  <si>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</si>
  <si>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Banco de Programas y Proyectos del Departamento fortalecido</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</si>
  <si>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</si>
  <si>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</si>
  <si>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</si>
  <si>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</si>
  <si>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</si>
  <si>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</si>
  <si>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</si>
  <si>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</si>
  <si>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</si>
  <si>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</si>
  <si>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</si>
  <si>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</si>
  <si>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</si>
  <si>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</si>
  <si>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</si>
  <si>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</si>
  <si>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</si>
  <si>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Número de Dimensiones y Políticas   de MIPG implementadas</t>
  </si>
  <si>
    <t xml:space="preserve"> 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</si>
  <si>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</si>
  <si>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</si>
  <si>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</si>
  <si>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</si>
  <si>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</si>
  <si>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</si>
  <si>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</si>
  <si>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</si>
  <si>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</si>
  <si>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</si>
  <si>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</si>
  <si>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</si>
  <si>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 xml:space="preserve">308 SECRETARÍA DE AGUAS E INFRAESTRUCTURA </t>
  </si>
  <si>
    <t xml:space="preserve">INCLUSIÓN SOCIAL Y EQUIDAD </t>
  </si>
  <si>
    <t>Justicia y del derecho</t>
  </si>
  <si>
    <t>Promoción al acceso a la justicia. "Tú y yo con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</si>
  <si>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</si>
  <si>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</si>
  <si>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</si>
  <si>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</si>
  <si>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</si>
  <si>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</si>
  <si>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</si>
  <si>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Salud y protección social</t>
  </si>
  <si>
    <t>Aseguramiento y Prestación integral de servicios de salud "Tú y yo con servicios de salud"</t>
  </si>
  <si>
    <t>Educación</t>
  </si>
  <si>
    <t>Calidad, cobertura y fortalecimiento de la educación inicial, prescolar, básica y media." Tú y yo con educación y  calidad"</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</si>
  <si>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</si>
  <si>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</si>
  <si>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</si>
  <si>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</si>
  <si>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</si>
  <si>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</si>
  <si>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</si>
  <si>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</si>
  <si>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</si>
  <si>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</si>
  <si>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</si>
  <si>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</si>
  <si>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</si>
  <si>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 xml:space="preserve"> 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</si>
  <si>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</si>
  <si>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Deporte y recreación</t>
  </si>
  <si>
    <t>Fomento a la recreación, la actividad física y el deporte para desarrollar entornos de convivencia y paz "Tú y yo en la recreación y en deporte"</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</si>
  <si>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</si>
  <si>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</si>
  <si>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</si>
  <si>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</si>
  <si>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</si>
  <si>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</si>
  <si>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</si>
  <si>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 xml:space="preserve">TERRITORIO, AMBIENTE Y DESARROLLO SOSTENIBLE </t>
  </si>
  <si>
    <t>Transporte</t>
  </si>
  <si>
    <t>Infraestructura red vial regional. "Tú y yo con movilidad vial"</t>
  </si>
  <si>
    <t xml:space="preserve">Índice de competitividad  en el sector de infraestructura vial </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</si>
  <si>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</si>
  <si>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</si>
  <si>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</si>
  <si>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</si>
  <si>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</si>
  <si>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</si>
  <si>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</si>
  <si>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</si>
  <si>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</si>
  <si>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</si>
  <si>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Estudios y diseños de infraestructura vial</t>
  </si>
  <si>
    <t>Estudios de preinversión para la red vial regional</t>
  </si>
  <si>
    <t>Estudios y diseños de infraestructura vial elaborado.</t>
  </si>
  <si>
    <t>Estudios de preinversión realizados</t>
  </si>
  <si>
    <t xml:space="preserve"> Elaboración estudios y diseños de Infraestructura vial en el Departamento de Quindío </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</si>
  <si>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</si>
  <si>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Ambiente y desarrollo sostenible</t>
  </si>
  <si>
    <t>Ordenamiento Ambiental Territorial. "Tú y yo planificamos con sentido ambiental"</t>
  </si>
  <si>
    <t xml:space="preserve">Porcentaje de Ecosistemas protegidos y/o en procesos de restauración en el Departamento </t>
  </si>
  <si>
    <t>Obras para estabilización de taludes</t>
  </si>
  <si>
    <t>320501000</t>
  </si>
  <si>
    <t>Obras para estabilización de taludes realizadas</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</si>
  <si>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</si>
  <si>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</si>
  <si>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Obras de infraestructura para mitigación y atención a desastres</t>
  </si>
  <si>
    <t xml:space="preserve">Obras de infraestructura para mitigación y atención a desastres realizadas </t>
  </si>
  <si>
    <t xml:space="preserve"> 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</si>
  <si>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</si>
  <si>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</si>
  <si>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</si>
  <si>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Déficit cualitativo de viviendas por hogares</t>
  </si>
  <si>
    <t>Viviendas de interés social urbanas mejoradas</t>
  </si>
  <si>
    <t>400101500</t>
  </si>
  <si>
    <t>Viviendas de Interés Social urbanas mejoradas</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</si>
  <si>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</si>
  <si>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</si>
  <si>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</si>
  <si>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</si>
  <si>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</si>
  <si>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</si>
  <si>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</si>
  <si>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</si>
  <si>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</si>
  <si>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</si>
  <si>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</si>
  <si>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</si>
  <si>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</si>
  <si>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</si>
  <si>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</si>
  <si>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</si>
  <si>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</si>
  <si>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</si>
  <si>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</si>
  <si>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</si>
  <si>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</si>
  <si>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</si>
  <si>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</si>
  <si>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</si>
  <si>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</si>
  <si>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</si>
  <si>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</si>
  <si>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</si>
  <si>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</si>
  <si>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 xml:space="preserve">309  SECRETARÍA DEL INTERIOR </t>
  </si>
  <si>
    <t>Servicio de asistencia técnica para la articulación de los operadores de los servicio de justicia</t>
  </si>
  <si>
    <t>Disminuir los índice delitos  en el departamento del Quindío a través de procesos de asistencia Técnica y articulación  de acciones  con las Administraciones municipales .</t>
  </si>
  <si>
    <t>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</si>
  <si>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</si>
  <si>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</si>
  <si>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Coordinar con los organismos de seguridad métodos  de intervenciones  transformadoras en zonas de miedo e impunidad</t>
  </si>
  <si>
    <t>Sistema penitenciario y carcelario en el marco de los derechos humanos. "Quindío respeta derechos penitenciarios"</t>
  </si>
  <si>
    <t>Servicio de resocialización de personas privadas de la libertad</t>
  </si>
  <si>
    <t>Personas privadas de la libertad (PPL) que reciben servicio de resocialización</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</si>
  <si>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</si>
  <si>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</si>
  <si>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</si>
  <si>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</si>
  <si>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</si>
  <si>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</si>
  <si>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 xml:space="preserve"> 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</si>
  <si>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</si>
  <si>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</si>
  <si>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</si>
  <si>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Cobertura de la población víctima atendida con procesos de atención, prevención y asistencia humanitaria</t>
  </si>
  <si>
    <t>Servicio de orientación y comunicación a las víctimas</t>
  </si>
  <si>
    <t>Solicitudes tramitadas</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</si>
  <si>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</si>
  <si>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</si>
  <si>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</si>
  <si>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</si>
  <si>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</si>
  <si>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</si>
  <si>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</si>
  <si>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</si>
  <si>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</si>
  <si>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</si>
  <si>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</si>
  <si>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</si>
  <si>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</si>
  <si>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</si>
  <si>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</si>
  <si>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</si>
  <si>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</si>
  <si>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</si>
  <si>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</si>
  <si>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</si>
  <si>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</si>
  <si>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</si>
  <si>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</si>
  <si>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</si>
  <si>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</si>
  <si>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Instancias territoriales asistidas técnicamente</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</si>
  <si>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</si>
  <si>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</si>
  <si>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</si>
  <si>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</si>
  <si>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</si>
  <si>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</si>
  <si>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Cobertura de   personas capacitadas en Gestión del Riesgo de Desastres  en el Departamento del Quindío, bajo en marco de Ciudades resilientes</t>
  </si>
  <si>
    <t>Servicio de educación informal</t>
  </si>
  <si>
    <t>Personas capacitadas</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</si>
  <si>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</si>
  <si>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</si>
  <si>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</si>
  <si>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</si>
  <si>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</si>
  <si>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</si>
  <si>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</si>
  <si>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</si>
  <si>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</si>
  <si>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</si>
  <si>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</si>
  <si>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 xml:space="preserve"> 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</si>
  <si>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</si>
  <si>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</si>
  <si>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 xml:space="preserve"> 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</si>
  <si>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</si>
  <si>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</si>
  <si>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</si>
  <si>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</si>
  <si>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</si>
  <si>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</si>
  <si>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</si>
  <si>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</si>
  <si>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</si>
  <si>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</si>
  <si>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 xml:space="preserve">310 SECRETARÍA DE CULTURA </t>
  </si>
  <si>
    <t>Servicio de educación informal en áreas artísticas y culturales</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</si>
  <si>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</si>
  <si>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</si>
  <si>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Servicio de circulación artística y cultural</t>
  </si>
  <si>
    <t>Producciones artísticas en circulación</t>
  </si>
  <si>
    <t>Formulación e implementación del Plan de Cultura</t>
  </si>
  <si>
    <t xml:space="preserve">Documentos de lineamientos técnicos </t>
  </si>
  <si>
    <t>Plan Decenal de cultura formulado e implementado</t>
  </si>
  <si>
    <t>Servicio de educación formal al sector artístico y cultural</t>
  </si>
  <si>
    <t>Cupos de educación formal ofertados</t>
  </si>
  <si>
    <t>Servicios bibliotecarios</t>
  </si>
  <si>
    <t>330108500</t>
  </si>
  <si>
    <t>Usuarios atendidos</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</si>
  <si>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</si>
  <si>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</si>
  <si>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</si>
  <si>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</si>
  <si>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</si>
  <si>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</si>
  <si>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</si>
  <si>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</si>
  <si>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 xml:space="preserve"> 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</si>
  <si>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</si>
  <si>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</si>
  <si>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Servicio de asistencia técnica en el manejo y gestión del patrimonio arqueológico, antropológico e histórico.</t>
  </si>
  <si>
    <t>330204200</t>
  </si>
  <si>
    <t xml:space="preserve">Asistencias técnicas realizadas a entidades territoriales </t>
  </si>
  <si>
    <t xml:space="preserve"> 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</si>
  <si>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</si>
  <si>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</si>
  <si>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</si>
  <si>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 xml:space="preserve">311 SECRETARÍA DE TURISMO INDUSTRIA Y COMERCIO </t>
  </si>
  <si>
    <t>PRODUCTIVIDAD Y COMPETITIVIDAD</t>
  </si>
  <si>
    <t>Comercio, Industria y Turismo</t>
  </si>
  <si>
    <t xml:space="preserve">Productividad y competitividad de las empresas colombianas. "Tú y yo con empresas competitivas" </t>
  </si>
  <si>
    <t>Índice Departamental de Competitividad
Tasa de desempleo</t>
  </si>
  <si>
    <t>Servicio de apoyo y consolidación de las Comisiones Regionales de Competitividad - CRC</t>
  </si>
  <si>
    <t>350200600</t>
  </si>
  <si>
    <t xml:space="preserve">Planes de trabajo concertados con las CRC para su consolidación </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</si>
  <si>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</si>
  <si>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</si>
  <si>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Servicio de asistencia técnica para el desarrollo de iniciativas Clústeres</t>
  </si>
  <si>
    <t>350200700</t>
  </si>
  <si>
    <t>Clústeres asistidos en la implementación de los planes de acción</t>
  </si>
  <si>
    <t>350202200</t>
  </si>
  <si>
    <t>Empresas asistidas técnicamente</t>
  </si>
  <si>
    <t xml:space="preserve"> Fortalecimiento del sector empresarial  para el acceso a nuevos mercados en el departamento del Quindío</t>
  </si>
  <si>
    <t>Incrementar en índice de competitividad en el Departamento del Quindío,  a través de fortalecimiento del sector empresarial,  con el propósito de incrementar la competitividad para  en  acceso a nuevos mercados locales e internacionales.</t>
  </si>
  <si>
    <t>Índice Departamental de Competitividad Turística
Tasa de desempleo</t>
  </si>
  <si>
    <t>Servicio de asistencia técnica a los entes territoriales para el desarrollo turístico</t>
  </si>
  <si>
    <t>350203900</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</si>
  <si>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</si>
  <si>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</si>
  <si>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</si>
  <si>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</si>
  <si>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</si>
  <si>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</si>
  <si>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</si>
  <si>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</si>
  <si>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Servicios de apoyo financiero para la creación de empresas</t>
  </si>
  <si>
    <t>360201800</t>
  </si>
  <si>
    <t>Planes de negocio financiados</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</si>
  <si>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</si>
  <si>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</si>
  <si>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</si>
  <si>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</si>
  <si>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</si>
  <si>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</si>
  <si>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</si>
  <si>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</si>
  <si>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</si>
  <si>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</si>
  <si>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</si>
  <si>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 xml:space="preserve">312 SECRETARÍA DE AGRICULTURA, DESARROLLO RURAL Y MEDIO AMBIENTE </t>
  </si>
  <si>
    <t>Agricultura y desarrollo rural</t>
  </si>
  <si>
    <t>Inclusión productiva de pequeños productores rurales. "Tú y yo con oportunidades para el pequeño campesino"</t>
  </si>
  <si>
    <t>Crecimiento económico del sector agropecuario (PIB)</t>
  </si>
  <si>
    <t>Servicio de asesoría para el fortalecimiento de la asociatividad</t>
  </si>
  <si>
    <t>170201100</t>
  </si>
  <si>
    <t>Asociaciones fortalecidas</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</si>
  <si>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</si>
  <si>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</si>
  <si>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</si>
  <si>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</si>
  <si>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</si>
  <si>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</si>
  <si>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</si>
  <si>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</si>
  <si>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</si>
  <si>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</si>
  <si>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</si>
  <si>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</si>
  <si>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</si>
  <si>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</si>
  <si>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</si>
  <si>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</si>
  <si>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</si>
  <si>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</si>
  <si>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</si>
  <si>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</si>
  <si>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</si>
  <si>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</si>
  <si>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</si>
  <si>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</si>
  <si>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</si>
  <si>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</si>
  <si>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</si>
  <si>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</si>
  <si>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</si>
  <si>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</si>
  <si>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</si>
  <si>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</si>
  <si>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</si>
  <si>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</si>
  <si>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 xml:space="preserve"> 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</si>
  <si>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</si>
  <si>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</si>
  <si>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 de apoyo a la implementación de mecanismos y herramientas para el conocimiento, reducción y manejo de riesgos agropecuarios</t>
  </si>
  <si>
    <t>170301300</t>
  </si>
  <si>
    <t>Personas beneficiadas</t>
  </si>
  <si>
    <t xml:space="preserve"> 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</si>
  <si>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</si>
  <si>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</si>
  <si>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170400203</t>
  </si>
  <si>
    <t>Documentos de lineamientos para el ordenamiento social y productivo elaborados</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</si>
  <si>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</si>
  <si>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</si>
  <si>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</si>
  <si>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</si>
  <si>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</si>
  <si>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</si>
  <si>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Servicio de apoyo financiero para la participación en ferias nacionales e internacionales</t>
  </si>
  <si>
    <t>170600400</t>
  </si>
  <si>
    <t>Participaciones en ferias nacionales e internacionales</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</si>
  <si>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</si>
  <si>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</si>
  <si>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</si>
  <si>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Servicio de divulgación y socialización</t>
  </si>
  <si>
    <t>170706900</t>
  </si>
  <si>
    <t>Eventos realizados</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</si>
  <si>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</si>
  <si>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</si>
  <si>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170801600</t>
  </si>
  <si>
    <t>Documentos de lineamientos técnicos elaborados</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</si>
  <si>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</si>
  <si>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</si>
  <si>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</si>
  <si>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</si>
  <si>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</si>
  <si>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Infraestructura productiva y comercialización. "Tú y yo con agro competitivo"</t>
  </si>
  <si>
    <t>Centros logísticos agropecuarios adecuados</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</si>
  <si>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</si>
  <si>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</si>
  <si>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</si>
  <si>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</si>
  <si>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</si>
  <si>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</si>
  <si>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</si>
  <si>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</si>
  <si>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</si>
  <si>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</si>
  <si>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 xml:space="preserve"> 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</si>
  <si>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</si>
  <si>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</si>
  <si>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</si>
  <si>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</si>
  <si>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Documentos de lineamientos técnicos para mejorar la calidad ambiental de las áreas urbanas</t>
  </si>
  <si>
    <t>320101300</t>
  </si>
  <si>
    <t>Documentos de lineamientos técnicos para  mejorar la calidad ambiental de las áreas urbanas elaborados</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</si>
  <si>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</si>
  <si>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</si>
  <si>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</si>
  <si>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</si>
  <si>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</si>
  <si>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</si>
  <si>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 xml:space="preserve"> 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</si>
  <si>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</si>
  <si>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Servicio de recuperación de cuerpos de agua lénticos y lóticos</t>
  </si>
  <si>
    <t>320203704</t>
  </si>
  <si>
    <t>Bosque ripario recuperado</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</si>
  <si>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</si>
  <si>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</si>
  <si>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</si>
  <si>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</si>
  <si>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</si>
  <si>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</si>
  <si>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</si>
  <si>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</si>
  <si>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</si>
  <si>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Estrategia  para la protección y bienestar de los animales domésticos y silvestres adoptada</t>
  </si>
  <si>
    <t>Talleres realizados</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</si>
  <si>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</si>
  <si>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</si>
  <si>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</si>
  <si>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</si>
  <si>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</si>
  <si>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</si>
  <si>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</si>
  <si>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</si>
  <si>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Servicio de apoyo financiero a emprendimientos</t>
  </si>
  <si>
    <t>320401200</t>
  </si>
  <si>
    <t xml:space="preserve">Emprendimientos apoyados </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</si>
  <si>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</si>
  <si>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</si>
  <si>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</si>
  <si>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</si>
  <si>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</si>
  <si>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</si>
  <si>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</si>
  <si>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</si>
  <si>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</si>
  <si>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</si>
  <si>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</si>
  <si>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</si>
  <si>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</si>
  <si>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</si>
  <si>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</si>
  <si>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</si>
  <si>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</si>
  <si>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</si>
  <si>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</si>
  <si>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</si>
  <si>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</si>
  <si>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</si>
  <si>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</si>
  <si>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</si>
  <si>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</si>
  <si>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Fortalecimiento a la gestión y dirección de la administración pública territorial "Quindío con una administración al servicio de la ciudadanía"</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</si>
  <si>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</si>
  <si>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</si>
  <si>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</si>
  <si>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</si>
  <si>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</si>
  <si>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Desarrollo e implementación de la estrategia de comunicaciones para la Administración Departamental</t>
  </si>
  <si>
    <t>Estrategia de comunicaciones desarrollada e implementada</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</si>
  <si>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</si>
  <si>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</si>
  <si>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</si>
  <si>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</si>
  <si>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</si>
  <si>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</si>
  <si>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 xml:space="preserve">314 SECRETARÍA DE EDUCACIÓN </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</si>
  <si>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</si>
  <si>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</si>
  <si>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</si>
  <si>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</si>
  <si>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</si>
  <si>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</si>
  <si>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</si>
  <si>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</si>
  <si>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</si>
  <si>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</si>
  <si>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</si>
  <si>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</si>
  <si>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</si>
  <si>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</si>
  <si>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</si>
  <si>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</si>
  <si>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</si>
  <si>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</si>
  <si>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</si>
  <si>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</si>
  <si>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</si>
  <si>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</si>
  <si>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</si>
  <si>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</si>
  <si>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</si>
  <si>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</si>
  <si>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</si>
  <si>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</si>
  <si>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</si>
  <si>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</si>
  <si>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</si>
  <si>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</si>
  <si>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</si>
  <si>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</si>
  <si>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</si>
  <si>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</si>
  <si>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</si>
  <si>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</si>
  <si>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</si>
  <si>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</si>
  <si>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</si>
  <si>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</si>
  <si>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</si>
  <si>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</si>
  <si>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</si>
  <si>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</si>
  <si>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</si>
  <si>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</si>
  <si>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</si>
  <si>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</si>
  <si>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</si>
  <si>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</si>
  <si>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</si>
  <si>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</si>
  <si>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</si>
  <si>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</si>
  <si>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</si>
  <si>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</si>
  <si>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</si>
  <si>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</si>
  <si>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</si>
  <si>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</si>
  <si>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</si>
  <si>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</si>
  <si>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</si>
  <si>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</si>
  <si>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</si>
  <si>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</si>
  <si>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</si>
  <si>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</si>
  <si>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Servicio educativo</t>
  </si>
  <si>
    <t>Establecimientos educativos en operación</t>
  </si>
  <si>
    <t>Servicio de accesibilidad a contenidos web para fines pedagógicos</t>
  </si>
  <si>
    <t>Estudiantes con acceso a contenidos web en el establecimiento educativo</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</si>
  <si>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</si>
  <si>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</si>
  <si>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</si>
  <si>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</si>
  <si>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</si>
  <si>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</si>
  <si>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</si>
  <si>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</si>
  <si>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</si>
  <si>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</si>
  <si>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</si>
  <si>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</si>
  <si>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</si>
  <si>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</si>
  <si>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</si>
  <si>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</si>
  <si>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</si>
  <si>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Servicios de información en materia educativa</t>
  </si>
  <si>
    <t>Observatorio implementado</t>
  </si>
  <si>
    <t>Tasa de cobertura en educación superior</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</si>
  <si>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</si>
  <si>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</si>
  <si>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</si>
  <si>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</si>
  <si>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</si>
  <si>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Generación de una cultura qué valora y gestiona en conocimiento y la innovación.</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</si>
  <si>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</si>
  <si>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</si>
  <si>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</si>
  <si>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</si>
  <si>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</si>
  <si>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</si>
  <si>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316 SECRETARÍA DE FAMILIA</t>
  </si>
  <si>
    <t>Salud Pública, "Tú y yo con salud de calidad"</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</si>
  <si>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</si>
  <si>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</si>
  <si>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</si>
  <si>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  Diseño e implementación de campañas para la promoción de la vida y prevención del consumo de sustancias psicoactivas en el Departamento del Quindío. "TU Y YO UNIDOS POR LA VIDA".  </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</si>
  <si>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</si>
  <si>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</si>
  <si>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</si>
  <si>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Servicio de educación informal al sector artístico y cultural</t>
  </si>
  <si>
    <t>Capacitaciones de educación informal realizadas</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</si>
  <si>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</si>
  <si>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</si>
  <si>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</si>
  <si>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</si>
  <si>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</si>
  <si>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</si>
  <si>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</si>
  <si>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</si>
  <si>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</si>
  <si>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</si>
  <si>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</si>
  <si>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</si>
  <si>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</si>
  <si>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</si>
  <si>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</si>
  <si>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</si>
  <si>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</si>
  <si>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Familias atendidas</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</si>
  <si>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</si>
  <si>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</si>
  <si>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</si>
  <si>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</si>
  <si>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</si>
  <si>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</si>
  <si>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</si>
  <si>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</si>
  <si>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</si>
  <si>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</si>
  <si>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</si>
  <si>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</si>
  <si>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</si>
  <si>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</si>
  <si>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</si>
  <si>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</si>
  <si>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</si>
  <si>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</si>
  <si>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</si>
  <si>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</si>
  <si>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</si>
  <si>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</si>
  <si>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</si>
  <si>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</si>
  <si>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</si>
  <si>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</si>
  <si>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 xml:space="preserve"> 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</si>
  <si>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</si>
  <si>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</si>
  <si>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</si>
  <si>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</si>
  <si>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</si>
  <si>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</si>
  <si>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</si>
  <si>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</si>
  <si>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</si>
  <si>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Niños, niñas, adolescentes y jóvenes atendidos en los servicios de restablecimiento en la administración de justicia</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</si>
  <si>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</si>
  <si>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</si>
  <si>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</si>
  <si>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</si>
  <si>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</si>
  <si>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</si>
  <si>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</si>
  <si>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</si>
  <si>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 xml:space="preserve">mecanismos de articulación implementados para la gestión de oferta social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</si>
  <si>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</si>
  <si>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</si>
  <si>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</si>
  <si>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</si>
  <si>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</si>
  <si>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</si>
  <si>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</si>
  <si>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</si>
  <si>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</si>
  <si>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</si>
  <si>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</si>
  <si>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</si>
  <si>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</si>
  <si>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</si>
  <si>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</si>
  <si>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</si>
  <si>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</si>
  <si>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</si>
  <si>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</si>
  <si>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</si>
  <si>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</si>
  <si>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</si>
  <si>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</si>
  <si>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</si>
  <si>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</si>
  <si>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</si>
  <si>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</si>
  <si>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</si>
  <si>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</si>
  <si>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</si>
  <si>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</si>
  <si>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</si>
  <si>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</si>
  <si>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</si>
  <si>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</si>
  <si>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</si>
  <si>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</si>
  <si>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</si>
  <si>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</si>
  <si>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 xml:space="preserve"> 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</si>
  <si>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</si>
  <si>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</si>
  <si>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</si>
  <si>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</si>
  <si>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</si>
  <si>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</si>
  <si>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</si>
  <si>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</si>
  <si>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</si>
  <si>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</si>
  <si>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 xml:space="preserve"> 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</si>
  <si>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</si>
  <si>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</si>
  <si>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Tasa  de Niños, Niñas y Adolescentes qué participan en una actividad remunerada  o no  x cada 100.000 habitantes  en el departamento del Quindío</t>
  </si>
  <si>
    <t>Servicio de educación informal para la prevención integral del trabajo infantil</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</si>
  <si>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</si>
  <si>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</si>
  <si>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</si>
  <si>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</si>
  <si>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</si>
  <si>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</si>
  <si>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 xml:space="preserve"> 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</si>
  <si>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</si>
  <si>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</si>
  <si>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</si>
  <si>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</si>
  <si>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</si>
  <si>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 xml:space="preserve">  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</si>
  <si>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</si>
  <si>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</si>
  <si>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Implementar  la política  pública de diversidad sexual e identidad de género</t>
  </si>
  <si>
    <t>Política pública de diversidad sexual e identidad de género implementada.</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</si>
  <si>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</si>
  <si>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Casa de la Mujer Empoderada implementada</t>
  </si>
  <si>
    <t>Espacios generados para el fortalecimiento de capacidades institucionales del Estado</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</si>
  <si>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</si>
  <si>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Casa Refugio de la Mujer implementada</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</si>
  <si>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</si>
  <si>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</si>
  <si>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Documentos de planeación realizados</t>
  </si>
  <si>
    <t xml:space="preserve">318 SECRETARIA DE SALUD </t>
  </si>
  <si>
    <t xml:space="preserve">Inspección, vigilancia y control. "Tú y yo con salud certificada" </t>
  </si>
  <si>
    <t>Mortalidad por diarreica aguda (EDA) menores 5 años (número de muertes anual)</t>
  </si>
  <si>
    <t>Servicio de concepto sanitario</t>
  </si>
  <si>
    <t>Servicio de registro sanitario</t>
  </si>
  <si>
    <t>Conceptos sanitarios expedidos</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</si>
  <si>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</si>
  <si>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</si>
  <si>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</si>
  <si>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</si>
  <si>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</si>
  <si>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</si>
  <si>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</si>
  <si>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</si>
  <si>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</si>
  <si>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</si>
  <si>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Municipios con procesos de vigilancia epidemiológica de plaguicidas organofosforados y carbamatos realizados.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</si>
  <si>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</si>
  <si>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</si>
  <si>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</si>
  <si>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</si>
  <si>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</si>
  <si>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</si>
  <si>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</si>
  <si>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</si>
  <si>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Tasa mortalidad en menores de 5 años (por 1.000 nacidos vivos).</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</si>
  <si>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</si>
  <si>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</si>
  <si>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</si>
  <si>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</si>
  <si>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</si>
  <si>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 xml:space="preserve"> Implementación de programas de promoción social en poblaciones  especiales en el Departamento del Quindío </t>
  </si>
  <si>
    <t>Fortalecer la gestión intersectorial en salud de los grupos con alta vulnerabilidad</t>
  </si>
  <si>
    <t>Tasa de violencia de género</t>
  </si>
  <si>
    <t>Servicio de adopción y seguimiento de acciones y medidas especiales</t>
  </si>
  <si>
    <t>Acciones y medidas especiales ejecutadas</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</si>
  <si>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</si>
  <si>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</si>
  <si>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</si>
  <si>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</si>
  <si>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</si>
  <si>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</si>
  <si>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</si>
  <si>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 xml:space="preserve">Informes de los resultados obtenidos en la vigilancia sanitaria </t>
  </si>
  <si>
    <t>Asistencias técnicas realizadas</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</si>
  <si>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</si>
  <si>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</si>
  <si>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</si>
  <si>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</si>
  <si>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</si>
  <si>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</si>
  <si>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</si>
  <si>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</si>
  <si>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</si>
  <si>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</si>
  <si>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atención institucional del parto por personal calificado.</t>
  </si>
  <si>
    <t>Porcentaje de población asegurada al SGSSS</t>
  </si>
  <si>
    <t>Servicios de comunicación y divulgación en inspección, vigilancia y control</t>
  </si>
  <si>
    <t>Eventos de rendición de cuentas realizados</t>
  </si>
  <si>
    <t xml:space="preserve"> Apoyo operativo a la inversión social en salud en el Departamento del Quindío </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</si>
  <si>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</si>
  <si>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</si>
  <si>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</si>
  <si>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</si>
  <si>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</si>
  <si>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</si>
  <si>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</si>
  <si>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Servicio de implementación de estrategias para el fortalecimiento del control social en salud</t>
  </si>
  <si>
    <t>Estrategias para el fortalecimiento del control social en salud implementadas</t>
  </si>
  <si>
    <t>Servicio de gestión del riesgo para temas de consumo, aprovechamiento biológico, calidad e inocuidad de los alimentos.</t>
  </si>
  <si>
    <t>Campañas de gestión del riesgo para temas de consumo, aprovechamiento biológico, calidad e inocuidad de los alimentos implementadas</t>
  </si>
  <si>
    <t xml:space="preserve"> 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</si>
  <si>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</si>
  <si>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</si>
  <si>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</si>
  <si>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</si>
  <si>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</si>
  <si>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</si>
  <si>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</si>
  <si>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</si>
  <si>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DNP</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</si>
  <si>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</si>
  <si>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</si>
  <si>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Entidades Administradoras de Planes Básicos EAPB con Rutas de obligatorio cumplimiento Implementadas</t>
  </si>
  <si>
    <t>Campañas de promoción de la salud  y prevención de riesgos asociados a condiciones no transmisibles implementadas (190503100)</t>
  </si>
  <si>
    <t>Formular en Plan de Fortalecimiento de Capacidades en Salud Ambiental en coordinación con el Consejo Territorial de Salud Ambiental COTSA</t>
  </si>
  <si>
    <t xml:space="preserve"> 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</si>
  <si>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</si>
  <si>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</si>
  <si>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</si>
  <si>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</si>
  <si>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Mortalidad por dengue (casos)
Letalidad por dengue.</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</si>
  <si>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</si>
  <si>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</si>
  <si>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</si>
  <si>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</si>
  <si>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</si>
  <si>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</si>
  <si>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</si>
  <si>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</si>
  <si>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</si>
  <si>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</si>
  <si>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</si>
  <si>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</si>
  <si>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</si>
  <si>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</si>
  <si>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Consolidación de acciones de promoción de la salud y prevención primaria en salud mental en el Departamento del Quindío.</t>
  </si>
  <si>
    <t>Disminuir la morbimortalidad asociada a la salud mental principalmente de la violencia intrafamiliar</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</si>
  <si>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</si>
  <si>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</si>
  <si>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</si>
  <si>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</si>
  <si>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</si>
  <si>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</si>
  <si>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</si>
  <si>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</si>
  <si>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</si>
  <si>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</si>
  <si>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</si>
  <si>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</si>
  <si>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</si>
  <si>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</si>
  <si>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</si>
  <si>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</si>
  <si>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</si>
  <si>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</si>
  <si>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190501500</t>
  </si>
  <si>
    <t xml:space="preserve">Difusión de la estrategia de gestión integral y de control en vectores, zoonosis y cambio climático del Departamento del Quindío.   </t>
  </si>
  <si>
    <t xml:space="preserve"> Fortalecimiento de la inclusión social para la disminución del riesgo de contraer enfermedades transmisibles en el Departamento del Quindío.  </t>
  </si>
  <si>
    <t>Servicio de gestión del riesgo para enfermedades emergentes, reemergentes y desatendidas.</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</si>
  <si>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</si>
  <si>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</si>
  <si>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</si>
  <si>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</si>
  <si>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</si>
  <si>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</si>
  <si>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</si>
  <si>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</si>
  <si>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 xml:space="preserve"> Prevención vigilancia y control de eventos en el ámbito laboral en el Departamento del Quindío.  </t>
  </si>
  <si>
    <t xml:space="preserve">Disminuir los eventos de origen laboral en los trabajadores del sector formal del Departamento del Quindío </t>
  </si>
  <si>
    <t xml:space="preserve">Documentos de planeación en epidemiología y demografía elaborados </t>
  </si>
  <si>
    <t xml:space="preserve"> 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</si>
  <si>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</si>
  <si>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</si>
  <si>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</si>
  <si>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Centros reguladores de urgencias, emergencias y desastres dotados </t>
  </si>
  <si>
    <t>Centros reguladores de urgencias, emergencias y desastres dotados y funcionando.</t>
  </si>
  <si>
    <t xml:space="preserve">190500900
</t>
  </si>
  <si>
    <t>Centros reguladores de urgencias, emergencias y desastres dotados</t>
  </si>
  <si>
    <t xml:space="preserve">Fortalecimiento de la red de urgencias y emergencias en el Departamento del Quindío. </t>
  </si>
  <si>
    <t>Fortalecer en la integración de la red hospitalaria del departamento del Quindío.</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</si>
  <si>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</si>
  <si>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</si>
  <si>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</si>
  <si>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</si>
  <si>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</si>
  <si>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</si>
  <si>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</si>
  <si>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</si>
  <si>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</si>
  <si>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Servicio de apoyo con tecnologías para prestación de servicios en salud</t>
  </si>
  <si>
    <t>Población inimputable atendida</t>
  </si>
  <si>
    <t>Pacientes atendidos con medicamentos en salud financiados con cargo a los recursos de la UPC del Régimen Subsidiado</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</si>
  <si>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</si>
  <si>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</si>
  <si>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</si>
  <si>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</si>
  <si>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</si>
  <si>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</si>
  <si>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</si>
  <si>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</si>
  <si>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</si>
  <si>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</si>
  <si>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</si>
  <si>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</si>
  <si>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</si>
  <si>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</si>
  <si>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</si>
  <si>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</si>
  <si>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</si>
  <si>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</si>
  <si>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324  SECRETARÍA TECNOLÓGIAS DE LA INFORMACIÓN Y COMUNICACIÓN</t>
  </si>
  <si>
    <t>Tecnologías de la información y las comunicaciones</t>
  </si>
  <si>
    <t>Facilitar en acceso y uso de las Tecnologías de la Información y las Comunicaciones (TIC)  en todo el territorio nacional.  "Tú y yo somos ciudadanos TIC"</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</si>
  <si>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</si>
  <si>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</si>
  <si>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</si>
  <si>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 xml:space="preserve"> 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</si>
  <si>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</si>
  <si>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</si>
  <si>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</si>
  <si>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</si>
  <si>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</si>
  <si>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</si>
  <si>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</si>
  <si>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</si>
  <si>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</si>
  <si>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</si>
  <si>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</si>
  <si>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</si>
  <si>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</si>
  <si>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</si>
  <si>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</si>
  <si>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</si>
  <si>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</si>
  <si>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</si>
  <si>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Servicio de promoción de la industria de tecnologías de la información</t>
  </si>
  <si>
    <t xml:space="preserve">Eventos para  promoción  de productos y servicio de la industria TI realizados </t>
  </si>
  <si>
    <t xml:space="preserve"> 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</si>
  <si>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</si>
  <si>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empresas de la industria de Tecnologías de la Información para mejorar sus capacidades de comercialización e innovación</t>
  </si>
  <si>
    <t>Empresas beneficiadas con actividades de fortalecimiento  de la industria TI</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</si>
  <si>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</si>
  <si>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</si>
  <si>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</si>
  <si>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</si>
  <si>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</si>
  <si>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</si>
  <si>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</si>
  <si>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</si>
  <si>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 xml:space="preserve">Desarrollo tecnológico e innovación para el crecimiento empresarial </t>
  </si>
  <si>
    <t>Tasa de crecimiento de empresas en el sector productivo transformadas digitalmente</t>
  </si>
  <si>
    <t>Servicio de apoyo para la transferencia de conocimiento y tecnología</t>
  </si>
  <si>
    <t>390300501</t>
  </si>
  <si>
    <t>Nuevas tecnologías adoptadas</t>
  </si>
  <si>
    <t xml:space="preserve">   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</si>
  <si>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</si>
  <si>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</si>
  <si>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</si>
  <si>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</si>
  <si>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</si>
  <si>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Incremento de emprendimientos y/o empresas de base tecnológica</t>
  </si>
  <si>
    <t>Servicios de comunicación con enfoque en ciencia tecnología y sociedad</t>
  </si>
  <si>
    <t>Juguetes, juegos o videojuegos para la comunicación de la ciencia, tecnología e innovación producidos</t>
  </si>
  <si>
    <t xml:space="preserve">  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</si>
  <si>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</si>
  <si>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</si>
  <si>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</si>
  <si>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</si>
  <si>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 xml:space="preserve"> 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</si>
  <si>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</si>
  <si>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</si>
  <si>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</si>
  <si>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</si>
  <si>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</si>
  <si>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</si>
  <si>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</si>
  <si>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</si>
  <si>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</si>
  <si>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TOTAL ADMINISTRACIÓN CENTRAL:</t>
  </si>
  <si>
    <t xml:space="preserve">319 INDEPORTES QUINDÍO </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</si>
  <si>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</si>
  <si>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</si>
  <si>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</si>
  <si>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</si>
  <si>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</si>
  <si>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</si>
  <si>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</si>
  <si>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</si>
  <si>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</si>
  <si>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</si>
  <si>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</si>
  <si>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</si>
  <si>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</si>
  <si>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</si>
  <si>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</si>
  <si>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</si>
  <si>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</si>
  <si>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</si>
  <si>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</si>
  <si>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</si>
  <si>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</si>
  <si>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</si>
  <si>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</si>
  <si>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 xml:space="preserve">Infraestructura  deportiva y/o recreativa con procesos   constructivos, mejorados,  ampliados, mantenidos y/o  reforzados </t>
  </si>
  <si>
    <t xml:space="preserve">Infraestructura   deportiva y/o recreativa construida, mejorada, ampliada, mantenida, y/o  reforzada </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</si>
  <si>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</si>
  <si>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</si>
  <si>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</si>
  <si>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</si>
  <si>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</si>
  <si>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</si>
  <si>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</si>
  <si>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</si>
  <si>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</si>
  <si>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</si>
  <si>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</si>
  <si>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</si>
  <si>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</si>
  <si>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</si>
  <si>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</si>
  <si>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</si>
  <si>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</si>
  <si>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</si>
  <si>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</si>
  <si>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</si>
  <si>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</si>
  <si>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</si>
  <si>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</si>
  <si>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</si>
  <si>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</si>
  <si>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</si>
  <si>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</si>
  <si>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321 INSTITUTO DEPARTAMENTAL DE TRANSITO</t>
  </si>
  <si>
    <t>Seguridad de Transporte. "Tú y yo seguros en la vía"</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</si>
  <si>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</si>
  <si>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</si>
  <si>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</si>
  <si>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</si>
  <si>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</si>
  <si>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</si>
  <si>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</si>
  <si>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</si>
  <si>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</si>
  <si>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</si>
  <si>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Programa de control y atención del tránsito y en transporte formulado e implementado</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</si>
  <si>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</si>
  <si>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</si>
  <si>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</si>
  <si>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</si>
  <si>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TOTAL POAI:</t>
  </si>
  <si>
    <t xml:space="preserve">Programa de saneamiento fiscal y financiero ejecutado </t>
  </si>
  <si>
    <t>Rendición de cuentas realizadas</t>
  </si>
  <si>
    <t>Programa de saneamiento fiscal y financiero ejecutado</t>
  </si>
  <si>
    <t>Mantenimiento  de la infraestructura institucional o de edificios públicos en el Departamento del Quindío</t>
  </si>
  <si>
    <t xml:space="preserve"> Implementación  de acciones con los Entes Municipales, para la reducción de los delitos en el Departamento del Quindío</t>
  </si>
  <si>
    <t xml:space="preserve">Fortalecimiento institucional de la entidades municipales para la consolidación de la convivencia, el orden público  y la seguridad ciudadana  en el departamento del Quindío  </t>
  </si>
  <si>
    <t>Gestión del riesgo de desastres y emergencias. "Tú y yo preparados en gestión del riesgo"</t>
  </si>
  <si>
    <t>Municipios con organismos de Acción Comunal fortalecidos.</t>
  </si>
  <si>
    <t xml:space="preserve">Servicio de información para el sector artístico y cultural </t>
  </si>
  <si>
    <t>Sistema de información del sector artístico cultural en operación</t>
  </si>
  <si>
    <t>Servicio de asistencia técnica a las MiPymes para el acceso a nuevos mercados</t>
  </si>
  <si>
    <t>Servicio de educación informal en el marco de la conservación de la biodiversidad y los Servicio ecosistémicos</t>
  </si>
  <si>
    <t>Calidad y fomento de la Educación "Tú y yo preparados para la educación superior"</t>
  </si>
  <si>
    <t>Ciencia, Tecnología e Innovación</t>
  </si>
  <si>
    <t xml:space="preserve"> Diseño e implementación de un  Modelo de  atención integral a la primera infancia  a través de las Rutas Integrales de Atención  RIA en el Departamento del  Quindío </t>
  </si>
  <si>
    <t>Fomento del desarrollo de aplicaciones, software y contenidos para impulsar la apropiación de las Tecnologías de la Información y las Comunicaciones (TIC) "Quindío paraíso empresarial TIC-Quindío TIC"</t>
  </si>
  <si>
    <t>Estrategias de promoción de la cultura ciudadana implementadas</t>
  </si>
  <si>
    <t>Formular e Implementar un programa de control, prevención y atención del tránsito y el transporte en los municipios y vías de jurisdicción del IDTQ.</t>
  </si>
  <si>
    <t xml:space="preserve"> 1 de 1</t>
  </si>
  <si>
    <t xml:space="preserve">Banco de Programas y Proyectos del Departamento  con Procesos de fortalecimiento. </t>
  </si>
  <si>
    <t>Cobertura  de municipios del departamento del Quindío  atendidos con estudios y/o construcción de obras   para mitigación y atención a desastres realizadas.
Porcentaje de Ecosistemas protegidos y/o en procesos de restauración en el Departamento.</t>
  </si>
  <si>
    <t>Inclusión social y reconciliación</t>
  </si>
  <si>
    <t>Atención integral de población en situación permanente de desprotección social y/o familiar. "Tú y yo con atención integral"</t>
  </si>
  <si>
    <t>Cobertura de municipios del departamento con procesos de implementación de proyectos productivos para las personas con discapacidad.</t>
  </si>
  <si>
    <t>Centros de atención integral para personas con discapacidad construidos y dotados</t>
  </si>
  <si>
    <t>Centros de atención integral para personas con discapacidad construidos y dotados.</t>
  </si>
  <si>
    <t>Centros de atención integral para personas con Discapacidad construidos y dotados</t>
  </si>
  <si>
    <t xml:space="preserve">Centros de atención integral para personas con discapacidad construidos y dotados </t>
  </si>
  <si>
    <t>Plantas de beneficio animal adecuadas</t>
  </si>
  <si>
    <t>Plazas de mercado adecuadas</t>
  </si>
  <si>
    <t xml:space="preserve">Plantas de beneficio animal adecuadas </t>
  </si>
  <si>
    <t>.Cobertura en formación artística y cultural
.Tasa de consumo de sustancias psicoactivas por 100.000 habitantes en el departamento del Quindío.</t>
  </si>
  <si>
    <t>Tasa de participación en procesos y actividades artísticas y culturales.
Tasa de consumo de sustancias psicoactivas por 100.000 habitantes en el departamento del Quindío.</t>
  </si>
  <si>
    <t>Tasa de lectura
Tasa de consumo de sustancias psicoactivas por 100.000 habitantes en el departamento del Quindío.</t>
  </si>
  <si>
    <t>Tasa de cumplimiento al Plan de Biocultura en patrimonio y del PCC.
Tasa de consumo de sustancias psicoactivas por 100.000 habitantes en el departamento del Quindío.</t>
  </si>
  <si>
    <t>Cobertura  de municipios   con  jóvenes en riesgo psicosocial impactados en los  barrios vulnerables del Departamento del Quindío</t>
  </si>
  <si>
    <t>Cobertura de municipios atendidos  con el Banco de ayudas técnicas NO POS tipo Estándar, para las personas con discapacidad .</t>
  </si>
  <si>
    <t>Cobertura  de municipios del Departamento del Quindío  con el   Programas  de Rehabilitación Basada en la Comunidad  RBC</t>
  </si>
  <si>
    <t xml:space="preserve">Tasa de participación femenina en cargos de elección popular en el departamento del Quindío </t>
  </si>
  <si>
    <t>Tasa de violencia de Género</t>
  </si>
  <si>
    <t>Cobertura de ligas apoyadas en el departamento del Quindío.
Porcentaje de medallería del departamento del Quindío en los Juegos Nacionales.</t>
  </si>
  <si>
    <t xml:space="preserve">Apoyo en  la articulación de la  oferta social para la población habitante de calle del departamento del Quindío  </t>
  </si>
  <si>
    <t xml:space="preserve">Implementación del plan departamental para el manejo empresarial de los servicios de agua y saneamiento básico en el Departamento del Quindío  </t>
  </si>
  <si>
    <t xml:space="preserve">Implementación acciones de fortalecimiento  de los entornos protectores de los jóvenes en barrios vulnerables de los municipios, del Departamento del Quindío. </t>
  </si>
  <si>
    <t xml:space="preserve">Implementación de procesos productivos agropecuarios familiares campesinos en busca de la soberanía y seguridad alimentaria en el Departamento del Quindío </t>
  </si>
  <si>
    <t xml:space="preserve">Implementación de procesos de agro industrialización con calidad e inocuidad en el Departamento del Quindío </t>
  </si>
  <si>
    <t xml:space="preserve"> Fortalecimiento de las actividades de vigilancia y control del laboratorio de salud pública en el Departamento del Quindío</t>
  </si>
  <si>
    <t xml:space="preserve">Prevención, preparación, contingencia, mitigación y superación de emergencias y contingencias por eventos relacionados con la salud pública en el Departamento del Quindío.  </t>
  </si>
  <si>
    <t>Prestación de Servicios a la Población no Afiliada al Sistema General de Seguridad Social en Salud y en el NO POS a la Población del Régimen Subsidiado.</t>
  </si>
  <si>
    <t xml:space="preserve">Implementación de procesos de  sanidad e inocuidad alimentaria en el departamento del Quindío. </t>
  </si>
  <si>
    <t xml:space="preserve">Desarrollo de un  programa  de acompañamiento  familiar y comunitario  en procesos de Inclusión social y productivos para el emprendimiento de  alternativas de generación de ingresos  en el departamento del Quindío  </t>
  </si>
  <si>
    <t xml:space="preserve">Formulación e implementación   de proyectos productivos  dirigidos a  la población en condición  de  discapacidad y sus familias para la generación de  ingresos  y fortalecimiento del entorno familiar.  </t>
  </si>
  <si>
    <t xml:space="preserve">Formulación  e Implementación del  programa departamental para atención al ciudadano migrante y de repatriación.  </t>
  </si>
  <si>
    <t xml:space="preserve">Apoyo en la construcción e Implementación de los Planes de Vida de los Cabildos y Resguardos indígenas  asentados en el Departamento del Quindío "TU Y YO UNIDOS CON DIGNIDAD".  </t>
  </si>
  <si>
    <t xml:space="preserve">Formulación e implementación de la política pública para la comunidad negra, afrocolombiana, raizal y palenquera residente en el Departamento del Quindío   </t>
  </si>
  <si>
    <t xml:space="preserve">Servicio de atención integral a población en condición de discapacidad en los municipios del Departamento del Quindío "TU Y YO JUNTOS EN LA INCLUSIÓN". </t>
  </si>
  <si>
    <t xml:space="preserve">Fortalecimiento  de unidades productivas colectivas  juveniles para la generación de ingresos  en el departamento del Quindío  </t>
  </si>
  <si>
    <t>Registros sanitarios expedidos</t>
  </si>
  <si>
    <t>Implementación de un programa  de protección del  patrimonio ambiental  en paisaje la biodiversidad y sus servicios ecosistémicos en el Departamento de  Quindio</t>
  </si>
  <si>
    <t>Implementación  de acciones de Gestión del Cambio Climático en el marco del PIGCC en el Departamento del Quindío  Quindio</t>
  </si>
  <si>
    <t>Generación de estilos de vida saludable y control y vigilancia en la gestión del riesgo de condiciones no transmisibles en el  Departamento del Quindío.</t>
  </si>
  <si>
    <t xml:space="preserve">  Implementación de  métodos  para la resolución de conflictos y el  fortalecimiento de la seguridad de los ciudadanos en el Departamento del Quindío  </t>
  </si>
  <si>
    <t>FUENTES DE FINANCIACIÓN</t>
  </si>
  <si>
    <t xml:space="preserve">MONOPOLIO EDUCACIÓN, SALUD Y DEPORTE  </t>
  </si>
  <si>
    <t>NACIÓN  - ANTICONTRABANDO -ESTUPEFACIENTES</t>
  </si>
  <si>
    <t>Incrementar el Índice de Gestión y Desempeño de la Administración Departamental,  a través del fortalecimiento de las  capacidades institucionales de la Secretaría Administrativa conforme al alcance del Modelo Integrado de Planeación y Gestión, generando condiciones de gobernanza territorial eficiente y transparente</t>
  </si>
  <si>
    <t>Secretaría Administrativa</t>
  </si>
  <si>
    <t>Liderazgo, Gobernabilidad y Transparecia</t>
  </si>
  <si>
    <t>Secretaría de Planeación</t>
  </si>
  <si>
    <t>Secretaría de Hacienda y Finanzas Públicas</t>
  </si>
  <si>
    <t>Secretaría de Aguas e Infraestructura</t>
  </si>
  <si>
    <t>Inclusión Social y Equidad</t>
  </si>
  <si>
    <t>Productividad y Competitividad</t>
  </si>
  <si>
    <t>Territorio, Ambiente y Desarrollo Sostenible</t>
  </si>
  <si>
    <t>Secretaría del Interior</t>
  </si>
  <si>
    <t>Secretaría de Cultura</t>
  </si>
  <si>
    <t>Inclusión social y Equidad</t>
  </si>
  <si>
    <t>Secretaría de Turismo Industria y Comercio</t>
  </si>
  <si>
    <t>Secretaría de Agricultura Desarrollo Rural y Medio Ambiente</t>
  </si>
  <si>
    <t>Secretaría de Educación</t>
  </si>
  <si>
    <t>Secretaría de Familia</t>
  </si>
  <si>
    <t>Liderazgo, Gobernabilidad y Transparencia</t>
  </si>
  <si>
    <t>META PRODUCTO</t>
  </si>
  <si>
    <t>PROGRAMADA 
VIGENCIA 2022</t>
  </si>
  <si>
    <t>Secretaría de Salud</t>
  </si>
  <si>
    <t>307 SECREATRÍA DE HACIENDA</t>
  </si>
  <si>
    <t>CÓDIGO
PDD</t>
  </si>
  <si>
    <t>NOMBRE PDD</t>
  </si>
  <si>
    <t xml:space="preserve">PROGRAMA CATÁLOGO MGA </t>
  </si>
  <si>
    <t xml:space="preserve">Instituto Departamental de Tránsito del Quindío </t>
  </si>
  <si>
    <t>Vivienda, ciudad y territorio</t>
  </si>
  <si>
    <t>Prestación de servicios de salud. "Tú y yo con servicios de salud"</t>
  </si>
  <si>
    <t>Aseguramiento y prestación integral de servicios de salud</t>
  </si>
  <si>
    <t>CÓDIGO CATÁLOGO MGA</t>
  </si>
  <si>
    <t>Fortalecimiento de la educación media para la articulación con la educación superior o terciaria. "Tú y yo preparados para la educación superior"</t>
  </si>
  <si>
    <t xml:space="preserve">Calidad y fomento de la educación superior </t>
  </si>
  <si>
    <t>Desarrollo integral de la primera infancia a la juventud, y fortalecimiento de las capacidades de las familias de niñas, niños y adolescentes</t>
  </si>
  <si>
    <t>Facilitar el acceso y uso de las Tecnologías de la Información y las Comunicaciones en todo el territorio nacional</t>
  </si>
  <si>
    <t>Fortalecimiento del buen gobierno para el respeto y garantía de los derechos humanos</t>
  </si>
  <si>
    <t>Participación ciudadana y política y respeto por los derechos humanos y diversidad de creencias. "Quindío integrado y participativo"</t>
  </si>
  <si>
    <t>Prevención y atención de desastres y emergencias. "Tú y yo preparados en gestión del riesgo"</t>
  </si>
  <si>
    <t>Gestión del riesgo de desastres y emergencias</t>
  </si>
  <si>
    <t>Fortalecimiento de la gestión y desempeño institucional. “Quindío con una administración al servicio de la ciudadanía"</t>
  </si>
  <si>
    <t xml:space="preserve">Fortalecimiento a la gestión y dirección de la administración pública territorial </t>
  </si>
  <si>
    <t>Agrucultura y desarrollo rural</t>
  </si>
  <si>
    <t>Promoción al acceso a la justicia</t>
  </si>
  <si>
    <t>Promoción de los métodos de resolución de conflictos</t>
  </si>
  <si>
    <t>Sistema penitenciario y carcelario en el marco de los derechos humanos</t>
  </si>
  <si>
    <t>Inclusión productiva de pequeños productores rurales</t>
  </si>
  <si>
    <t>Servicios financieros y gestión del riesgo para las actividades agropecuarias y rurales</t>
  </si>
  <si>
    <t>Ordenamiento social y uso productivo del territorio rural</t>
  </si>
  <si>
    <t>Aprovechamiento de mercados externos</t>
  </si>
  <si>
    <t xml:space="preserve">Sanidad agropecuaria e inocuidad agroalimentaria </t>
  </si>
  <si>
    <t>Ciencia, tecnología e innovación agropecuaria</t>
  </si>
  <si>
    <t>Infraestructura productiva y comercialización</t>
  </si>
  <si>
    <t>Inspección, vigilancia y control</t>
  </si>
  <si>
    <t>Salud pública</t>
  </si>
  <si>
    <t>Calidad, cobertura y fortalecimiento de la educación inicial, prescolar, básica y media</t>
  </si>
  <si>
    <t>Fomento del desarrollo de aplicaciones, software y contenidos para impulsar la apropiación de las Tecnologías de la Información y las Comunicaciones (TIC)</t>
  </si>
  <si>
    <t xml:space="preserve">Infraestructura red vial regional </t>
  </si>
  <si>
    <t>Seguridad de transporte</t>
  </si>
  <si>
    <t>Fortalecimiento del desempeño ambiental de los sectores productivos</t>
  </si>
  <si>
    <t>Conservación de la biodiversidad y sus servicios ecosistémicos</t>
  </si>
  <si>
    <t xml:space="preserve">Gestión de la información y el conocimiento ambiental </t>
  </si>
  <si>
    <t xml:space="preserve">Ordenamiento ambiental territorial </t>
  </si>
  <si>
    <t>Gestión del cambio climático para un desarrollo bajo en carbono y resiliente al clima</t>
  </si>
  <si>
    <t>Promoción y acceso efectivo a procesos culturales y artísticos</t>
  </si>
  <si>
    <t>Gestión, protección y salvaguardia del patrimonio cultural colombiano</t>
  </si>
  <si>
    <t xml:space="preserve">Productividad y competitividad de las empresas colombianas </t>
  </si>
  <si>
    <t>Generación y formalización del empleo</t>
  </si>
  <si>
    <t>Derechos fundamentales del trabajo y fortalecimiento del diálogo social</t>
  </si>
  <si>
    <t>Acceso a soluciones de vivienda</t>
  </si>
  <si>
    <t>Acceso de la población a los servicios de agua potable y saneamiento básico</t>
  </si>
  <si>
    <t>Atención, asistencia  y reparación integral a las víctimas</t>
  </si>
  <si>
    <t xml:space="preserve">Inclusión social y productiva para la población en situación de vulnerabilidad </t>
  </si>
  <si>
    <t>Atención integral de población en situación permanente de desprotección social y/o familiar</t>
  </si>
  <si>
    <t>Fortalecimiento de la convivencia y la seguridad ciudadana</t>
  </si>
  <si>
    <t>Fomento a la recreación, la actividad física y el deporte para desarrollar entornos de convivencia y paz</t>
  </si>
  <si>
    <t>Generación de una cultura que valora y gestiona el conocimiento y la innovación</t>
  </si>
  <si>
    <t xml:space="preserve">Salud pública </t>
  </si>
  <si>
    <t>Desarrollo tecnológico e innovación para crecimiento empresarial</t>
  </si>
  <si>
    <t>Formación y preparación de deportistas</t>
  </si>
  <si>
    <t xml:space="preserve">SGP EDUCACIÓN - CONECTIVIDAD -
</t>
  </si>
  <si>
    <t>OTROS (FDO. SEGURIDAD - ACPM- IVA TELEFONIA MÓVIL  - IMP. REGISTRO- R.O. IDTQ)</t>
  </si>
  <si>
    <t>RENTAS CEDIDAS - SALUD - DEPORTE -</t>
  </si>
  <si>
    <t xml:space="preserve">ESTAMPILLAS 
PRO - CULTURA
PRO - ADULTO MAYOR
PRO - DESARROLLO
PRO - DEPORTE
 </t>
  </si>
  <si>
    <t>FORMATO</t>
  </si>
  <si>
    <t>PLAN DE DESARROLLO 2020-2023 "TÚ Y YO SOMOS QUINDIO "</t>
  </si>
  <si>
    <t>SUBTOTALES SECTOR CENTRAL</t>
  </si>
  <si>
    <t>SUBTOTAL ENTES DESCENTRALIZADOS</t>
  </si>
  <si>
    <t>TOTAL POAI 2022</t>
  </si>
  <si>
    <t>TOTAL ENTES DESCENTRALIZADOS</t>
  </si>
  <si>
    <t>Valor</t>
  </si>
  <si>
    <t>Total Inversión</t>
  </si>
  <si>
    <t>Planeación</t>
  </si>
  <si>
    <t>Aguas e Infraestructura</t>
  </si>
  <si>
    <t>Interior</t>
  </si>
  <si>
    <t>Turismo Industria y Comercio</t>
  </si>
  <si>
    <t>Familia</t>
  </si>
  <si>
    <t>Salud</t>
  </si>
  <si>
    <t>Construcción y dotación centro de atención integral para personas con discapacidad en el Departamento del Quindío+</t>
  </si>
  <si>
    <t>Adecuación planta de beneficio animal en el Departamento del Quindío</t>
  </si>
  <si>
    <t>Adecuación plaza de mercado en el Departamento del Quindío</t>
  </si>
  <si>
    <t xml:space="preserve"> Construir y dotar el Centro de Atención Integral para personas con discapacidad, con el propósito de contar con un espacio para la
atención especializada a la población en situación permanente de desprotección social y/o familiar, conducente a mejorar las
condiciones de calidad de vida de la población y su entorno familiar.</t>
  </si>
  <si>
    <t>Mejoramiento de la competitividad del  departamento como destino turístico  sostenible y de calidad .</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</si>
  <si>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</si>
  <si>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Asistencia y apropiación tecnológica y generacional en el departamento del Quindio</t>
  </si>
  <si>
    <t>Adecuar una planta de beneficio animal con el propósito de fortalecer la productividad y competitividad pecuaria sostenible, para el mejoramiento de la calidad, inocuidad y sanidad de los productos, para su mercadeo y comercialización, en el Departamento del Quindío</t>
  </si>
  <si>
    <t>Adecuar una plaza de mercado, con el propósito de brindar un espacio en optimas condiciones que permita la comercilaizacion de productos agropecuarios permitiendo la generacion de ingresos   sostenible a los pequeños productores del   Departaemnto del Quindio.</t>
  </si>
  <si>
    <t>Proyecta Empresa para el Desarrollo Territorial</t>
  </si>
  <si>
    <t>320 PROYECTA EMPRESA PARA EL DESARROLLO TERRITORIAL</t>
  </si>
  <si>
    <t>Instituto Departamental de Deporte y Recreación del Quindío</t>
  </si>
  <si>
    <t>Secretaría Tecnologías de la Información y las Comunicaciones</t>
  </si>
  <si>
    <t>304 SECRETARÍA ADMINISTRATIVA</t>
  </si>
  <si>
    <t xml:space="preserve">Implementación de un programa de modernización de la gestión Administrativa de la Administración Departamental del Quindío. "TÚ y YO SOMOS QUINDÍO" </t>
  </si>
  <si>
    <t>305 SECRETARÍA DE PLANEACIÓN</t>
  </si>
  <si>
    <t xml:space="preserve">Fortalecimiento del Consejo Territorial de Planeación del Departamento del Quindío. "TÚ y YO SOMOS QUINDIO" </t>
  </si>
  <si>
    <t>307 SECRETARÍA DE HACIENDA Y FINANZAS PÚBLICAS</t>
  </si>
  <si>
    <t xml:space="preserve">Implementación de un programa para el cumplimiento de las políticas y prácticas contables de la administración departamental del Quindío.    </t>
  </si>
  <si>
    <t>308 SECRETARÍA DE AGUAS E INFRAESTRUCTURA</t>
  </si>
  <si>
    <t xml:space="preserve"> Mantenimiento de la infraestructura Educativa en el Departamento del Quindío. </t>
  </si>
  <si>
    <t>309 SECRETARÍA DE INTERIOR</t>
  </si>
  <si>
    <t xml:space="preserve">Implementación de acciones de apoyo para la resocialización de las personas privadas de la libertad en las Instituciones Penitenciarias  del Departamento  del Quindío. </t>
  </si>
  <si>
    <t xml:space="preserve">Asistencia, atención y capacitación a la población excombatiente en el Departamento del Quindío. </t>
  </si>
  <si>
    <t xml:space="preserve"> Fortalecimiento de los organismos de seguridad del Departamento del Quindío, para mejorar la convivencia, preservación del orden público y la seguridad ciudadana. </t>
  </si>
  <si>
    <t>310 SECRETARÍA DE CULTURA</t>
  </si>
  <si>
    <t>311 SECRETARÍA DE TURISMO INDUSTRIA Y COMERCIO</t>
  </si>
  <si>
    <t>Mejoramiento  de la competitividad turística del Destino  Quindio</t>
  </si>
  <si>
    <t xml:space="preserve"> Fortalecimiento de la promoción turística  nacional e internacional  del destino Quindio </t>
  </si>
  <si>
    <t xml:space="preserve"> Fortalecimiento e implementación de procesos de mercadeo y comercialización agropecuaria en el Departamento del Quindío.                </t>
  </si>
  <si>
    <t xml:space="preserve">Implementación de procesos de sanidad e inocuidad alimentaria en el departamento del Quindío. </t>
  </si>
  <si>
    <t xml:space="preserve"> Fortalecimiento de nuevos emprendimientos e iniciativas clúster de las cadenas promisorias agropecuarias en el Departamento del Quindío.                     </t>
  </si>
  <si>
    <t>314 SECRETARÍA DE EDUCACIÓN</t>
  </si>
  <si>
    <t xml:space="preserve">Implementación acciones de fortalecimiento de los entornos protectores de los jóvenes en barrios vulnerables de los municipios, del Departamento del Quindío. </t>
  </si>
  <si>
    <t xml:space="preserve"> Implementación de la política pública de Familia para la promoción del desarrollo integral de la población del Departamento del Quindío. </t>
  </si>
  <si>
    <t xml:space="preserve"> Diseño e implementación del programa de acompañamiento familiar y comunitario con enfoque preventivo en los tipos de violencias en el Departamento del Quindío "TU Y YO COMPROMETIDOS CON LA FAMILIA" </t>
  </si>
  <si>
    <t xml:space="preserve">Formulación e Implementación del programa departamental para atención al ciudadano migrante y de repatriación.  </t>
  </si>
  <si>
    <t xml:space="preserve">Formulación e implementación   de proyectos productivos dirigidos a la población en condición de discapacidad y sus familias para la generación de  ingresos  y fortalecimiento del entorno familiar.  </t>
  </si>
  <si>
    <t xml:space="preserve">Apoyo en la construcción e Implementación de los Planes de Vida de los Cabildos y Resguardos indígenas asentados en el Departamento del Quindío "TU Y YO UNIDOS CON DIGNIDAD".  </t>
  </si>
  <si>
    <t xml:space="preserve">    Implementación de la política pública  de diversidad sexual en el Departamento del Quindío 20192029  </t>
  </si>
  <si>
    <t xml:space="preserve">Implementación de la Casa  de la Mujer Empoderada para la promoción a la participación ciudadana  de Mujeres en escenarios sociales, políticos y en fortalecimiento de la asociatividad  en el departamento del Quindío </t>
  </si>
  <si>
    <t>318 SECRETARÍA DE SALUD</t>
  </si>
  <si>
    <t>Fortalecimiento de las intervenciones colectivas y prioridades en salud pública del Departamento del Quindío PIC</t>
  </si>
  <si>
    <t>324 SECRETARÍA DE TECNOLOGÍA DE LA INFORMACIÓN Y COMUNICACÓN</t>
  </si>
  <si>
    <t>Asistencia y apropiación tecnológica generacional en el departamento del Quindio</t>
  </si>
  <si>
    <t>319 INDEPORTES</t>
  </si>
  <si>
    <t xml:space="preserve">  Mantenimiento de obras complementarias a la infraestructura vial en el Departamento del Quindío </t>
  </si>
  <si>
    <t xml:space="preserve"> Apoyo en la formulación y ejecución de proyectos de vivienda en el Departamento del Quindío   </t>
  </si>
  <si>
    <t>PRESUPUESTO</t>
  </si>
  <si>
    <t>321 INSTITUTO DEPARTAMENTAL DE TRÁNSITO DEL QUINDÍO</t>
  </si>
  <si>
    <t>Construcción y dotación centro de atención integral para personas con discapacidad en el Departamento del Quindío</t>
  </si>
  <si>
    <t>312 SECRETARÍA DE AGRICULTURA DESARROLLO RUAL Y MEDIO AMBIENTE</t>
  </si>
  <si>
    <t>TOTAL PROYECTOS INVERSION DEPARTAMENTAL 2022</t>
  </si>
  <si>
    <t xml:space="preserve">Implementación  de eventos de Rendición Pública de Cuentas  de divulgación de gestión  de la Administración Departamental  "TU Y YO SOMOS QUINDIO" </t>
  </si>
  <si>
    <t xml:space="preserve">Implementación   de instrumentos de planificación para  en  Ordenamiento y la Gestión Territorial Departamental del Quindío  "TU Y YO SOMOS QUINDIO" </t>
  </si>
  <si>
    <t>Implementación del Observatorio Económico  de la Administración Departamental del Quindío "TU Y YO SOMOS QUINDIO"</t>
  </si>
  <si>
    <t>Implementación  del Modelo Integrado de Planeación y de Gestión MIPG en la Administración Departamental del   Quindío</t>
  </si>
  <si>
    <t xml:space="preserve">Mantenimiento de  la infraestructura  Educativa en el Departamento del Quindío. </t>
  </si>
  <si>
    <t xml:space="preserve">Mantenimiento de la infraestructura cultural en el departamento del Quindío  </t>
  </si>
  <si>
    <t xml:space="preserve">Elaboración estudios y diseños de Infraestructura vial en el Departamento de Quindío </t>
  </si>
  <si>
    <t xml:space="preserve">Construcción, mantenimiento y/o mejoramiento de obras de infraestructura  para la mitigación y atención de desastres en los municipios del departamento del Quindío </t>
  </si>
  <si>
    <t>Implementación  de acciones con los Entes Municipales, para la reducción de los delitos en el Departamento del Quindío</t>
  </si>
  <si>
    <t xml:space="preserve">Implementación de  métodos  para la resolución de conflictos y el  fortalecimiento de la seguridad de los ciudadanos en el Departamento del Quindío  </t>
  </si>
  <si>
    <t xml:space="preserve">Implementación del Plan Integral de prevención de vulneraciones de los Derechos Humanos DDHH e infracciones  al Derecho Internacional Humanitario DIH en el Departamento del Quindío </t>
  </si>
  <si>
    <t xml:space="preserve">Fortalecimiento de los organismos de seguridad del Departamento del Quindío,  para mejorar la convivencia, preservación del orden público y la seguridad ciudadana. </t>
  </si>
  <si>
    <t xml:space="preserve">Apoyo artistas y gestores culturales  del departamento del Quindío con el  beneficio de la Seguridad Social.  </t>
  </si>
  <si>
    <t xml:space="preserve">Apoyo al Paisaje, Café y Tradición mediante procesos de manejo, gestión, asistencia técnica, divulgación y publicación del patrimonio, arqueológico, antropológico e histórico en el Departamento del Quindío </t>
  </si>
  <si>
    <t xml:space="preserve">Servicio de apoyo en la formulación y estructuración de proyectos de Desarrollo Rural e inclusión productiva  campesina en el Departamento del Quindío  </t>
  </si>
  <si>
    <t xml:space="preserve">Apoyo a la Implementación de procesos para la prevención y mitigación de riesgos naturales del sector agropecuario en el Departamento del Quindío.  </t>
  </si>
  <si>
    <t xml:space="preserve">Fortalecimiento e implementación  de procesos de mercadeo y comercialización agropecuaria  en el Departamento del Quindío.                </t>
  </si>
  <si>
    <t>Asistencias técnicas en inspección vigilacia y control realizadas</t>
  </si>
  <si>
    <t xml:space="preserve">Disminuir los índices  de delitos en el departamento del Quindío, a través de fortalecimiento de los organismos de seguridad, para el mejoramiento de la   convivencia, preservación del orden público y la seguridad ciudadana. </t>
  </si>
  <si>
    <t xml:space="preserve">Fortalecimiento del sector empresarial del departamento del Quindío </t>
  </si>
  <si>
    <t xml:space="preserve">Implementación de la transformación digital del sector empresarial en el Departamento del Quindío  </t>
  </si>
  <si>
    <t xml:space="preserve">Implementación  y  divulgación de la estrategia    "Quindío innovador y competitivo"   </t>
  </si>
  <si>
    <t xml:space="preserve">Fortalecimiento de la estrategia de gobierno digital  en la Administración Departamental y  Entes Territoriales del departamento del  Quindío  </t>
  </si>
  <si>
    <t xml:space="preserve">Fortalecimiento de la inclusión social para la disminución del riesgo de contraer enfermedades transmisibles en el Departamento del Quindío.  </t>
  </si>
  <si>
    <t xml:space="preserve">Prevención vigilancia y control de eventos en el ámbito laboral en el Departamento del Quindío.  </t>
  </si>
  <si>
    <t xml:space="preserve">Fortalecimiento del sistema de vigilancia en salud pública en el Departamento del Quindío. </t>
  </si>
  <si>
    <t>Fortalecimiento  y apoyo a las tecnologías de la información y las comunicaciones en el departamento del Quindío.</t>
  </si>
  <si>
    <t>Fomento a la recreación, la actividad física y el deporte  "Tú y yo en la recreación y el deporte"</t>
  </si>
  <si>
    <t xml:space="preserve">Productividad y competitividad de las empresas "Tú y yo con empresas competitivas" </t>
  </si>
  <si>
    <t>Generación de una cultura que valora y gestiona en conocimiento y la innovación.</t>
  </si>
  <si>
    <t>Facilitar el acceso y uso de las Tecnologías de la Información y las Comunicaciones en todo el departamento del Quindío. "Tú y yo somos ciudadanos TIC"</t>
  </si>
  <si>
    <t xml:space="preserve">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</si>
  <si>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Aumentar la adherencia al tratamiento de los pacientes con diagnóstico de tuberculosis  </t>
  </si>
  <si>
    <t xml:space="preserve">Disminuir en índice de enfermedades trasmisión vectorial y zoonosis en la población   </t>
  </si>
  <si>
    <t xml:space="preserve">Apoyo operativo a la inversión social en salud en el Departamento del Quindío </t>
  </si>
  <si>
    <t xml:space="preserve">Aprovechamiento biológico y consumo de  alimentos inocuos  en el Departamento del Quindío </t>
  </si>
  <si>
    <t>Implementación del  programa de liderazgo  para la participación femenina en escenarios sociales y políticos del departamento del Quindío</t>
  </si>
  <si>
    <t xml:space="preserve">Implementación de la política pública de equidad de género para la mujer en el Departamento del Quindío  </t>
  </si>
  <si>
    <t xml:space="preserve">Implementación de la política pública  de diversidad sexual en el Departamento del Quindío 2019-2029  </t>
  </si>
  <si>
    <t>Implementación de  estrategias de acompañamiento y asesoría a las asociaciones de mujeres del departamento del Quindío</t>
  </si>
  <si>
    <t xml:space="preserve">Servicio  de atención integral e inclusión para el bienestar de los adultos mayores del departamento del Quindío </t>
  </si>
  <si>
    <t>Servicio de atención Post egreso de adolescentes y jóvenes, en los servicios de restablecimiento en la administración de justicia, con enfoque pedagógico y restaurativo encaminados a la inclusión social en el  Departamento del   Quindío.</t>
  </si>
  <si>
    <t xml:space="preserve">Diseño e implementación del programa comunitario para la prevención de los derechos de niños, niñas y adolescentes y su desarrollo integral. "TU Y YO COMPROMETIDOS CON LOS SUEÑOS". </t>
  </si>
  <si>
    <t xml:space="preserve">Diseño e implementación del programa de acompañamiento familiar y comunitario con enfoque preventivo en los tipos de violencia en el Departamento del Quindío "TU Y YO COMPROMETIDOS CON LA FAMILIA" </t>
  </si>
  <si>
    <t xml:space="preserve">Diseño e implementación de un  Modelo de  atención integral a la primera infancia  a través de las Rutas Integrales de Atención  RIA en el Departamento del  Quindío </t>
  </si>
  <si>
    <t xml:space="preserve">Diseño e implementación de campañas para la promoción de la vida y prevención del consumo de sustancias psicoactivas en el Departamento del Quindío. "TU Y YO UNIDOS POR LA VIDA".  </t>
  </si>
  <si>
    <t xml:space="preserve">Disminuir las tasas  de mortalidad materna, embarazos, violencia y suicidios en el Departamento del Quindío, a través del fomento de  hábitos de vida saludables y derechos sexuales y reproductivos. </t>
  </si>
  <si>
    <t xml:space="preserve">Generación y desarrollo de acciones para la conservación de las áreas de importancia estratégica hídrica en el Departamento del Quindío </t>
  </si>
  <si>
    <t xml:space="preserve">Fortalecimiento  de nuevos emprendimientos e iniciativas clúster de las cadenas promisorias agropecuarias en el Departamento del Quindío.                     </t>
  </si>
  <si>
    <t xml:space="preserve">Fortalecimiento de la promoción turística del destino Quindío a nivel  nacional e internacional </t>
  </si>
  <si>
    <t>Fortalecimiento del sector empresarial  para el acceso a nuevos mercados en el departamento del Quindío</t>
  </si>
  <si>
    <t xml:space="preserve">Fortalecimiento de la participación ciudadana, veedurías y organizaciones comunales para el cumplimiento, protección y restablecimiento de los derechos contemplados en la Constitución Política.    </t>
  </si>
  <si>
    <t xml:space="preserve">Implementación  y/o fortalecimiento  de  los planes para la gestión del riesgo y desastres en las Instituciones Educativas Oficiales  del Departamento </t>
  </si>
  <si>
    <t>Índice Departamental de Competitividad</t>
  </si>
  <si>
    <t xml:space="preserve">Infraestructura hospitalaria con procesos constructivos, mejorados, ampliados, mantenidos, y/o reforzados </t>
  </si>
  <si>
    <t>Hospitales de tercer nivel de atención adecuados</t>
  </si>
  <si>
    <t>Infraestructura hospitalaria con procesos constructivos, mejorados, ampliados, mantenidos, y/o reforzados realizados</t>
  </si>
  <si>
    <t>Mejoramiento de la infraestructura física de las instituciones de salud pública y bienestar social en el  departamento del Quindío</t>
  </si>
  <si>
    <t>Mejorar la infraestructura hospitalaria del Departamento del Quindío, con el propósito de optimización de la prestación del servicio y en acceso incluyente y equitativo a la oferta de servicios del Estado.</t>
  </si>
  <si>
    <t>Cultur</t>
  </si>
  <si>
    <t>UNIDAD
EJECUTORA</t>
  </si>
  <si>
    <t>FUENTE DE FINANCIACIÓN</t>
  </si>
  <si>
    <t>Recurso Ordinario</t>
  </si>
  <si>
    <t>Estampilla Prodesarrollo</t>
  </si>
  <si>
    <t>SGP Agua Potable Saneamiento Básico</t>
  </si>
  <si>
    <t>Sobretasa al ACPM</t>
  </si>
  <si>
    <t>Convenios Nación</t>
  </si>
  <si>
    <t>Fondo de Seguridad 5%</t>
  </si>
  <si>
    <t>Estampilla Pro Cultura</t>
  </si>
  <si>
    <t>Iva Telefonía Móvil</t>
  </si>
  <si>
    <t>Impuesto al Registro 4%</t>
  </si>
  <si>
    <t>Monopolio</t>
  </si>
  <si>
    <t>SGP Educación</t>
  </si>
  <si>
    <t>Nación</t>
  </si>
  <si>
    <t>Programa Alimentación Escolar</t>
  </si>
  <si>
    <t>Estampilla Pro Adulto Mayor</t>
  </si>
  <si>
    <t>SGP Salud</t>
  </si>
  <si>
    <t>Rentas Cedidas</t>
  </si>
  <si>
    <t>Convenio Anticontrabando</t>
  </si>
  <si>
    <t>324  SECRETARÍA TECNOLÓGIAS DE LA INFORMACIÓN Y LASCOMUNICACIÓN</t>
  </si>
  <si>
    <t>Impuesto Monopolio</t>
  </si>
  <si>
    <t>Estampilla Pro Desarrollo</t>
  </si>
  <si>
    <t>Impuesto al Registro</t>
  </si>
  <si>
    <t>Recursos Propios</t>
  </si>
  <si>
    <t>APROPIACION DEFINITIVA</t>
  </si>
  <si>
    <t>% PD</t>
  </si>
  <si>
    <t>DISPONIBILIDADES</t>
  </si>
  <si>
    <t>% CD</t>
  </si>
  <si>
    <t>COMPROMISOS</t>
  </si>
  <si>
    <t>% RP</t>
  </si>
  <si>
    <t xml:space="preserve">OBLIGACIONES </t>
  </si>
  <si>
    <t>% OBLIG</t>
  </si>
  <si>
    <t>PAGOS</t>
  </si>
  <si>
    <t>% PAGOS</t>
  </si>
  <si>
    <t>SALDOS
DISPONIBLES</t>
  </si>
  <si>
    <t>% SALDO DISP.</t>
  </si>
  <si>
    <t>Administrativa</t>
  </si>
  <si>
    <t>Hacienda</t>
  </si>
  <si>
    <t>Agricultura, Desarrollo Rural y Medio Ambiente</t>
  </si>
  <si>
    <t>Tecnología de la Información y las Comunicaciones</t>
  </si>
  <si>
    <t>TOTAL SECTOR CENTRAL</t>
  </si>
  <si>
    <t>Indeportes</t>
  </si>
  <si>
    <t>Instituto Departamental de Transito</t>
  </si>
  <si>
    <t>TOTAL DESCENTRALIZADOS</t>
  </si>
  <si>
    <t>TOTAL DEPARTAMENTO</t>
  </si>
  <si>
    <t>Presupuesto</t>
  </si>
  <si>
    <t>%</t>
  </si>
  <si>
    <t>Sector Central</t>
  </si>
  <si>
    <t xml:space="preserve">Disponibilidades </t>
  </si>
  <si>
    <t>SEMAFORO CUMPLIMIENTO RP</t>
  </si>
  <si>
    <t>Compromisos</t>
  </si>
  <si>
    <t xml:space="preserve">Sobresaliente  (Entre 80%-100%) </t>
  </si>
  <si>
    <t>Obligaciones</t>
  </si>
  <si>
    <t>Satisfactorio (Entre 70% -79%)</t>
  </si>
  <si>
    <t xml:space="preserve">Pagos </t>
  </si>
  <si>
    <t>Medio (Entre 60%-69%)</t>
  </si>
  <si>
    <t>Disponible</t>
  </si>
  <si>
    <t>Bajo (Entre 40% - 59%)</t>
  </si>
  <si>
    <t>Critico (Entre 0% - 39%)</t>
  </si>
  <si>
    <t>Descentralizados</t>
  </si>
  <si>
    <t>Departamento Quindío</t>
  </si>
  <si>
    <t>EJECUTADA
VIGENCIA 2022</t>
  </si>
  <si>
    <t>OBLIGACIONES</t>
  </si>
  <si>
    <t>F-PLA-43</t>
  </si>
  <si>
    <t xml:space="preserve"> TOTAL PRESUPUESTO</t>
  </si>
  <si>
    <t>RECURSO DEL CRÉDITO</t>
  </si>
  <si>
    <t>Recurso del Crédito</t>
  </si>
  <si>
    <t xml:space="preserve">Servicio de vigilancia y control de las políticas y normas técnicas, científicas y administrativas expedidas por el Ministerio de Salud y Protección Social </t>
  </si>
  <si>
    <t>REPROGRAMADA 
VIGENCIA 2022</t>
  </si>
  <si>
    <t>II TRIMESTRE</t>
  </si>
  <si>
    <t>ACUMULADA
NO ACUAULADA</t>
  </si>
  <si>
    <t xml:space="preserve">Acumulada </t>
  </si>
  <si>
    <t>No Acumulada</t>
  </si>
  <si>
    <t>RESPONSABLE
(CARGO)</t>
  </si>
  <si>
    <t>Acumulada</t>
  </si>
  <si>
    <t>Secretario de Cultura</t>
  </si>
  <si>
    <t>Secretario Administrativo</t>
  </si>
  <si>
    <t>Secretario de Planeación</t>
  </si>
  <si>
    <t>Secretaria del Interior</t>
  </si>
  <si>
    <t>Secretaria de Hacienda</t>
  </si>
  <si>
    <t>Secretario de Turismo, Industria y Comercio</t>
  </si>
  <si>
    <t>Secretario de Agricultura, Desarrollo Rural y Medio Ambiente</t>
  </si>
  <si>
    <t>Secretario Tecnologías de la Información y las Comunicaciones</t>
  </si>
  <si>
    <t>Secretaria de Familia</t>
  </si>
  <si>
    <t>Secretaria de Educación</t>
  </si>
  <si>
    <t>Secretaria de Salud</t>
  </si>
  <si>
    <t>Secretario de Aguas e Infraestructura
, Secretario de Aguas e Infraestructura</t>
  </si>
  <si>
    <t>Gerente INDEPORTES QUINDÍO</t>
  </si>
  <si>
    <t>Gerente General Proyecta Empresa para el Desarrollo Territorial</t>
  </si>
  <si>
    <t>Director IDTQ</t>
  </si>
  <si>
    <t>Impuesto al Consumo</t>
  </si>
  <si>
    <t>Impuesto al Cigarrillo</t>
  </si>
  <si>
    <t>Otros Recursos</t>
  </si>
  <si>
    <t>SEGUIMIENTO PLAN OPERATIVO ANUAL DE INVERSIÓN POAI  2022
PLAN DE DESARROLLO 2020-2023 "TÚ Y YO SOMOS QUINDIO"
REPORTE UNIDADES EJECUTORAS POR PROGRAMAS
A SEPTIEMBRE 30 DE 2022</t>
  </si>
  <si>
    <t>SEGUIMIENTO PLAN OPERATIVO ANUAL DE INVERSIÓN POAI  2022
PLAN DE DESARROLLO 2020-2023 "TÚ Y YO SOMOS QUINDIO"
REPORTE UNIDADES EJECUTORAS POR FUENTES DE FINANCIACION
A SEPTIEMBRE 30 DE 2022</t>
  </si>
  <si>
    <t>SEGUIMIENTO PLAN OPERATIVO ANUAL DE INVERSIÓN POAI  2022
PLAN DE DESARROLLO 2020-2023 "TÚ Y YO SOMOS QUINDIO"
REPORTE POR LÍNEA ESTRATÉGICA
A SEPTIEMBRE 30 DE 2022</t>
  </si>
  <si>
    <t>PLAN DE DESARROLLO 2020 - 2023 "TÚ Y YO SOMOS QUINDIO"
CONSOLIDADO EJECUCIÓN GASTOS DE INVERSIÓN 
A SEPTIEMBRE 30 DE 2022</t>
  </si>
  <si>
    <t>RELACIÓN EJECUCIÓN  PROYECTOS DE INVERSIÓN DEPARTAMENTAL
PLAN DE DESARROLLO 2020-2023 "TÚ Y YO SOMOS QUINDIO"
RELACIÓN PROYECTOS DE INVERSION EJECUTADOS
A SEPTIEMBRE 30 DE 2022</t>
  </si>
  <si>
    <t>Otros recursos - Nación</t>
  </si>
  <si>
    <t>SEMAFORO CUMPLIMIENTO COMPROMISOS</t>
  </si>
  <si>
    <t>% PRESUPUESO</t>
  </si>
  <si>
    <t>% COMPROMISO
COMPRO/PPTO</t>
  </si>
  <si>
    <t>% OBLIGACION
OBLIG/COMPRO</t>
  </si>
  <si>
    <t>Tasa Deporte</t>
  </si>
  <si>
    <t xml:space="preserve"> $-   </t>
  </si>
  <si>
    <t>Mantenimiento de los edificios públicos y/o equipamentos colectivos y comunitarios en el departamento del Quindío.</t>
  </si>
  <si>
    <t>Mantener en óptimas condiciones de uso los equipamentos colectivos y comunitarios y espacios de uso público destinados para el sirvicio de la comunidad en cada uno de los municipios que lo requieran</t>
  </si>
  <si>
    <t>% OBLIGACION
/COMPROMISO</t>
  </si>
  <si>
    <t>% COMPROMISO
/PRESUPUESTO</t>
  </si>
  <si>
    <t xml:space="preserve">320 EMPRESA PARA EL DESARROLLO TERRITORIAL PROYECTA </t>
  </si>
  <si>
    <t>TOTAL PROGRAMADA
VIGENCIA 2022</t>
  </si>
  <si>
    <t>SEGUIMIENTO PLAN OPERATIVO ANUAL DE INVERSIÓN - POAI -  CON CORTE A SEPTIEMBRE 30 DE 2022</t>
  </si>
  <si>
    <t>Proyecta</t>
  </si>
  <si>
    <t>Privada</t>
  </si>
  <si>
    <t>313 SECRETARÍA PRIVADA</t>
  </si>
  <si>
    <t xml:space="preserve">313 SECRETARÍA PRIVADA </t>
  </si>
  <si>
    <t>Secretaría Privada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</si>
</sst>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quot;$&quot;\ * #,##0.00_);_(&quot;$&quot;\ * \(#,##0.00\);_(&quot;$&quot;\ * &quot;-&quot;??_);_(@_)"/>
    <numFmt numFmtId="167" formatCode="_(* #,##0.00_);_(* \(#,##0.00\);_(* &quot;-&quot;??_);_(@_)"/>
    <numFmt numFmtId="168" formatCode="_([$$-240A]\ * #,##0.00_);_([$$-240A]\ * \(#,##0.00\);_([$$-240A]\ * &quot;-&quot;??_);_(@_)"/>
    <numFmt numFmtId="169" formatCode="00"/>
    <numFmt numFmtId="170" formatCode="_(* #,##0_);_(* \(#,##0\);_(* &quot;-&quot;??_);_(@_)"/>
    <numFmt numFmtId="171" formatCode="_-* #,##0_-;\-* #,##0_-;_-* &quot;-&quot;??_-;_-@_-"/>
    <numFmt numFmtId="172" formatCode="_-&quot;$&quot;\ * #,##0.00_-;\-&quot;$&quot;\ * #,##0.00_-;_-&quot;$&quot;\ * &quot;-&quot;_-;_-@_-"/>
    <numFmt numFmtId="173" formatCode="_-* #,##0.00\ _€_-;\-* #,##0.00\ _€_-;_-* &quot;-&quot;??\ _€_-;_-@_-"/>
    <numFmt numFmtId="174" formatCode="_ [$€-2]\ * #,##0.00_ ;_ [$€-2]\ * \-#,##0.00_ ;_ [$€-2]\ * &quot;-&quot;??_ "/>
    <numFmt numFmtId="175" formatCode="#,##0."/>
    <numFmt numFmtId="176" formatCode="_ * #,##0.00_ ;_ * \-#,##0.00_ ;_ * &quot;-&quot;??_ ;_ @_ "/>
    <numFmt numFmtId="177" formatCode="_-[$$-409]* #,##0.00_ ;_-[$$-409]* \-#,##0.00\ ;_-[$$-409]* &quot;-&quot;??_ ;_-@_ "/>
    <numFmt numFmtId="178" formatCode="0.0%"/>
    <numFmt numFmtId="179" formatCode="0.000"/>
    <numFmt numFmtId="180" formatCode="0.0"/>
  </numFmts>
  <fonts count="65" x14ac:knownFonts="1">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b/>
      <sz val="11"/>
      <color theme="0"/>
      <name val="Calibri"/>
      <family val="2"/>
      <scheme val="minor"/>
    </font>
    <font>
      <sz val="11"/>
      <color rgb="FF00000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sz val="12"/>
      <color rgb="FF000000"/>
      <name val="Arial"/>
      <family val="2"/>
    </font>
    <font>
      <b/>
      <sz val="10"/>
      <color theme="1"/>
      <name val="Arial"/>
      <family val="2"/>
    </font>
    <font>
      <b/>
      <sz val="10"/>
      <color indexed="8"/>
      <name val="Arial"/>
      <family val="2"/>
    </font>
    <font>
      <sz val="11"/>
      <color theme="1"/>
      <name val="Arial"/>
      <family val="2"/>
    </font>
    <font>
      <sz val="14"/>
      <name val="Arial"/>
      <family val="2"/>
    </font>
    <font>
      <b/>
      <sz val="14"/>
      <name val="Arial"/>
      <family val="2"/>
    </font>
    <font>
      <b/>
      <sz val="12"/>
      <color theme="1"/>
      <name val="Arial"/>
      <family val="2"/>
    </font>
    <font>
      <sz val="11"/>
      <name val="Arial"/>
      <family val="2"/>
    </font>
    <font>
      <sz val="12"/>
      <color theme="0"/>
      <name val="Arial"/>
      <family val="2"/>
    </font>
    <font>
      <sz val="10"/>
      <color theme="0"/>
      <name val="Arial"/>
      <family val="2"/>
    </font>
    <font>
      <sz val="12"/>
      <name val="Arial"/>
      <family val="2"/>
    </font>
    <font>
      <sz val="10"/>
      <color rgb="FF000000"/>
      <name val="Arial"/>
      <family val="2"/>
    </font>
    <font>
      <b/>
      <sz val="10"/>
      <color theme="0"/>
      <name val="Arial"/>
      <family val="2"/>
    </font>
    <font>
      <b/>
      <sz val="9"/>
      <color theme="0"/>
      <name val="Arial"/>
      <family val="2"/>
    </font>
    <font>
      <b/>
      <sz val="12"/>
      <color theme="0"/>
      <name val="Arial"/>
      <family val="2"/>
    </font>
    <font>
      <b/>
      <sz val="11"/>
      <color rgb="FF000000"/>
      <name val="Arial"/>
      <family val="2"/>
    </font>
    <font>
      <sz val="10"/>
      <color theme="1"/>
      <name val="Calibri"/>
      <family val="2"/>
      <scheme val="minor"/>
    </font>
  </fonts>
  <fills count="7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ECECEC"/>
        <bgColor indexed="64"/>
      </patternFill>
    </fill>
    <fill>
      <patternFill patternType="solid">
        <fgColor rgb="FF522B57"/>
        <bgColor indexed="64"/>
      </patternFill>
    </fill>
    <fill>
      <patternFill patternType="solid">
        <fgColor theme="3" tint="0.59999389629810485"/>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D6DCE4"/>
        <bgColor indexed="64"/>
      </patternFill>
    </fill>
    <fill>
      <patternFill patternType="solid">
        <fgColor rgb="FFFFFFFF"/>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
      <patternFill patternType="solid">
        <fgColor rgb="FF0070C0"/>
        <bgColor indexed="64"/>
      </patternFill>
    </fill>
    <fill>
      <patternFill patternType="solid">
        <fgColor rgb="FFFFFFFF"/>
        <bgColor rgb="FFFFFFFF"/>
      </patternFill>
    </fill>
    <fill>
      <patternFill patternType="solid">
        <fgColor theme="0" tint="-4.9989318521683403E-2"/>
        <bgColor indexed="64"/>
      </patternFill>
    </fill>
  </fills>
  <borders count="9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bottom style="thin">
        <color rgb="FF000000"/>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indexed="64"/>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top/>
      <bottom style="thin">
        <color rgb="FF000000"/>
      </bottom>
      <diagonal/>
    </border>
    <border>
      <left style="thin">
        <color rgb="FF000000"/>
      </left>
      <right style="thin">
        <color indexed="64"/>
      </right>
      <top/>
      <bottom style="thin">
        <color rgb="FF000000"/>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s>
  <cellStyleXfs count="390">
    <xf numFmtId="168" fontId="0" fillId="0" borderId="0"/>
    <xf numFmtId="43" fontId="1" fillId="0" borderId="0" applyFont="0" applyFill="0" applyBorder="0" applyAlignment="0" applyProtection="0"/>
    <xf numFmtId="42" fontId="1" fillId="0" borderId="0" applyFont="0" applyFill="0" applyBorder="0" applyAlignment="0" applyProtection="0"/>
    <xf numFmtId="167" fontId="5" fillId="0" borderId="0" applyFont="0" applyFill="0" applyBorder="0" applyAlignment="0" applyProtection="0"/>
    <xf numFmtId="168" fontId="7" fillId="4" borderId="9">
      <alignment horizontal="center" vertical="center" wrapText="1"/>
    </xf>
    <xf numFmtId="0" fontId="1" fillId="0" borderId="0"/>
    <xf numFmtId="167" fontId="1" fillId="0" borderId="0" applyFont="0" applyFill="0" applyBorder="0" applyAlignment="0" applyProtection="0"/>
    <xf numFmtId="0" fontId="7" fillId="4" borderId="9">
      <alignment horizontal="center" vertical="center" wrapText="1"/>
    </xf>
    <xf numFmtId="168" fontId="8" fillId="0" borderId="0"/>
    <xf numFmtId="165"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0" fontId="9" fillId="5" borderId="13">
      <alignment horizontal="center" vertical="center" wrapText="1"/>
    </xf>
    <xf numFmtId="0" fontId="8" fillId="0" borderId="0"/>
    <xf numFmtId="0" fontId="10" fillId="0" borderId="0"/>
    <xf numFmtId="0" fontId="8" fillId="0" borderId="0"/>
    <xf numFmtId="0" fontId="1" fillId="0" borderId="0"/>
    <xf numFmtId="0" fontId="1" fillId="0" borderId="0"/>
    <xf numFmtId="0" fontId="11" fillId="0" borderId="23" applyNumberFormat="0" applyFill="0" applyAlignment="0" applyProtection="0"/>
    <xf numFmtId="0" fontId="12" fillId="0" borderId="24" applyNumberFormat="0" applyFill="0" applyAlignment="0" applyProtection="0"/>
    <xf numFmtId="0" fontId="13" fillId="0" borderId="25" applyNumberFormat="0" applyFill="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8" borderId="0" applyNumberFormat="0" applyBorder="0" applyAlignment="0" applyProtection="0"/>
    <xf numFmtId="0" fontId="16" fillId="9" borderId="26" applyNumberFormat="0" applyAlignment="0" applyProtection="0"/>
    <xf numFmtId="0" fontId="17" fillId="10" borderId="27" applyNumberFormat="0" applyAlignment="0" applyProtection="0"/>
    <xf numFmtId="0" fontId="18" fillId="10" borderId="26" applyNumberFormat="0" applyAlignment="0" applyProtection="0"/>
    <xf numFmtId="0" fontId="19" fillId="0" borderId="28" applyNumberFormat="0" applyFill="0" applyAlignment="0" applyProtection="0"/>
    <xf numFmtId="0" fontId="9" fillId="11" borderId="29" applyNumberFormat="0" applyAlignment="0" applyProtection="0"/>
    <xf numFmtId="0" fontId="20" fillId="0" borderId="0" applyNumberFormat="0" applyFill="0" applyBorder="0" applyAlignment="0" applyProtection="0"/>
    <xf numFmtId="0" fontId="1" fillId="12" borderId="30" applyNumberFormat="0" applyFont="0" applyAlignment="0" applyProtection="0"/>
    <xf numFmtId="0" fontId="21" fillId="0" borderId="0" applyNumberFormat="0" applyFill="0" applyBorder="0" applyAlignment="0" applyProtection="0"/>
    <xf numFmtId="0" fontId="22" fillId="0" borderId="31" applyNumberFormat="0" applyFill="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3" fillId="36" borderId="0" applyNumberFormat="0" applyBorder="0" applyAlignment="0" applyProtection="0"/>
    <xf numFmtId="0" fontId="1" fillId="0" borderId="0"/>
    <xf numFmtId="168" fontId="1" fillId="0" borderId="0"/>
    <xf numFmtId="174" fontId="1" fillId="22" borderId="0" applyNumberFormat="0" applyBorder="0" applyAlignment="0" applyProtection="0"/>
    <xf numFmtId="174" fontId="1" fillId="0" borderId="0"/>
    <xf numFmtId="168" fontId="1" fillId="0" borderId="0"/>
    <xf numFmtId="0" fontId="25" fillId="0" borderId="0" applyNumberFormat="0" applyFill="0" applyBorder="0" applyAlignment="0" applyProtection="0"/>
    <xf numFmtId="174" fontId="12" fillId="0" borderId="24" applyNumberFormat="0" applyFill="0" applyAlignment="0" applyProtection="0"/>
    <xf numFmtId="174" fontId="1" fillId="0" borderId="0"/>
    <xf numFmtId="174" fontId="1" fillId="35" borderId="0" applyNumberFormat="0" applyBorder="0" applyAlignment="0" applyProtection="0"/>
    <xf numFmtId="174" fontId="9" fillId="11" borderId="29" applyNumberFormat="0" applyAlignment="0" applyProtection="0"/>
    <xf numFmtId="174" fontId="18" fillId="10" borderId="26" applyNumberFormat="0" applyAlignment="0" applyProtection="0"/>
    <xf numFmtId="174" fontId="1" fillId="0" borderId="0"/>
    <xf numFmtId="168" fontId="1" fillId="0" borderId="0"/>
    <xf numFmtId="174" fontId="23" fillId="24" borderId="0" applyNumberFormat="0" applyBorder="0" applyAlignment="0" applyProtection="0"/>
    <xf numFmtId="174" fontId="1" fillId="0" borderId="0"/>
    <xf numFmtId="174" fontId="1" fillId="0" borderId="0"/>
    <xf numFmtId="174" fontId="1" fillId="0" borderId="0"/>
    <xf numFmtId="168" fontId="1" fillId="0" borderId="0"/>
    <xf numFmtId="174" fontId="15" fillId="8" borderId="0" applyNumberFormat="0" applyBorder="0" applyAlignment="0" applyProtection="0"/>
    <xf numFmtId="174" fontId="1" fillId="0" borderId="0"/>
    <xf numFmtId="168" fontId="1" fillId="0" borderId="0"/>
    <xf numFmtId="174" fontId="23" fillId="36" borderId="0" applyNumberFormat="0" applyBorder="0" applyAlignment="0" applyProtection="0"/>
    <xf numFmtId="168"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5"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26" fillId="0" borderId="0"/>
    <xf numFmtId="44" fontId="1" fillId="0" borderId="0" applyFont="0" applyFill="0" applyBorder="0" applyAlignment="0" applyProtection="0"/>
    <xf numFmtId="0" fontId="8" fillId="0" borderId="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42" fontId="8" fillId="0" borderId="0" applyFont="0" applyFill="0" applyBorder="0" applyAlignment="0" applyProtection="0"/>
    <xf numFmtId="174" fontId="1" fillId="0" borderId="0"/>
    <xf numFmtId="0" fontId="1" fillId="0" borderId="0"/>
    <xf numFmtId="0" fontId="1" fillId="0" borderId="0"/>
    <xf numFmtId="9"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8" fontId="8"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0" fontId="1" fillId="0" borderId="0"/>
    <xf numFmtId="43" fontId="5" fillId="0" borderId="0" applyFont="0" applyFill="0" applyBorder="0" applyAlignment="0" applyProtection="0"/>
    <xf numFmtId="0" fontId="26" fillId="0" borderId="0"/>
    <xf numFmtId="164" fontId="1" fillId="0" borderId="0" applyFont="0" applyFill="0" applyBorder="0" applyAlignment="0" applyProtection="0"/>
    <xf numFmtId="0" fontId="1" fillId="0" borderId="0"/>
    <xf numFmtId="168" fontId="1" fillId="0" borderId="0"/>
    <xf numFmtId="174" fontId="19" fillId="0" borderId="28" applyNumberFormat="0" applyFill="0" applyAlignment="0" applyProtection="0"/>
    <xf numFmtId="168" fontId="1" fillId="0" borderId="0"/>
    <xf numFmtId="174" fontId="23" fillId="21" borderId="0" applyNumberFormat="0" applyBorder="0" applyAlignment="0" applyProtection="0"/>
    <xf numFmtId="174" fontId="1" fillId="0" borderId="0"/>
    <xf numFmtId="168" fontId="1" fillId="0" borderId="0"/>
    <xf numFmtId="174" fontId="1" fillId="0" borderId="0"/>
    <xf numFmtId="174" fontId="1" fillId="0" borderId="0"/>
    <xf numFmtId="174" fontId="1" fillId="0" borderId="0"/>
    <xf numFmtId="174" fontId="1" fillId="0" borderId="0"/>
    <xf numFmtId="174" fontId="1" fillId="0" borderId="0"/>
    <xf numFmtId="174" fontId="16" fillId="9" borderId="26" applyNumberFormat="0" applyAlignment="0" applyProtection="0"/>
    <xf numFmtId="168" fontId="1" fillId="0" borderId="0"/>
    <xf numFmtId="174" fontId="1" fillId="0" borderId="0"/>
    <xf numFmtId="174" fontId="23" fillId="17" borderId="0" applyNumberFormat="0" applyBorder="0" applyAlignment="0" applyProtection="0"/>
    <xf numFmtId="174" fontId="1" fillId="0" borderId="0"/>
    <xf numFmtId="174" fontId="1" fillId="0" borderId="0"/>
    <xf numFmtId="174" fontId="1" fillId="0" borderId="0"/>
    <xf numFmtId="174" fontId="23" fillId="25" borderId="0" applyNumberFormat="0" applyBorder="0" applyAlignment="0" applyProtection="0"/>
    <xf numFmtId="174" fontId="1" fillId="0" borderId="0"/>
    <xf numFmtId="174" fontId="13" fillId="0" borderId="25" applyNumberFormat="0" applyFill="0" applyAlignment="0" applyProtection="0"/>
    <xf numFmtId="168" fontId="1" fillId="0" borderId="0"/>
    <xf numFmtId="174" fontId="24" fillId="0" borderId="0" applyNumberFormat="0" applyFill="0" applyBorder="0" applyAlignment="0" applyProtection="0"/>
    <xf numFmtId="174" fontId="1" fillId="0" borderId="0"/>
    <xf numFmtId="174" fontId="1" fillId="0" borderId="0"/>
    <xf numFmtId="168" fontId="1" fillId="0" borderId="0"/>
    <xf numFmtId="174" fontId="1" fillId="15" borderId="0" applyNumberFormat="0" applyBorder="0" applyAlignment="0" applyProtection="0"/>
    <xf numFmtId="174" fontId="26" fillId="0" borderId="0"/>
    <xf numFmtId="174" fontId="1" fillId="0" borderId="0"/>
    <xf numFmtId="168" fontId="1" fillId="0" borderId="0"/>
    <xf numFmtId="174" fontId="1" fillId="0" borderId="0"/>
    <xf numFmtId="174" fontId="13" fillId="0" borderId="0" applyNumberFormat="0" applyFill="0" applyBorder="0" applyAlignment="0" applyProtection="0"/>
    <xf numFmtId="174" fontId="1" fillId="0" borderId="0"/>
    <xf numFmtId="174" fontId="1" fillId="12" borderId="30" applyNumberFormat="0" applyFont="0" applyAlignment="0" applyProtection="0"/>
    <xf numFmtId="174" fontId="1" fillId="0" borderId="0"/>
    <xf numFmtId="174" fontId="17" fillId="10" borderId="27" applyNumberFormat="0" applyAlignment="0" applyProtection="0"/>
    <xf numFmtId="168" fontId="1" fillId="0" borderId="0"/>
    <xf numFmtId="168" fontId="1" fillId="0" borderId="0"/>
    <xf numFmtId="174" fontId="1" fillId="0" borderId="0"/>
    <xf numFmtId="174" fontId="1" fillId="0" borderId="0"/>
    <xf numFmtId="174" fontId="1" fillId="0" borderId="0"/>
    <xf numFmtId="168" fontId="1" fillId="0" borderId="0"/>
    <xf numFmtId="174" fontId="8" fillId="0" borderId="0"/>
    <xf numFmtId="174" fontId="23" fillId="16" borderId="0" applyNumberFormat="0" applyBorder="0" applyAlignment="0" applyProtection="0"/>
    <xf numFmtId="168" fontId="1" fillId="0" borderId="0"/>
    <xf numFmtId="174" fontId="1" fillId="34" borderId="0" applyNumberFormat="0" applyBorder="0" applyAlignment="0" applyProtection="0"/>
    <xf numFmtId="174" fontId="1" fillId="0" borderId="0"/>
    <xf numFmtId="174" fontId="1" fillId="0" borderId="0"/>
    <xf numFmtId="174" fontId="1" fillId="27" borderId="0" applyNumberFormat="0" applyBorder="0" applyAlignment="0" applyProtection="0"/>
    <xf numFmtId="168" fontId="1" fillId="0" borderId="0"/>
    <xf numFmtId="174" fontId="22" fillId="0" borderId="31" applyNumberFormat="0" applyFill="0" applyAlignment="0" applyProtection="0"/>
    <xf numFmtId="174" fontId="8" fillId="0" borderId="0"/>
    <xf numFmtId="174" fontId="1" fillId="0" borderId="0"/>
    <xf numFmtId="174" fontId="1" fillId="30" borderId="0" applyNumberFormat="0" applyBorder="0" applyAlignment="0" applyProtection="0"/>
    <xf numFmtId="174" fontId="23" fillId="13" borderId="0" applyNumberFormat="0" applyBorder="0" applyAlignment="0" applyProtection="0"/>
    <xf numFmtId="174" fontId="1" fillId="0" borderId="0"/>
    <xf numFmtId="168" fontId="1" fillId="0" borderId="0"/>
    <xf numFmtId="174" fontId="1" fillId="0" borderId="0"/>
    <xf numFmtId="168" fontId="1" fillId="0" borderId="0"/>
    <xf numFmtId="168" fontId="1" fillId="0" borderId="0"/>
    <xf numFmtId="174" fontId="8" fillId="0" borderId="0"/>
    <xf numFmtId="174" fontId="25" fillId="0" borderId="0" applyNumberFormat="0" applyFill="0" applyBorder="0" applyAlignment="0" applyProtection="0"/>
    <xf numFmtId="174" fontId="1" fillId="0" borderId="0"/>
    <xf numFmtId="174" fontId="1" fillId="14" borderId="0" applyNumberFormat="0" applyBorder="0" applyAlignment="0" applyProtection="0"/>
    <xf numFmtId="174" fontId="1" fillId="0" borderId="0"/>
    <xf numFmtId="174" fontId="23" fillId="32" borderId="0" applyNumberFormat="0" applyBorder="0" applyAlignment="0" applyProtection="0"/>
    <xf numFmtId="174" fontId="1" fillId="0" borderId="0"/>
    <xf numFmtId="174" fontId="23" fillId="28" borderId="0" applyNumberFormat="0" applyBorder="0" applyAlignment="0" applyProtection="0"/>
    <xf numFmtId="174" fontId="1" fillId="0" borderId="0"/>
    <xf numFmtId="174" fontId="1" fillId="0" borderId="0"/>
    <xf numFmtId="174" fontId="1" fillId="0" borderId="0"/>
    <xf numFmtId="174" fontId="1" fillId="0" borderId="0"/>
    <xf numFmtId="174" fontId="23" fillId="20" borderId="0" applyNumberFormat="0" applyBorder="0" applyAlignment="0" applyProtection="0"/>
    <xf numFmtId="174" fontId="1" fillId="0" borderId="0"/>
    <xf numFmtId="174" fontId="8" fillId="0" borderId="0"/>
    <xf numFmtId="174" fontId="1" fillId="0" borderId="0"/>
    <xf numFmtId="174" fontId="10" fillId="0" borderId="0"/>
    <xf numFmtId="174" fontId="1" fillId="0" borderId="0"/>
    <xf numFmtId="174" fontId="23" fillId="33" borderId="0" applyNumberFormat="0" applyBorder="0" applyAlignment="0" applyProtection="0"/>
    <xf numFmtId="174" fontId="20" fillId="0" borderId="0" applyNumberFormat="0" applyFill="0" applyBorder="0" applyAlignment="0" applyProtection="0"/>
    <xf numFmtId="174" fontId="1" fillId="31" borderId="0" applyNumberFormat="0" applyBorder="0" applyAlignment="0" applyProtection="0"/>
    <xf numFmtId="174" fontId="1" fillId="19" borderId="0" applyNumberFormat="0" applyBorder="0" applyAlignment="0" applyProtection="0"/>
    <xf numFmtId="174" fontId="21" fillId="0" borderId="0" applyNumberFormat="0" applyFill="0" applyBorder="0" applyAlignment="0" applyProtection="0"/>
    <xf numFmtId="174" fontId="1" fillId="18" borderId="0" applyNumberFormat="0" applyBorder="0" applyAlignment="0" applyProtection="0"/>
    <xf numFmtId="174" fontId="14" fillId="7" borderId="0" applyNumberFormat="0" applyBorder="0" applyAlignment="0" applyProtection="0"/>
    <xf numFmtId="168" fontId="1" fillId="0" borderId="0"/>
    <xf numFmtId="168" fontId="1" fillId="0" borderId="0"/>
    <xf numFmtId="174" fontId="1" fillId="26" borderId="0" applyNumberFormat="0" applyBorder="0" applyAlignment="0" applyProtection="0"/>
    <xf numFmtId="174" fontId="1" fillId="0" borderId="0"/>
    <xf numFmtId="174" fontId="1" fillId="0" borderId="0"/>
    <xf numFmtId="174" fontId="1" fillId="23" borderId="0" applyNumberFormat="0" applyBorder="0" applyAlignment="0" applyProtection="0"/>
    <xf numFmtId="174" fontId="7" fillId="4" borderId="9">
      <alignment horizontal="center" vertical="center" wrapText="1"/>
    </xf>
    <xf numFmtId="174" fontId="1" fillId="0" borderId="0"/>
    <xf numFmtId="174" fontId="7" fillId="4" borderId="9">
      <alignment horizontal="center" vertical="center" wrapText="1"/>
    </xf>
    <xf numFmtId="174" fontId="1" fillId="0" borderId="0"/>
    <xf numFmtId="174" fontId="23" fillId="29" borderId="0" applyNumberFormat="0" applyBorder="0" applyAlignment="0" applyProtection="0"/>
    <xf numFmtId="168" fontId="1" fillId="0" borderId="0"/>
    <xf numFmtId="174" fontId="1" fillId="0" borderId="0"/>
    <xf numFmtId="174" fontId="1" fillId="0" borderId="0"/>
    <xf numFmtId="174" fontId="11" fillId="0" borderId="23" applyNumberFormat="0" applyFill="0" applyAlignment="0" applyProtection="0"/>
    <xf numFmtId="174" fontId="26" fillId="0" borderId="0"/>
    <xf numFmtId="174" fontId="1" fillId="0" borderId="0"/>
    <xf numFmtId="174" fontId="1" fillId="0" borderId="0"/>
    <xf numFmtId="174" fontId="1" fillId="0" borderId="0"/>
    <xf numFmtId="168" fontId="1" fillId="0" borderId="0"/>
    <xf numFmtId="174" fontId="1" fillId="0" borderId="0"/>
    <xf numFmtId="174" fontId="1" fillId="0" borderId="0"/>
    <xf numFmtId="0" fontId="8" fillId="0" borderId="0"/>
    <xf numFmtId="174" fontId="1" fillId="0" borderId="0"/>
    <xf numFmtId="174" fontId="1" fillId="0" borderId="0"/>
    <xf numFmtId="174" fontId="1" fillId="0" borderId="0"/>
    <xf numFmtId="168" fontId="1" fillId="0" borderId="0"/>
    <xf numFmtId="0" fontId="1" fillId="0" borderId="0"/>
    <xf numFmtId="0" fontId="8" fillId="0" borderId="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27" fillId="47" borderId="0" applyNumberFormat="0" applyBorder="0" applyAlignment="0" applyProtection="0"/>
    <xf numFmtId="0" fontId="27" fillId="44" borderId="0" applyNumberFormat="0" applyBorder="0" applyAlignment="0" applyProtection="0"/>
    <xf numFmtId="0" fontId="27" fillId="45"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8" fillId="39" borderId="0" applyNumberFormat="0" applyBorder="0" applyAlignment="0" applyProtection="0"/>
    <xf numFmtId="0" fontId="29" fillId="51" borderId="32" applyNumberFormat="0" applyAlignment="0" applyProtection="0"/>
    <xf numFmtId="0" fontId="30" fillId="52" borderId="33" applyNumberFormat="0" applyAlignment="0" applyProtection="0"/>
    <xf numFmtId="0" fontId="31" fillId="0" borderId="34" applyNumberFormat="0" applyFill="0" applyAlignment="0" applyProtection="0"/>
    <xf numFmtId="0" fontId="32" fillId="0" borderId="0" applyNumberFormat="0" applyFill="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55"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7" fillId="56" borderId="0" applyNumberFormat="0" applyBorder="0" applyAlignment="0" applyProtection="0"/>
    <xf numFmtId="0" fontId="33" fillId="42" borderId="32" applyNumberFormat="0" applyAlignment="0" applyProtection="0"/>
    <xf numFmtId="174" fontId="8" fillId="0" borderId="0" applyFont="0" applyFill="0" applyBorder="0" applyAlignment="0" applyProtection="0"/>
    <xf numFmtId="174" fontId="8" fillId="0" borderId="0" applyFont="0" applyFill="0" applyBorder="0" applyAlignment="0" applyProtection="0"/>
    <xf numFmtId="175" fontId="34" fillId="0" borderId="0">
      <protection locked="0"/>
    </xf>
    <xf numFmtId="175" fontId="34" fillId="0" borderId="0">
      <protection locked="0"/>
    </xf>
    <xf numFmtId="175" fontId="34" fillId="0" borderId="0">
      <protection locked="0"/>
    </xf>
    <xf numFmtId="175" fontId="35" fillId="0" borderId="0">
      <protection locked="0"/>
    </xf>
    <xf numFmtId="175" fontId="36" fillId="0" borderId="0">
      <protection locked="0"/>
    </xf>
    <xf numFmtId="175" fontId="35" fillId="0" borderId="0">
      <protection locked="0"/>
    </xf>
    <xf numFmtId="175" fontId="36" fillId="0" borderId="0">
      <protection locked="0"/>
    </xf>
    <xf numFmtId="0" fontId="37" fillId="38" borderId="0" applyNumberFormat="0" applyBorder="0" applyAlignment="0" applyProtection="0"/>
    <xf numFmtId="176" fontId="8" fillId="0" borderId="0" applyFont="0" applyFill="0" applyBorder="0" applyAlignment="0" applyProtection="0"/>
    <xf numFmtId="0" fontId="38" fillId="57" borderId="0" applyNumberFormat="0" applyBorder="0" applyAlignment="0" applyProtection="0"/>
    <xf numFmtId="0" fontId="8" fillId="0" borderId="0"/>
    <xf numFmtId="174" fontId="5" fillId="0" borderId="0"/>
    <xf numFmtId="0" fontId="8" fillId="0" borderId="0"/>
    <xf numFmtId="174" fontId="5" fillId="0" borderId="0"/>
    <xf numFmtId="0" fontId="8" fillId="0" borderId="0"/>
    <xf numFmtId="174" fontId="5" fillId="0" borderId="0"/>
    <xf numFmtId="0" fontId="8" fillId="0" borderId="0"/>
    <xf numFmtId="0" fontId="8" fillId="0" borderId="0"/>
    <xf numFmtId="174" fontId="5" fillId="0" borderId="0"/>
    <xf numFmtId="174" fontId="5" fillId="0" borderId="0"/>
    <xf numFmtId="0" fontId="8" fillId="0" borderId="0"/>
    <xf numFmtId="0" fontId="8" fillId="0" borderId="0"/>
    <xf numFmtId="0" fontId="8" fillId="0" borderId="0"/>
    <xf numFmtId="174" fontId="5" fillId="0" borderId="0"/>
    <xf numFmtId="174" fontId="5" fillId="0" borderId="0"/>
    <xf numFmtId="174" fontId="5" fillId="0" borderId="0"/>
    <xf numFmtId="0" fontId="8" fillId="0" borderId="0"/>
    <xf numFmtId="0" fontId="1" fillId="0" borderId="0"/>
    <xf numFmtId="174" fontId="5" fillId="0" borderId="0"/>
    <xf numFmtId="174" fontId="5" fillId="0" borderId="0"/>
    <xf numFmtId="0" fontId="8" fillId="0" borderId="0"/>
    <xf numFmtId="0" fontId="8" fillId="0" borderId="0"/>
    <xf numFmtId="0" fontId="8" fillId="0" borderId="0"/>
    <xf numFmtId="0" fontId="46" fillId="0" borderId="0"/>
    <xf numFmtId="0" fontId="8" fillId="0" borderId="0"/>
    <xf numFmtId="0" fontId="8" fillId="0" borderId="0"/>
    <xf numFmtId="0" fontId="8" fillId="58" borderId="36" applyNumberFormat="0" applyFont="0" applyAlignment="0" applyProtection="0"/>
    <xf numFmtId="0" fontId="8" fillId="58" borderId="36" applyNumberFormat="0" applyFont="0" applyAlignment="0" applyProtection="0"/>
    <xf numFmtId="0" fontId="39" fillId="51" borderId="37" applyNumberFormat="0" applyAlignment="0" applyProtection="0"/>
    <xf numFmtId="0" fontId="47" fillId="59" borderId="0"/>
    <xf numFmtId="0" fontId="40" fillId="0" borderId="0" applyNumberFormat="0" applyFill="0" applyBorder="0" applyAlignment="0" applyProtection="0"/>
    <xf numFmtId="0" fontId="41" fillId="0" borderId="0" applyNumberFormat="0" applyFill="0" applyBorder="0" applyAlignment="0" applyProtection="0"/>
    <xf numFmtId="0" fontId="42" fillId="0" borderId="35" applyNumberFormat="0" applyFill="0" applyAlignment="0" applyProtection="0"/>
    <xf numFmtId="0" fontId="43" fillId="0" borderId="38" applyNumberFormat="0" applyFill="0" applyAlignment="0" applyProtection="0"/>
    <xf numFmtId="0" fontId="32" fillId="0" borderId="39" applyNumberFormat="0" applyFill="0" applyAlignment="0" applyProtection="0"/>
    <xf numFmtId="0" fontId="44" fillId="0" borderId="0" applyNumberFormat="0" applyFill="0" applyBorder="0" applyAlignment="0" applyProtection="0"/>
    <xf numFmtId="0" fontId="45" fillId="0" borderId="40" applyNumberFormat="0" applyFill="0" applyAlignment="0" applyProtection="0"/>
    <xf numFmtId="0" fontId="8" fillId="0" borderId="0"/>
    <xf numFmtId="166"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174" fontId="1" fillId="0" borderId="0"/>
  </cellStyleXfs>
  <cellXfs count="648">
    <xf numFmtId="168" fontId="0" fillId="0" borderId="0" xfId="0"/>
    <xf numFmtId="168" fontId="2" fillId="0" borderId="0" xfId="0" applyFont="1"/>
    <xf numFmtId="168" fontId="2" fillId="2" borderId="0" xfId="0" applyFont="1" applyFill="1"/>
    <xf numFmtId="168" fontId="4" fillId="0" borderId="0" xfId="0" applyFont="1" applyAlignment="1">
      <alignment horizontal="center" vertical="center"/>
    </xf>
    <xf numFmtId="168" fontId="3" fillId="0" borderId="0" xfId="0" applyFont="1" applyAlignment="1">
      <alignment vertical="center"/>
    </xf>
    <xf numFmtId="0" fontId="3" fillId="0" borderId="5" xfId="0" applyNumberFormat="1" applyFont="1" applyBorder="1" applyAlignment="1">
      <alignment horizontal="center" vertical="center" wrapText="1"/>
    </xf>
    <xf numFmtId="0" fontId="2" fillId="0" borderId="0" xfId="0" applyNumberFormat="1" applyFont="1" applyAlignment="1">
      <alignment horizontal="left" vertical="center"/>
    </xf>
    <xf numFmtId="0" fontId="2" fillId="0" borderId="0" xfId="0" applyNumberFormat="1" applyFont="1" applyAlignment="1">
      <alignment horizontal="center" vertical="center"/>
    </xf>
    <xf numFmtId="168" fontId="2" fillId="0" borderId="0" xfId="0" applyFont="1" applyAlignment="1">
      <alignment horizontal="center"/>
    </xf>
    <xf numFmtId="0" fontId="2" fillId="0" borderId="0" xfId="0" applyNumberFormat="1" applyFont="1" applyAlignment="1">
      <alignment horizontal="justify" vertical="center" wrapText="1"/>
    </xf>
    <xf numFmtId="0" fontId="2" fillId="0" borderId="0" xfId="0" applyNumberFormat="1" applyFont="1" applyAlignment="1">
      <alignment horizontal="center" vertical="center" wrapText="1"/>
    </xf>
    <xf numFmtId="168" fontId="2" fillId="0" borderId="0" xfId="0" applyFont="1" applyAlignment="1">
      <alignment horizontal="justify" vertical="center" wrapText="1"/>
    </xf>
    <xf numFmtId="171" fontId="2" fillId="0" borderId="0" xfId="6" applyNumberFormat="1" applyFont="1" applyAlignment="1">
      <alignment horizontal="center"/>
    </xf>
    <xf numFmtId="168" fontId="3" fillId="0" borderId="0" xfId="0" applyFont="1"/>
    <xf numFmtId="168" fontId="3" fillId="0" borderId="4" xfId="0" applyFont="1" applyBorder="1" applyAlignment="1">
      <alignment horizontal="center" vertical="center" wrapText="1"/>
    </xf>
    <xf numFmtId="168" fontId="3" fillId="0" borderId="5" xfId="0" applyFont="1" applyBorder="1" applyAlignment="1">
      <alignment horizontal="center" vertical="center" wrapText="1"/>
    </xf>
    <xf numFmtId="168" fontId="2" fillId="0" borderId="0" xfId="0" applyFont="1" applyFill="1"/>
    <xf numFmtId="168" fontId="3" fillId="0" borderId="0" xfId="0" applyFont="1" applyFill="1" applyAlignment="1">
      <alignment vertical="center"/>
    </xf>
    <xf numFmtId="168" fontId="3" fillId="0" borderId="5" xfId="0" applyFont="1" applyBorder="1" applyAlignment="1">
      <alignment horizontal="justify" vertical="center" wrapText="1"/>
    </xf>
    <xf numFmtId="0" fontId="3" fillId="0" borderId="5" xfId="0" applyNumberFormat="1" applyFont="1" applyBorder="1" applyAlignment="1">
      <alignment horizontal="justify" vertical="center" wrapText="1"/>
    </xf>
    <xf numFmtId="168" fontId="2" fillId="2" borderId="0" xfId="0" applyFont="1" applyFill="1" applyAlignment="1">
      <alignment horizontal="center"/>
    </xf>
    <xf numFmtId="0" fontId="3" fillId="6" borderId="12" xfId="0" applyNumberFormat="1" applyFont="1" applyFill="1" applyBorder="1" applyAlignment="1">
      <alignment horizontal="left" vertical="center"/>
    </xf>
    <xf numFmtId="0" fontId="2" fillId="0" borderId="12" xfId="0" applyNumberFormat="1" applyFont="1" applyFill="1" applyBorder="1" applyAlignment="1">
      <alignment horizontal="center" vertical="center" wrapText="1"/>
    </xf>
    <xf numFmtId="0" fontId="2" fillId="0" borderId="12" xfId="5" applyFont="1" applyFill="1" applyBorder="1" applyAlignment="1">
      <alignment horizontal="justify" vertical="center" wrapText="1"/>
    </xf>
    <xf numFmtId="0" fontId="3" fillId="0" borderId="12"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xf>
    <xf numFmtId="168" fontId="2" fillId="0" borderId="0" xfId="0" applyFont="1" applyFill="1" applyAlignment="1">
      <alignment horizontal="left" vertical="center" wrapText="1"/>
    </xf>
    <xf numFmtId="0" fontId="2" fillId="0" borderId="0" xfId="0" applyNumberFormat="1" applyFont="1" applyFill="1" applyBorder="1" applyAlignment="1">
      <alignment horizontal="center" vertical="center" wrapText="1"/>
    </xf>
    <xf numFmtId="0" fontId="2" fillId="0" borderId="2" xfId="4" applyNumberFormat="1" applyFont="1" applyFill="1" applyBorder="1" applyAlignment="1">
      <alignment horizontal="justify" vertical="center" wrapText="1"/>
    </xf>
    <xf numFmtId="0" fontId="2" fillId="0" borderId="2" xfId="0" applyNumberFormat="1" applyFont="1" applyFill="1" applyBorder="1" applyAlignment="1">
      <alignment horizontal="center" vertical="center" wrapText="1"/>
    </xf>
    <xf numFmtId="168" fontId="2" fillId="0" borderId="2" xfId="0" applyFont="1" applyFill="1" applyBorder="1" applyAlignment="1">
      <alignment horizontal="justify" vertical="center" wrapText="1"/>
    </xf>
    <xf numFmtId="168" fontId="2" fillId="0" borderId="0" xfId="0" applyFont="1" applyFill="1" applyAlignment="1">
      <alignment horizontal="center" vertical="center"/>
    </xf>
    <xf numFmtId="168" fontId="2" fillId="0" borderId="0" xfId="0" applyFont="1" applyBorder="1"/>
    <xf numFmtId="168" fontId="3" fillId="0" borderId="0" xfId="0" applyFont="1" applyBorder="1" applyAlignment="1">
      <alignment horizontal="center" vertical="center" wrapText="1"/>
    </xf>
    <xf numFmtId="168" fontId="2" fillId="0" borderId="0" xfId="0" applyFont="1" applyFill="1" applyAlignment="1">
      <alignment vertical="center"/>
    </xf>
    <xf numFmtId="0" fontId="3" fillId="0" borderId="0" xfId="0" applyNumberFormat="1" applyFont="1" applyBorder="1" applyAlignment="1">
      <alignment horizontal="justify" vertical="center" wrapText="1"/>
    </xf>
    <xf numFmtId="0" fontId="3" fillId="0" borderId="0" xfId="0" applyNumberFormat="1" applyFont="1" applyBorder="1" applyAlignment="1">
      <alignment horizontal="center" vertical="center" wrapText="1"/>
    </xf>
    <xf numFmtId="168" fontId="3" fillId="0" borderId="0" xfId="0" applyFont="1" applyBorder="1" applyAlignment="1">
      <alignment horizontal="justify" vertical="center" wrapText="1"/>
    </xf>
    <xf numFmtId="168" fontId="2" fillId="0" borderId="15" xfId="0" applyFont="1" applyFill="1" applyBorder="1" applyAlignment="1">
      <alignment horizontal="justify" vertical="center" wrapText="1"/>
    </xf>
    <xf numFmtId="1" fontId="6" fillId="0" borderId="2" xfId="1" applyNumberFormat="1" applyFont="1" applyFill="1" applyBorder="1" applyAlignment="1">
      <alignment horizontal="center" vertical="center" wrapText="1"/>
    </xf>
    <xf numFmtId="43" fontId="2" fillId="0" borderId="2" xfId="1" applyFont="1" applyFill="1" applyBorder="1"/>
    <xf numFmtId="43" fontId="2" fillId="0" borderId="2" xfId="1" applyFont="1" applyFill="1" applyBorder="1" applyAlignment="1">
      <alignment horizontal="center" vertical="center" wrapText="1"/>
    </xf>
    <xf numFmtId="43" fontId="2" fillId="0" borderId="2" xfId="1" applyFont="1" applyFill="1" applyBorder="1" applyAlignment="1">
      <alignment horizontal="right" vertical="center" wrapText="1"/>
    </xf>
    <xf numFmtId="43" fontId="2" fillId="0" borderId="2" xfId="1" applyFont="1" applyFill="1" applyBorder="1" applyAlignment="1">
      <alignment vertical="center" wrapText="1"/>
    </xf>
    <xf numFmtId="43" fontId="2" fillId="0" borderId="2" xfId="1" applyFont="1" applyFill="1" applyBorder="1" applyAlignment="1">
      <alignment horizontal="justify" vertical="center"/>
    </xf>
    <xf numFmtId="1" fontId="3" fillId="0" borderId="0" xfId="1" applyNumberFormat="1" applyFont="1" applyFill="1" applyBorder="1" applyAlignment="1">
      <alignment horizontal="center" vertical="center" wrapText="1"/>
    </xf>
    <xf numFmtId="43" fontId="2" fillId="0" borderId="12" xfId="1" applyFont="1" applyFill="1" applyBorder="1" applyAlignment="1">
      <alignment vertical="center"/>
    </xf>
    <xf numFmtId="0" fontId="2" fillId="0" borderId="15" xfId="0" applyNumberFormat="1" applyFont="1" applyFill="1" applyBorder="1" applyAlignment="1">
      <alignment horizontal="center" vertical="center" wrapText="1"/>
    </xf>
    <xf numFmtId="49" fontId="2" fillId="0" borderId="2" xfId="7" applyNumberFormat="1" applyFont="1" applyFill="1" applyBorder="1" applyAlignment="1">
      <alignment horizontal="justify" vertical="center" wrapText="1"/>
    </xf>
    <xf numFmtId="1" fontId="2" fillId="0" borderId="0" xfId="1" applyNumberFormat="1" applyFont="1" applyFill="1" applyAlignment="1">
      <alignment horizontal="center" vertical="center"/>
    </xf>
    <xf numFmtId="168" fontId="2" fillId="0" borderId="12" xfId="0" applyFont="1" applyFill="1" applyBorder="1" applyAlignment="1">
      <alignment horizontal="justify" vertical="center" wrapText="1"/>
    </xf>
    <xf numFmtId="0" fontId="2" fillId="0" borderId="12" xfId="0" applyNumberFormat="1" applyFont="1" applyFill="1" applyBorder="1" applyAlignment="1">
      <alignment horizontal="justify" vertical="center" wrapText="1"/>
    </xf>
    <xf numFmtId="0" fontId="2" fillId="0" borderId="12" xfId="0" applyNumberFormat="1" applyFont="1" applyBorder="1" applyAlignment="1">
      <alignment horizontal="center" vertical="center" wrapText="1"/>
    </xf>
    <xf numFmtId="0" fontId="3" fillId="0" borderId="41" xfId="0" applyNumberFormat="1" applyFont="1" applyFill="1" applyBorder="1" applyAlignment="1">
      <alignment horizontal="center" vertical="center" wrapText="1"/>
    </xf>
    <xf numFmtId="43" fontId="3" fillId="6" borderId="12" xfId="1" applyFont="1" applyFill="1" applyBorder="1" applyAlignment="1">
      <alignment vertical="center"/>
    </xf>
    <xf numFmtId="0" fontId="2" fillId="0" borderId="3" xfId="0" applyNumberFormat="1" applyFont="1" applyBorder="1" applyAlignment="1">
      <alignment horizontal="center" vertical="center" wrapText="1"/>
    </xf>
    <xf numFmtId="0" fontId="2" fillId="0" borderId="41" xfId="0" applyNumberFormat="1" applyFont="1" applyBorder="1" applyAlignment="1">
      <alignment horizontal="center" vertical="center" wrapText="1"/>
    </xf>
    <xf numFmtId="0" fontId="2" fillId="0" borderId="15" xfId="0" applyNumberFormat="1" applyFont="1" applyFill="1" applyBorder="1" applyAlignment="1">
      <alignment horizontal="center" vertical="center"/>
    </xf>
    <xf numFmtId="43" fontId="2" fillId="0" borderId="12" xfId="1" applyFont="1" applyFill="1" applyBorder="1" applyAlignment="1">
      <alignment horizontal="left" vertical="center"/>
    </xf>
    <xf numFmtId="0" fontId="2" fillId="0" borderId="4"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0" fontId="2" fillId="0" borderId="21" xfId="0" applyNumberFormat="1" applyFont="1" applyFill="1" applyBorder="1" applyAlignment="1">
      <alignment horizontal="center" vertical="center"/>
    </xf>
    <xf numFmtId="168" fontId="2" fillId="0" borderId="22" xfId="0" applyFont="1" applyFill="1" applyBorder="1" applyAlignment="1">
      <alignment horizontal="justify" vertical="center" wrapText="1"/>
    </xf>
    <xf numFmtId="43" fontId="2" fillId="0" borderId="22" xfId="1" applyFont="1" applyFill="1" applyBorder="1" applyAlignment="1">
      <alignment vertical="center"/>
    </xf>
    <xf numFmtId="168" fontId="2" fillId="0" borderId="0" xfId="0" applyFont="1" applyBorder="1" applyAlignment="1">
      <alignment horizontal="justify" vertical="center" wrapText="1"/>
    </xf>
    <xf numFmtId="168" fontId="2" fillId="2" borderId="0" xfId="0" applyFont="1" applyFill="1" applyBorder="1"/>
    <xf numFmtId="0" fontId="2" fillId="0" borderId="42" xfId="0" applyNumberFormat="1" applyFont="1" applyFill="1" applyBorder="1" applyAlignment="1">
      <alignment horizontal="center" vertical="center" wrapText="1"/>
    </xf>
    <xf numFmtId="0" fontId="2" fillId="0" borderId="44"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0" xfId="0" applyNumberFormat="1" applyFont="1" applyBorder="1" applyAlignment="1">
      <alignment horizontal="center" vertical="center"/>
    </xf>
    <xf numFmtId="168" fontId="2" fillId="0" borderId="0" xfId="0" applyFont="1" applyBorder="1" applyAlignment="1">
      <alignment horizontal="center"/>
    </xf>
    <xf numFmtId="0" fontId="2" fillId="0" borderId="15" xfId="0" applyNumberFormat="1" applyFont="1" applyBorder="1" applyAlignment="1">
      <alignment horizontal="center" vertical="center" wrapText="1"/>
    </xf>
    <xf numFmtId="43" fontId="2" fillId="0" borderId="0" xfId="1" applyFont="1" applyBorder="1" applyAlignment="1">
      <alignment horizontal="center"/>
    </xf>
    <xf numFmtId="168" fontId="6" fillId="0" borderId="0" xfId="0" applyFont="1"/>
    <xf numFmtId="0" fontId="2" fillId="0" borderId="42" xfId="0" applyNumberFormat="1" applyFont="1" applyBorder="1" applyAlignment="1">
      <alignment horizontal="center" vertical="center" wrapText="1"/>
    </xf>
    <xf numFmtId="0" fontId="3" fillId="0" borderId="42" xfId="0" applyNumberFormat="1" applyFont="1" applyFill="1" applyBorder="1" applyAlignment="1">
      <alignment horizontal="center" vertical="center" wrapText="1"/>
    </xf>
    <xf numFmtId="0" fontId="3" fillId="6" borderId="15" xfId="0" applyNumberFormat="1" applyFont="1" applyFill="1" applyBorder="1" applyAlignment="1">
      <alignment vertical="center"/>
    </xf>
    <xf numFmtId="0" fontId="2" fillId="0" borderId="0" xfId="0" applyNumberFormat="1" applyFont="1" applyBorder="1" applyAlignment="1">
      <alignment horizontal="center" vertical="center" wrapText="1"/>
    </xf>
    <xf numFmtId="0" fontId="3" fillId="0" borderId="43" xfId="0" applyNumberFormat="1" applyFont="1" applyFill="1" applyBorder="1" applyAlignment="1">
      <alignment horizontal="center" vertical="center" wrapText="1"/>
    </xf>
    <xf numFmtId="0" fontId="2" fillId="0" borderId="43" xfId="0" applyNumberFormat="1" applyFont="1" applyBorder="1" applyAlignment="1">
      <alignment horizontal="center" vertical="center" wrapText="1"/>
    </xf>
    <xf numFmtId="0" fontId="2" fillId="0" borderId="43"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4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44" xfId="0" applyNumberFormat="1" applyFont="1" applyBorder="1" applyAlignment="1">
      <alignment horizontal="center" vertical="center" wrapText="1"/>
    </xf>
    <xf numFmtId="168" fontId="6" fillId="0" borderId="0" xfId="0" applyFont="1" applyFill="1"/>
    <xf numFmtId="0" fontId="2" fillId="2" borderId="8" xfId="0" applyNumberFormat="1" applyFont="1" applyFill="1" applyBorder="1" applyAlignment="1">
      <alignment horizontal="center" vertical="center" wrapText="1"/>
    </xf>
    <xf numFmtId="43" fontId="2" fillId="0" borderId="2" xfId="1" applyFont="1" applyFill="1" applyBorder="1" applyAlignment="1">
      <alignment horizontal="left" vertical="center"/>
    </xf>
    <xf numFmtId="0" fontId="2" fillId="0" borderId="2" xfId="0" applyNumberFormat="1" applyFont="1" applyFill="1" applyBorder="1" applyAlignment="1">
      <alignment horizontal="center" vertical="center"/>
    </xf>
    <xf numFmtId="168" fontId="2" fillId="0" borderId="12" xfId="0" applyFont="1" applyFill="1" applyBorder="1" applyAlignment="1">
      <alignment horizontal="justify" vertical="center"/>
    </xf>
    <xf numFmtId="0" fontId="3" fillId="6" borderId="47" xfId="0" applyNumberFormat="1" applyFont="1" applyFill="1" applyBorder="1" applyAlignment="1">
      <alignment horizontal="center" vertical="center" wrapText="1"/>
    </xf>
    <xf numFmtId="0" fontId="2" fillId="0" borderId="42"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42" xfId="0" applyNumberFormat="1" applyFont="1" applyBorder="1" applyAlignment="1">
      <alignment horizontal="center" vertical="center"/>
    </xf>
    <xf numFmtId="0" fontId="2" fillId="0" borderId="15" xfId="0" applyNumberFormat="1" applyFont="1" applyBorder="1" applyAlignment="1">
      <alignment horizontal="center" vertical="center"/>
    </xf>
    <xf numFmtId="43" fontId="2" fillId="0" borderId="12" xfId="1" applyFont="1" applyBorder="1" applyAlignment="1">
      <alignment horizontal="left" vertical="center"/>
    </xf>
    <xf numFmtId="0" fontId="2" fillId="0" borderId="11" xfId="0" applyNumberFormat="1" applyFont="1" applyBorder="1" applyAlignment="1">
      <alignment horizontal="center" vertical="center"/>
    </xf>
    <xf numFmtId="0" fontId="2" fillId="0" borderId="12" xfId="0" applyNumberFormat="1" applyFont="1" applyFill="1" applyBorder="1" applyAlignment="1">
      <alignment horizontal="justify" vertical="center"/>
    </xf>
    <xf numFmtId="43" fontId="2" fillId="0" borderId="0" xfId="1" applyFont="1" applyAlignment="1">
      <alignment horizontal="center"/>
    </xf>
    <xf numFmtId="168" fontId="3" fillId="0" borderId="0" xfId="0" applyFont="1" applyFill="1"/>
    <xf numFmtId="0" fontId="3" fillId="0" borderId="0" xfId="0" applyNumberFormat="1" applyFont="1" applyFill="1" applyAlignment="1">
      <alignment horizontal="center" vertical="center"/>
    </xf>
    <xf numFmtId="168" fontId="3" fillId="0" borderId="0" xfId="0" applyFont="1" applyFill="1" applyAlignment="1">
      <alignment horizontal="center"/>
    </xf>
    <xf numFmtId="43" fontId="3" fillId="0" borderId="0" xfId="1" applyFont="1" applyFill="1" applyAlignment="1">
      <alignment horizontal="center"/>
    </xf>
    <xf numFmtId="0" fontId="2" fillId="0" borderId="2" xfId="0" applyNumberFormat="1" applyFont="1" applyFill="1" applyBorder="1" applyAlignment="1">
      <alignment horizontal="left" vertical="center" wrapText="1"/>
    </xf>
    <xf numFmtId="0" fontId="2" fillId="0" borderId="2" xfId="6" applyNumberFormat="1" applyFont="1" applyFill="1" applyBorder="1" applyAlignment="1">
      <alignment horizontal="center" vertical="center" wrapText="1"/>
    </xf>
    <xf numFmtId="0" fontId="2" fillId="0" borderId="2" xfId="1" applyNumberFormat="1" applyFont="1" applyFill="1" applyBorder="1" applyAlignment="1">
      <alignment horizontal="center" vertical="center" wrapText="1"/>
    </xf>
    <xf numFmtId="43" fontId="2" fillId="0" borderId="2" xfId="1" applyFont="1" applyFill="1" applyBorder="1" applyAlignment="1">
      <alignment vertical="center"/>
    </xf>
    <xf numFmtId="0" fontId="2" fillId="0" borderId="2" xfId="10" applyNumberFormat="1" applyFont="1" applyFill="1" applyBorder="1" applyAlignment="1">
      <alignment horizontal="center" vertical="center" wrapText="1"/>
    </xf>
    <xf numFmtId="0" fontId="3" fillId="61" borderId="19" xfId="0" applyNumberFormat="1" applyFont="1" applyFill="1" applyBorder="1" applyAlignment="1">
      <alignment horizontal="center" vertical="center" wrapText="1"/>
    </xf>
    <xf numFmtId="0" fontId="3" fillId="61" borderId="12" xfId="0" applyNumberFormat="1" applyFont="1" applyFill="1" applyBorder="1" applyAlignment="1">
      <alignment horizontal="left" vertical="center"/>
    </xf>
    <xf numFmtId="0" fontId="3" fillId="61" borderId="12" xfId="0" applyNumberFormat="1" applyFont="1" applyFill="1" applyBorder="1" applyAlignment="1">
      <alignment vertical="center"/>
    </xf>
    <xf numFmtId="43" fontId="3" fillId="61" borderId="12" xfId="1" applyFont="1" applyFill="1" applyBorder="1" applyAlignment="1">
      <alignment vertical="center"/>
    </xf>
    <xf numFmtId="0" fontId="2" fillId="0" borderId="20" xfId="0" applyNumberFormat="1" applyFont="1" applyBorder="1" applyAlignment="1">
      <alignment horizontal="center" vertical="center"/>
    </xf>
    <xf numFmtId="0" fontId="2" fillId="0" borderId="17" xfId="0" applyNumberFormat="1" applyFont="1" applyFill="1" applyBorder="1" applyAlignment="1">
      <alignment horizontal="center" vertical="center" wrapText="1"/>
    </xf>
    <xf numFmtId="168" fontId="2" fillId="0" borderId="17" xfId="0" applyFont="1" applyFill="1" applyBorder="1" applyAlignment="1">
      <alignment horizontal="justify" vertical="center" wrapText="1"/>
    </xf>
    <xf numFmtId="43" fontId="2" fillId="0" borderId="20" xfId="1" applyFont="1" applyBorder="1" applyAlignment="1">
      <alignment horizontal="center"/>
    </xf>
    <xf numFmtId="168" fontId="2" fillId="0" borderId="0" xfId="0" applyFont="1"/>
    <xf numFmtId="168" fontId="3" fillId="61" borderId="18" xfId="0" applyFont="1" applyFill="1" applyBorder="1" applyAlignment="1">
      <alignment horizontal="center" vertical="center"/>
    </xf>
    <xf numFmtId="0" fontId="3" fillId="61" borderId="12" xfId="0" applyNumberFormat="1" applyFont="1" applyFill="1" applyBorder="1" applyAlignment="1">
      <alignment horizontal="center" vertical="center"/>
    </xf>
    <xf numFmtId="168" fontId="3" fillId="61" borderId="12" xfId="0" applyFont="1" applyFill="1" applyBorder="1" applyAlignment="1">
      <alignment horizontal="center" vertical="center"/>
    </xf>
    <xf numFmtId="43" fontId="3" fillId="61" borderId="12" xfId="1" applyFont="1" applyFill="1" applyBorder="1" applyAlignment="1">
      <alignment horizontal="center" vertical="center"/>
    </xf>
    <xf numFmtId="0" fontId="3" fillId="61" borderId="16" xfId="0" applyNumberFormat="1" applyFont="1" applyFill="1" applyBorder="1" applyAlignment="1">
      <alignment horizontal="left" vertical="center"/>
    </xf>
    <xf numFmtId="168" fontId="2" fillId="0" borderId="12" xfId="0" applyFont="1" applyFill="1" applyBorder="1" applyAlignment="1">
      <alignment horizontal="justify" vertical="center" wrapText="1"/>
    </xf>
    <xf numFmtId="168" fontId="4" fillId="0" borderId="2" xfId="0" applyFont="1" applyBorder="1" applyAlignment="1">
      <alignment vertical="center"/>
    </xf>
    <xf numFmtId="168" fontId="49" fillId="0" borderId="2" xfId="0" applyFont="1" applyBorder="1" applyAlignment="1">
      <alignment horizontal="center" vertical="center"/>
    </xf>
    <xf numFmtId="168" fontId="8" fillId="0" borderId="2" xfId="0" applyFont="1" applyBorder="1" applyAlignment="1">
      <alignment horizontal="left" vertical="center"/>
    </xf>
    <xf numFmtId="168" fontId="8" fillId="0" borderId="2" xfId="0" applyFont="1" applyBorder="1" applyAlignment="1">
      <alignment vertical="center"/>
    </xf>
    <xf numFmtId="3" fontId="50" fillId="3" borderId="2" xfId="0" applyNumberFormat="1" applyFont="1" applyFill="1" applyBorder="1" applyAlignment="1">
      <alignment horizontal="center" vertical="center" wrapText="1"/>
    </xf>
    <xf numFmtId="0" fontId="2" fillId="0" borderId="2" xfId="7" applyFont="1" applyFill="1" applyBorder="1" applyAlignment="1">
      <alignment horizontal="justify" vertical="center" wrapText="1"/>
    </xf>
    <xf numFmtId="0" fontId="2" fillId="0" borderId="2" xfId="4" applyNumberFormat="1" applyFont="1" applyFill="1" applyBorder="1" applyAlignment="1">
      <alignment horizontal="center" vertical="center"/>
    </xf>
    <xf numFmtId="0" fontId="2" fillId="0" borderId="2" xfId="6" applyNumberFormat="1" applyFont="1" applyFill="1" applyBorder="1" applyAlignment="1">
      <alignment horizontal="justify" vertical="center" wrapText="1"/>
    </xf>
    <xf numFmtId="43" fontId="2" fillId="0" borderId="2" xfId="1" applyFont="1" applyFill="1" applyBorder="1" applyAlignment="1">
      <alignment horizontal="center" vertical="center"/>
    </xf>
    <xf numFmtId="43" fontId="2" fillId="0" borderId="2" xfId="1" applyFont="1" applyFill="1" applyBorder="1" applyAlignment="1">
      <alignment horizontal="right" vertical="center"/>
    </xf>
    <xf numFmtId="43" fontId="3" fillId="0" borderId="2" xfId="1" applyFont="1" applyFill="1" applyBorder="1" applyAlignment="1">
      <alignment horizontal="left" vertical="center"/>
    </xf>
    <xf numFmtId="43" fontId="3" fillId="0" borderId="2" xfId="1" applyFont="1" applyFill="1" applyBorder="1" applyAlignment="1">
      <alignment vertical="center"/>
    </xf>
    <xf numFmtId="43" fontId="2" fillId="0" borderId="2" xfId="1" applyFont="1" applyFill="1" applyBorder="1" applyAlignment="1">
      <alignment horizontal="justify" vertical="center" wrapText="1"/>
    </xf>
    <xf numFmtId="43" fontId="6" fillId="0" borderId="2" xfId="1" applyFont="1" applyFill="1" applyBorder="1" applyAlignment="1">
      <alignment horizontal="right" vertical="center" wrapText="1"/>
    </xf>
    <xf numFmtId="43" fontId="53" fillId="60" borderId="41" xfId="1" applyFont="1" applyFill="1" applyBorder="1" applyAlignment="1">
      <alignment horizontal="center" vertical="center" wrapText="1"/>
    </xf>
    <xf numFmtId="43" fontId="53" fillId="60" borderId="7" xfId="1" applyFont="1" applyFill="1" applyBorder="1" applyAlignment="1">
      <alignment horizontal="center" vertical="center" wrapText="1"/>
    </xf>
    <xf numFmtId="43" fontId="53" fillId="60" borderId="8" xfId="1" applyFont="1" applyFill="1" applyBorder="1" applyAlignment="1">
      <alignment horizontal="center" vertical="center" wrapText="1"/>
    </xf>
    <xf numFmtId="43" fontId="53" fillId="6" borderId="7" xfId="1" applyFont="1" applyFill="1" applyBorder="1" applyAlignment="1">
      <alignment horizontal="justify" vertical="center" wrapText="1"/>
    </xf>
    <xf numFmtId="43" fontId="53" fillId="6" borderId="7" xfId="1" applyFont="1" applyFill="1" applyBorder="1" applyAlignment="1">
      <alignment horizontal="left" vertical="center"/>
    </xf>
    <xf numFmtId="43" fontId="53" fillId="6" borderId="7" xfId="1" applyFont="1" applyFill="1" applyBorder="1" applyAlignment="1">
      <alignment horizontal="center" vertical="center" wrapText="1"/>
    </xf>
    <xf numFmtId="43" fontId="53" fillId="6" borderId="7" xfId="1" applyFont="1" applyFill="1" applyBorder="1" applyAlignment="1">
      <alignment horizontal="center" vertical="center"/>
    </xf>
    <xf numFmtId="43" fontId="52" fillId="6" borderId="7" xfId="1" applyFont="1" applyFill="1" applyBorder="1" applyAlignment="1">
      <alignment horizontal="justify" vertical="center" wrapText="1"/>
    </xf>
    <xf numFmtId="168" fontId="22" fillId="0" borderId="0" xfId="0" applyFont="1"/>
    <xf numFmtId="0" fontId="3" fillId="61" borderId="50" xfId="0" applyNumberFormat="1" applyFont="1" applyFill="1" applyBorder="1" applyAlignment="1">
      <alignment horizontal="left" vertical="center"/>
    </xf>
    <xf numFmtId="0" fontId="3" fillId="61" borderId="51" xfId="0" applyNumberFormat="1" applyFont="1" applyFill="1" applyBorder="1" applyAlignment="1">
      <alignment horizontal="center" vertical="center"/>
    </xf>
    <xf numFmtId="168" fontId="3" fillId="61" borderId="51" xfId="0" applyFont="1" applyFill="1" applyBorder="1" applyAlignment="1">
      <alignment horizontal="center" vertical="center"/>
    </xf>
    <xf numFmtId="43" fontId="3" fillId="61" borderId="52" xfId="1" applyFont="1" applyFill="1" applyBorder="1" applyAlignment="1">
      <alignment horizontal="center" vertical="center"/>
    </xf>
    <xf numFmtId="43" fontId="53" fillId="6" borderId="1" xfId="1" applyFont="1" applyFill="1" applyBorder="1" applyAlignment="1">
      <alignment vertical="center"/>
    </xf>
    <xf numFmtId="43" fontId="53" fillId="6" borderId="7" xfId="1" applyFont="1" applyFill="1" applyBorder="1" applyAlignment="1">
      <alignment vertical="center"/>
    </xf>
    <xf numFmtId="43" fontId="53" fillId="6" borderId="2" xfId="1" applyFont="1" applyFill="1" applyBorder="1" applyAlignment="1">
      <alignment vertical="center"/>
    </xf>
    <xf numFmtId="168" fontId="53" fillId="0" borderId="0" xfId="0" applyFont="1" applyFill="1" applyAlignment="1">
      <alignment vertical="center"/>
    </xf>
    <xf numFmtId="168" fontId="52" fillId="0" borderId="0" xfId="0" applyFont="1" applyFill="1" applyAlignment="1">
      <alignment vertical="center"/>
    </xf>
    <xf numFmtId="168" fontId="2" fillId="0" borderId="0" xfId="0" applyFont="1" applyAlignment="1">
      <alignment vertical="center"/>
    </xf>
    <xf numFmtId="0" fontId="3" fillId="62" borderId="45" xfId="0" applyNumberFormat="1" applyFont="1" applyFill="1" applyBorder="1" applyAlignment="1">
      <alignment horizontal="left" vertical="center"/>
    </xf>
    <xf numFmtId="0" fontId="3" fillId="62" borderId="46" xfId="0" applyNumberFormat="1" applyFont="1" applyFill="1" applyBorder="1" applyAlignment="1">
      <alignment horizontal="center" vertical="center"/>
    </xf>
    <xf numFmtId="168" fontId="3" fillId="62" borderId="46" xfId="0" applyFont="1" applyFill="1" applyBorder="1" applyAlignment="1">
      <alignment horizontal="center"/>
    </xf>
    <xf numFmtId="43" fontId="3" fillId="62" borderId="48" xfId="1" applyFont="1" applyFill="1" applyBorder="1" applyAlignment="1">
      <alignment horizontal="center" vertical="center"/>
    </xf>
    <xf numFmtId="0" fontId="3" fillId="60" borderId="12" xfId="0" applyNumberFormat="1" applyFont="1" applyFill="1" applyBorder="1" applyAlignment="1">
      <alignment horizontal="left" vertical="center"/>
    </xf>
    <xf numFmtId="43" fontId="3" fillId="60" borderId="12" xfId="1" applyFont="1" applyFill="1" applyBorder="1" applyAlignment="1">
      <alignment horizontal="left" vertical="center"/>
    </xf>
    <xf numFmtId="0" fontId="3" fillId="60" borderId="12" xfId="0" applyNumberFormat="1" applyFont="1" applyFill="1" applyBorder="1" applyAlignment="1">
      <alignment horizontal="center" vertical="center"/>
    </xf>
    <xf numFmtId="0" fontId="3" fillId="60" borderId="12" xfId="0" applyNumberFormat="1" applyFont="1" applyFill="1" applyBorder="1" applyAlignment="1">
      <alignment horizontal="left" vertical="center" wrapText="1"/>
    </xf>
    <xf numFmtId="43" fontId="3" fillId="60" borderId="12" xfId="1" applyFont="1" applyFill="1" applyBorder="1" applyAlignment="1">
      <alignment horizontal="left" vertical="center" wrapText="1"/>
    </xf>
    <xf numFmtId="43" fontId="53" fillId="62" borderId="6" xfId="1" applyFont="1" applyFill="1" applyBorder="1" applyAlignment="1">
      <alignment vertical="center"/>
    </xf>
    <xf numFmtId="43" fontId="53" fillId="62" borderId="7" xfId="1" applyFont="1" applyFill="1" applyBorder="1" applyAlignment="1">
      <alignment horizontal="justify" vertical="center" wrapText="1"/>
    </xf>
    <xf numFmtId="43" fontId="53" fillId="62" borderId="7" xfId="1" applyFont="1" applyFill="1" applyBorder="1" applyAlignment="1">
      <alignment horizontal="left" vertical="center"/>
    </xf>
    <xf numFmtId="43" fontId="53" fillId="62" borderId="7" xfId="1" applyFont="1" applyFill="1" applyBorder="1" applyAlignment="1">
      <alignment horizontal="center" vertical="center" wrapText="1"/>
    </xf>
    <xf numFmtId="43" fontId="53" fillId="62" borderId="7" xfId="1" applyFont="1" applyFill="1" applyBorder="1" applyAlignment="1">
      <alignment horizontal="center" vertical="center"/>
    </xf>
    <xf numFmtId="43" fontId="53" fillId="62" borderId="8" xfId="1" applyFont="1" applyFill="1" applyBorder="1" applyAlignment="1">
      <alignment horizontal="justify" vertical="center" wrapText="1"/>
    </xf>
    <xf numFmtId="43" fontId="53" fillId="62" borderId="2" xfId="1" applyFont="1" applyFill="1" applyBorder="1" applyAlignment="1">
      <alignment horizontal="justify" vertical="center" wrapText="1"/>
    </xf>
    <xf numFmtId="43" fontId="53" fillId="62" borderId="2" xfId="1" applyFont="1" applyFill="1" applyBorder="1" applyAlignment="1">
      <alignment vertical="center"/>
    </xf>
    <xf numFmtId="168" fontId="3" fillId="62" borderId="2" xfId="0" applyFont="1" applyFill="1" applyBorder="1" applyAlignment="1">
      <alignment horizontal="center" vertical="center"/>
    </xf>
    <xf numFmtId="0" fontId="4" fillId="62" borderId="1" xfId="0" applyNumberFormat="1" applyFont="1" applyFill="1" applyBorder="1" applyAlignment="1">
      <alignment horizontal="center" vertical="center" wrapText="1"/>
    </xf>
    <xf numFmtId="0" fontId="4" fillId="62" borderId="2" xfId="0" applyNumberFormat="1" applyFont="1" applyFill="1" applyBorder="1" applyAlignment="1">
      <alignment horizontal="center" vertical="center" wrapText="1"/>
    </xf>
    <xf numFmtId="170" fontId="4" fillId="62" borderId="2" xfId="3" applyNumberFormat="1" applyFont="1" applyFill="1" applyBorder="1" applyAlignment="1">
      <alignment horizontal="center" vertical="center" wrapText="1"/>
    </xf>
    <xf numFmtId="168" fontId="26" fillId="64" borderId="2" xfId="0" applyFont="1" applyFill="1" applyBorder="1" applyAlignment="1">
      <alignment horizontal="justify" vertical="center" wrapText="1"/>
    </xf>
    <xf numFmtId="168" fontId="26" fillId="0" borderId="2" xfId="0" applyFont="1" applyBorder="1" applyAlignment="1">
      <alignment horizontal="justify" vertical="center" wrapText="1"/>
    </xf>
    <xf numFmtId="49" fontId="26" fillId="64" borderId="2" xfId="0" applyNumberFormat="1" applyFont="1" applyFill="1" applyBorder="1" applyAlignment="1">
      <alignment horizontal="justify" vertical="center" wrapText="1"/>
    </xf>
    <xf numFmtId="1" fontId="26" fillId="64" borderId="55" xfId="1" applyNumberFormat="1" applyFont="1" applyFill="1" applyBorder="1" applyAlignment="1">
      <alignment horizontal="center" vertical="center" wrapText="1"/>
    </xf>
    <xf numFmtId="1" fontId="26" fillId="0" borderId="55" xfId="1" applyNumberFormat="1" applyFont="1" applyBorder="1" applyAlignment="1">
      <alignment horizontal="center" vertical="center" wrapText="1"/>
    </xf>
    <xf numFmtId="1" fontId="26" fillId="0" borderId="56" xfId="1" applyNumberFormat="1" applyFont="1" applyBorder="1" applyAlignment="1">
      <alignment horizontal="center" vertical="center" wrapText="1"/>
    </xf>
    <xf numFmtId="168" fontId="26" fillId="0" borderId="57" xfId="0" applyFont="1" applyBorder="1" applyAlignment="1">
      <alignment horizontal="justify" vertical="center" wrapText="1"/>
    </xf>
    <xf numFmtId="1" fontId="26" fillId="0" borderId="58" xfId="1" applyNumberFormat="1" applyFont="1" applyBorder="1" applyAlignment="1">
      <alignment horizontal="center" vertical="center" wrapText="1"/>
    </xf>
    <xf numFmtId="168" fontId="26" fillId="0" borderId="41" xfId="0" applyFont="1" applyBorder="1" applyAlignment="1">
      <alignment horizontal="justify" vertical="center" wrapText="1"/>
    </xf>
    <xf numFmtId="1" fontId="26" fillId="0" borderId="59" xfId="1" applyNumberFormat="1" applyFont="1" applyBorder="1" applyAlignment="1">
      <alignment horizontal="center" vertical="center" wrapText="1"/>
    </xf>
    <xf numFmtId="168" fontId="26" fillId="64" borderId="11" xfId="0" applyFont="1" applyFill="1" applyBorder="1" applyAlignment="1">
      <alignment horizontal="justify" vertical="center" wrapText="1"/>
    </xf>
    <xf numFmtId="168" fontId="26" fillId="64" borderId="41" xfId="0" applyFont="1" applyFill="1" applyBorder="1" applyAlignment="1">
      <alignment horizontal="justify" vertical="center" wrapText="1"/>
    </xf>
    <xf numFmtId="168" fontId="26" fillId="0" borderId="11" xfId="0" applyFont="1" applyBorder="1" applyAlignment="1">
      <alignment horizontal="justify" vertical="center" wrapText="1"/>
    </xf>
    <xf numFmtId="0" fontId="2" fillId="0" borderId="2" xfId="4" applyNumberFormat="1" applyFont="1" applyFill="1" applyBorder="1">
      <alignment horizontal="center" vertical="center" wrapText="1"/>
    </xf>
    <xf numFmtId="169" fontId="26" fillId="0" borderId="2" xfId="0" applyNumberFormat="1" applyFont="1" applyBorder="1" applyAlignment="1">
      <alignment horizontal="left" vertical="center"/>
    </xf>
    <xf numFmtId="14" fontId="26" fillId="0" borderId="2" xfId="0" applyNumberFormat="1" applyFont="1" applyFill="1" applyBorder="1" applyAlignment="1">
      <alignment horizontal="left" vertical="center"/>
    </xf>
    <xf numFmtId="0" fontId="55" fillId="0" borderId="12" xfId="4" applyNumberFormat="1" applyFont="1" applyFill="1" applyBorder="1" applyAlignment="1">
      <alignment horizontal="justify" vertical="center" wrapText="1"/>
    </xf>
    <xf numFmtId="0" fontId="55" fillId="0" borderId="12" xfId="7" applyFont="1" applyFill="1" applyBorder="1" applyAlignment="1">
      <alignment horizontal="justify" vertical="center" wrapText="1"/>
    </xf>
    <xf numFmtId="2" fontId="53" fillId="6" borderId="7" xfId="1" applyNumberFormat="1" applyFont="1" applyFill="1" applyBorder="1" applyAlignment="1">
      <alignment horizontal="center" vertical="center"/>
    </xf>
    <xf numFmtId="2" fontId="53" fillId="60" borderId="7" xfId="1" applyNumberFormat="1" applyFont="1" applyFill="1" applyBorder="1" applyAlignment="1">
      <alignment horizontal="center" vertical="center" wrapText="1"/>
    </xf>
    <xf numFmtId="168" fontId="4" fillId="60" borderId="41" xfId="0" applyFont="1" applyFill="1" applyBorder="1" applyAlignment="1">
      <alignment horizontal="center" vertical="center" wrapText="1"/>
    </xf>
    <xf numFmtId="2" fontId="53" fillId="62" borderId="7" xfId="1" applyNumberFormat="1" applyFont="1" applyFill="1" applyBorder="1" applyAlignment="1">
      <alignment horizontal="center" vertical="center"/>
    </xf>
    <xf numFmtId="168" fontId="2" fillId="0" borderId="0" xfId="0" applyFont="1" applyAlignment="1">
      <alignment horizontal="center" vertical="center"/>
    </xf>
    <xf numFmtId="2" fontId="2" fillId="0" borderId="0" xfId="1" applyNumberFormat="1" applyFont="1" applyFill="1" applyAlignment="1">
      <alignment horizontal="center" vertical="center"/>
    </xf>
    <xf numFmtId="43" fontId="2" fillId="0" borderId="18" xfId="1" applyFont="1" applyFill="1" applyBorder="1" applyAlignment="1">
      <alignment horizontal="left" vertical="center"/>
    </xf>
    <xf numFmtId="0" fontId="3" fillId="61" borderId="22" xfId="0" applyNumberFormat="1" applyFont="1" applyFill="1" applyBorder="1" applyAlignment="1">
      <alignment horizontal="left" vertical="center"/>
    </xf>
    <xf numFmtId="168" fontId="3" fillId="61" borderId="22" xfId="0" applyFont="1" applyFill="1" applyBorder="1" applyAlignment="1">
      <alignment horizontal="center" vertical="center"/>
    </xf>
    <xf numFmtId="43" fontId="3" fillId="61" borderId="22" xfId="1" applyFont="1" applyFill="1" applyBorder="1" applyAlignment="1">
      <alignment horizontal="center" vertical="center"/>
    </xf>
    <xf numFmtId="0" fontId="2" fillId="0" borderId="2" xfId="0" applyNumberFormat="1" applyFont="1" applyBorder="1" applyAlignment="1">
      <alignment horizontal="center" vertical="center" wrapText="1"/>
    </xf>
    <xf numFmtId="0" fontId="2" fillId="0" borderId="12" xfId="0" applyNumberFormat="1" applyFont="1" applyFill="1" applyBorder="1" applyAlignment="1">
      <alignment vertical="center"/>
    </xf>
    <xf numFmtId="0" fontId="2" fillId="0" borderId="15" xfId="0" applyNumberFormat="1" applyFont="1" applyFill="1" applyBorder="1" applyAlignment="1">
      <alignment vertical="center"/>
    </xf>
    <xf numFmtId="0" fontId="2" fillId="0" borderId="17" xfId="0" applyNumberFormat="1" applyFont="1" applyBorder="1" applyAlignment="1">
      <alignment horizontal="center" vertical="center" wrapText="1"/>
    </xf>
    <xf numFmtId="0" fontId="3" fillId="60" borderId="16" xfId="0" applyNumberFormat="1" applyFont="1" applyFill="1" applyBorder="1" applyAlignment="1">
      <alignment horizontal="center" vertical="center" wrapText="1"/>
    </xf>
    <xf numFmtId="0" fontId="3" fillId="60" borderId="12" xfId="0" applyNumberFormat="1" applyFont="1" applyFill="1" applyBorder="1" applyAlignment="1">
      <alignment vertical="center"/>
    </xf>
    <xf numFmtId="43" fontId="3" fillId="60" borderId="12" xfId="1" applyFont="1" applyFill="1" applyBorder="1" applyAlignment="1">
      <alignment vertical="center"/>
    </xf>
    <xf numFmtId="0" fontId="3" fillId="60" borderId="49" xfId="0" applyNumberFormat="1" applyFont="1" applyFill="1" applyBorder="1" applyAlignment="1">
      <alignment horizontal="center" vertical="center" wrapText="1"/>
    </xf>
    <xf numFmtId="0" fontId="3" fillId="60" borderId="18" xfId="0" applyNumberFormat="1" applyFont="1" applyFill="1" applyBorder="1" applyAlignment="1">
      <alignment vertical="center"/>
    </xf>
    <xf numFmtId="43" fontId="3" fillId="60" borderId="18" xfId="1" applyFont="1" applyFill="1" applyBorder="1" applyAlignment="1">
      <alignment vertical="center"/>
    </xf>
    <xf numFmtId="0" fontId="3" fillId="0" borderId="14" xfId="0" applyNumberFormat="1" applyFont="1" applyFill="1" applyBorder="1" applyAlignment="1">
      <alignment horizontal="center" vertical="center" wrapText="1"/>
    </xf>
    <xf numFmtId="0" fontId="3" fillId="61" borderId="19" xfId="0" applyNumberFormat="1" applyFont="1" applyFill="1" applyBorder="1" applyAlignment="1">
      <alignment horizontal="left" vertical="center"/>
    </xf>
    <xf numFmtId="0" fontId="3" fillId="60" borderId="16" xfId="0" applyNumberFormat="1" applyFont="1" applyFill="1" applyBorder="1" applyAlignment="1">
      <alignment vertical="center"/>
    </xf>
    <xf numFmtId="0" fontId="3" fillId="61" borderId="2" xfId="0" applyNumberFormat="1" applyFont="1" applyFill="1" applyBorder="1" applyAlignment="1">
      <alignment horizontal="center" vertical="center" wrapText="1"/>
    </xf>
    <xf numFmtId="0" fontId="26" fillId="0" borderId="0" xfId="92" applyFont="1"/>
    <xf numFmtId="0" fontId="26" fillId="0" borderId="0" xfId="92" applyFont="1" applyFill="1"/>
    <xf numFmtId="0" fontId="6" fillId="0" borderId="2" xfId="92" applyFont="1" applyBorder="1" applyAlignment="1">
      <alignment horizontal="center" vertical="center"/>
    </xf>
    <xf numFmtId="0" fontId="6" fillId="0" borderId="2" xfId="92" applyFont="1" applyBorder="1" applyAlignment="1">
      <alignment horizontal="left" vertical="center"/>
    </xf>
    <xf numFmtId="167" fontId="2" fillId="0" borderId="2" xfId="101" applyNumberFormat="1" applyFont="1" applyBorder="1" applyAlignment="1">
      <alignment horizontal="right" vertical="center"/>
    </xf>
    <xf numFmtId="9" fontId="2" fillId="0" borderId="2" xfId="94" applyFont="1" applyBorder="1" applyAlignment="1">
      <alignment horizontal="center" vertical="center"/>
    </xf>
    <xf numFmtId="167" fontId="2" fillId="0" borderId="2" xfId="94" applyNumberFormat="1" applyFont="1" applyBorder="1" applyAlignment="1">
      <alignment horizontal="center" vertical="center"/>
    </xf>
    <xf numFmtId="9" fontId="2" fillId="0" borderId="2" xfId="94" applyNumberFormat="1" applyFont="1" applyBorder="1" applyAlignment="1">
      <alignment horizontal="center" vertical="center"/>
    </xf>
    <xf numFmtId="167" fontId="2" fillId="0" borderId="2" xfId="101" applyNumberFormat="1" applyFont="1" applyFill="1" applyBorder="1" applyAlignment="1">
      <alignment horizontal="right" vertical="center"/>
    </xf>
    <xf numFmtId="9" fontId="3" fillId="0" borderId="2" xfId="92" applyNumberFormat="1" applyFont="1" applyFill="1" applyBorder="1" applyAlignment="1" applyProtection="1">
      <alignment horizontal="center" vertical="center"/>
      <protection locked="0"/>
    </xf>
    <xf numFmtId="167" fontId="2" fillId="0" borderId="2" xfId="387" applyNumberFormat="1" applyFont="1" applyFill="1" applyBorder="1" applyAlignment="1">
      <alignment horizontal="right" vertical="center"/>
    </xf>
    <xf numFmtId="9" fontId="2" fillId="0" borderId="2" xfId="387" applyNumberFormat="1" applyFont="1" applyBorder="1" applyAlignment="1">
      <alignment horizontal="center" vertical="center"/>
    </xf>
    <xf numFmtId="167" fontId="2" fillId="0" borderId="2" xfId="387" applyNumberFormat="1" applyFont="1" applyBorder="1" applyAlignment="1">
      <alignment horizontal="center" vertical="center"/>
    </xf>
    <xf numFmtId="167" fontId="6" fillId="0" borderId="2" xfId="101" applyNumberFormat="1" applyFont="1" applyBorder="1" applyAlignment="1">
      <alignment vertical="center"/>
    </xf>
    <xf numFmtId="9" fontId="6" fillId="0" borderId="2" xfId="94" applyNumberFormat="1" applyFont="1" applyBorder="1" applyAlignment="1">
      <alignment horizontal="center" vertical="center"/>
    </xf>
    <xf numFmtId="0" fontId="26" fillId="0" borderId="0" xfId="92" applyFont="1" applyAlignment="1">
      <alignment vertical="center"/>
    </xf>
    <xf numFmtId="167" fontId="6" fillId="0" borderId="2" xfId="101" applyNumberFormat="1" applyFont="1" applyFill="1" applyBorder="1" applyAlignment="1">
      <alignment vertical="center"/>
    </xf>
    <xf numFmtId="0" fontId="6" fillId="0" borderId="2" xfId="92" applyFont="1" applyBorder="1" applyAlignment="1">
      <alignment horizontal="left" vertical="center" wrapText="1"/>
    </xf>
    <xf numFmtId="0" fontId="2" fillId="0" borderId="2" xfId="92" applyFont="1" applyBorder="1" applyAlignment="1">
      <alignment horizontal="center" vertical="center"/>
    </xf>
    <xf numFmtId="167" fontId="2" fillId="0" borderId="2" xfId="92" applyNumberFormat="1" applyFont="1" applyBorder="1" applyAlignment="1">
      <alignment horizontal="right" vertical="center"/>
    </xf>
    <xf numFmtId="0" fontId="8" fillId="0" borderId="0" xfId="92" applyFont="1" applyAlignment="1">
      <alignment vertical="center"/>
    </xf>
    <xf numFmtId="167" fontId="2" fillId="0" borderId="2" xfId="101" applyNumberFormat="1" applyFont="1" applyBorder="1" applyAlignment="1">
      <alignment vertical="center"/>
    </xf>
    <xf numFmtId="178" fontId="2" fillId="0" borderId="2" xfId="387" applyNumberFormat="1" applyFont="1" applyBorder="1" applyAlignment="1">
      <alignment horizontal="center" vertical="center"/>
    </xf>
    <xf numFmtId="0" fontId="3" fillId="60" borderId="0" xfId="92" applyFont="1" applyFill="1" applyAlignment="1">
      <alignment horizontal="left" vertical="center"/>
    </xf>
    <xf numFmtId="167" fontId="3" fillId="60" borderId="2" xfId="101" applyNumberFormat="1" applyFont="1" applyFill="1" applyBorder="1" applyAlignment="1">
      <alignment vertical="center"/>
    </xf>
    <xf numFmtId="9" fontId="3" fillId="60" borderId="2" xfId="94" applyFont="1" applyFill="1" applyBorder="1" applyAlignment="1">
      <alignment horizontal="center" vertical="center"/>
    </xf>
    <xf numFmtId="9" fontId="3" fillId="60" borderId="2" xfId="94" applyNumberFormat="1" applyFont="1" applyFill="1" applyBorder="1" applyAlignment="1">
      <alignment horizontal="center" vertical="center"/>
    </xf>
    <xf numFmtId="9" fontId="3" fillId="60" borderId="2" xfId="387" applyNumberFormat="1" applyFont="1" applyFill="1" applyBorder="1" applyAlignment="1">
      <alignment horizontal="center" vertical="center"/>
    </xf>
    <xf numFmtId="0" fontId="49" fillId="0" borderId="0" xfId="92" applyFont="1" applyFill="1" applyAlignment="1">
      <alignment vertical="center"/>
    </xf>
    <xf numFmtId="170" fontId="26" fillId="0" borderId="0" xfId="101" applyNumberFormat="1" applyFont="1"/>
    <xf numFmtId="0" fontId="3" fillId="60" borderId="6" xfId="92" applyFont="1" applyFill="1" applyBorder="1" applyAlignment="1">
      <alignment horizontal="left" vertical="center"/>
    </xf>
    <xf numFmtId="0" fontId="3" fillId="60" borderId="8" xfId="92" applyFont="1" applyFill="1" applyBorder="1" applyAlignment="1">
      <alignment horizontal="left" vertical="center"/>
    </xf>
    <xf numFmtId="9" fontId="3" fillId="60" borderId="2" xfId="92" applyNumberFormat="1" applyFont="1" applyFill="1" applyBorder="1" applyAlignment="1" applyProtection="1">
      <alignment horizontal="center" vertical="center"/>
      <protection locked="0"/>
    </xf>
    <xf numFmtId="0" fontId="26" fillId="0" borderId="0" xfId="92" applyFont="1" applyAlignment="1">
      <alignment horizontal="left"/>
    </xf>
    <xf numFmtId="170" fontId="8" fillId="0" borderId="0" xfId="101" applyNumberFormat="1" applyFont="1" applyFill="1" applyBorder="1" applyAlignment="1">
      <alignment horizontal="center" vertical="center" wrapText="1"/>
    </xf>
    <xf numFmtId="170" fontId="8" fillId="0" borderId="0" xfId="101" applyNumberFormat="1" applyFont="1" applyFill="1" applyBorder="1"/>
    <xf numFmtId="9" fontId="8" fillId="0" borderId="0" xfId="101" applyNumberFormat="1" applyFont="1" applyFill="1" applyBorder="1"/>
    <xf numFmtId="9" fontId="26" fillId="0" borderId="0" xfId="101" applyNumberFormat="1" applyFont="1"/>
    <xf numFmtId="9" fontId="26" fillId="0" borderId="0" xfId="92" applyNumberFormat="1" applyFont="1"/>
    <xf numFmtId="0" fontId="9" fillId="2" borderId="0" xfId="92" applyFont="1" applyFill="1" applyBorder="1"/>
    <xf numFmtId="0" fontId="9" fillId="2" borderId="0" xfId="92" applyFont="1" applyFill="1" applyBorder="1" applyAlignment="1">
      <alignment horizontal="center"/>
    </xf>
    <xf numFmtId="9" fontId="23" fillId="2" borderId="0" xfId="387" applyFont="1" applyFill="1" applyBorder="1" applyAlignment="1">
      <alignment horizontal="center"/>
    </xf>
    <xf numFmtId="167" fontId="26" fillId="0" borderId="0" xfId="101" applyNumberFormat="1" applyFont="1"/>
    <xf numFmtId="170" fontId="8" fillId="0" borderId="0" xfId="101" applyNumberFormat="1" applyFont="1"/>
    <xf numFmtId="0" fontId="23" fillId="0" borderId="0" xfId="92" applyFont="1" applyFill="1" applyBorder="1"/>
    <xf numFmtId="170" fontId="56" fillId="0" borderId="0" xfId="101" applyNumberFormat="1" applyFont="1" applyFill="1" applyBorder="1"/>
    <xf numFmtId="9" fontId="56" fillId="0" borderId="0" xfId="387" applyFont="1" applyFill="1" applyBorder="1" applyAlignment="1">
      <alignment horizontal="center" vertical="center"/>
    </xf>
    <xf numFmtId="9" fontId="56" fillId="2" borderId="0" xfId="387" applyFont="1" applyFill="1" applyBorder="1" applyAlignment="1">
      <alignment horizontal="center" vertical="center"/>
    </xf>
    <xf numFmtId="0" fontId="23" fillId="2" borderId="0" xfId="92" applyFont="1" applyFill="1" applyBorder="1"/>
    <xf numFmtId="170" fontId="56" fillId="2" borderId="0" xfId="101" applyNumberFormat="1" applyFont="1" applyFill="1" applyBorder="1"/>
    <xf numFmtId="10" fontId="56" fillId="0" borderId="0" xfId="387" applyNumberFormat="1" applyFont="1" applyFill="1" applyBorder="1" applyAlignment="1">
      <alignment horizontal="center" vertical="center"/>
    </xf>
    <xf numFmtId="10" fontId="56" fillId="2" borderId="0" xfId="387" applyNumberFormat="1" applyFont="1" applyFill="1" applyBorder="1" applyAlignment="1">
      <alignment horizontal="center" vertical="center"/>
    </xf>
    <xf numFmtId="10" fontId="56" fillId="0" borderId="0" xfId="387" applyNumberFormat="1" applyFont="1" applyFill="1" applyBorder="1" applyAlignment="1">
      <alignment horizontal="center"/>
    </xf>
    <xf numFmtId="10" fontId="56" fillId="2" borderId="0" xfId="387" applyNumberFormat="1" applyFont="1" applyFill="1" applyBorder="1" applyAlignment="1">
      <alignment horizontal="center"/>
    </xf>
    <xf numFmtId="167" fontId="23" fillId="0" borderId="0" xfId="92" applyNumberFormat="1" applyFont="1" applyFill="1" applyBorder="1" applyAlignment="1">
      <alignment horizontal="left"/>
    </xf>
    <xf numFmtId="167" fontId="23" fillId="2" borderId="0" xfId="92" applyNumberFormat="1" applyFont="1" applyFill="1" applyBorder="1" applyAlignment="1">
      <alignment horizontal="left"/>
    </xf>
    <xf numFmtId="0" fontId="8" fillId="0" borderId="0" xfId="92" applyFont="1"/>
    <xf numFmtId="0" fontId="57" fillId="0" borderId="0" xfId="92" applyFont="1" applyAlignment="1">
      <alignment horizontal="left"/>
    </xf>
    <xf numFmtId="170" fontId="57" fillId="0" borderId="0" xfId="101" applyNumberFormat="1" applyFont="1"/>
    <xf numFmtId="0" fontId="57" fillId="0" borderId="0" xfId="92" applyFont="1" applyFill="1" applyBorder="1" applyAlignment="1">
      <alignment horizontal="left"/>
    </xf>
    <xf numFmtId="170" fontId="57" fillId="0" borderId="0" xfId="101" applyNumberFormat="1" applyFont="1" applyFill="1" applyBorder="1"/>
    <xf numFmtId="10" fontId="57" fillId="0" borderId="0" xfId="387" applyNumberFormat="1" applyFont="1" applyFill="1" applyBorder="1"/>
    <xf numFmtId="10" fontId="8" fillId="0" borderId="0" xfId="387" applyNumberFormat="1" applyFont="1" applyFill="1" applyBorder="1"/>
    <xf numFmtId="1" fontId="26" fillId="0" borderId="59" xfId="1" applyNumberFormat="1" applyFont="1" applyFill="1" applyBorder="1" applyAlignment="1">
      <alignment horizontal="center" vertical="center" wrapText="1"/>
    </xf>
    <xf numFmtId="1" fontId="26" fillId="0" borderId="55" xfId="1" applyNumberFormat="1" applyFont="1" applyFill="1" applyBorder="1" applyAlignment="1">
      <alignment horizontal="center" vertical="center" wrapText="1"/>
    </xf>
    <xf numFmtId="49" fontId="2" fillId="0" borderId="2" xfId="4" applyNumberFormat="1" applyFont="1" applyFill="1" applyBorder="1" applyAlignment="1">
      <alignment horizontal="justify" vertical="center" wrapText="1"/>
    </xf>
    <xf numFmtId="0" fontId="2" fillId="0" borderId="2" xfId="7" applyNumberFormat="1" applyFont="1" applyFill="1" applyBorder="1">
      <alignment horizontal="center" vertical="center" wrapText="1"/>
    </xf>
    <xf numFmtId="43" fontId="2" fillId="0" borderId="0" xfId="1" applyFont="1" applyFill="1" applyBorder="1" applyAlignment="1">
      <alignment horizontal="justify" vertical="center"/>
    </xf>
    <xf numFmtId="168" fontId="4" fillId="0" borderId="0" xfId="0" applyFont="1" applyFill="1" applyAlignment="1">
      <alignment horizontal="center" vertical="center"/>
    </xf>
    <xf numFmtId="168" fontId="4" fillId="60" borderId="42" xfId="0" applyFont="1" applyFill="1" applyBorder="1" applyAlignment="1">
      <alignment horizontal="center" vertical="center" wrapText="1"/>
    </xf>
    <xf numFmtId="0" fontId="4" fillId="60" borderId="41" xfId="0" applyNumberFormat="1" applyFont="1" applyFill="1" applyBorder="1" applyAlignment="1">
      <alignment horizontal="center" vertical="center" wrapText="1"/>
    </xf>
    <xf numFmtId="0" fontId="4" fillId="60" borderId="41" xfId="0" applyNumberFormat="1" applyFont="1" applyFill="1" applyBorder="1" applyAlignment="1">
      <alignment horizontal="center" vertical="center" wrapText="1"/>
    </xf>
    <xf numFmtId="0" fontId="2" fillId="0" borderId="49" xfId="0" applyNumberFormat="1" applyFont="1" applyFill="1" applyBorder="1" applyAlignment="1">
      <alignment horizontal="center" vertical="center" wrapText="1"/>
    </xf>
    <xf numFmtId="168" fontId="2" fillId="0" borderId="15" xfId="0" applyFont="1" applyFill="1" applyBorder="1" applyAlignment="1">
      <alignment horizontal="justify" vertical="center"/>
    </xf>
    <xf numFmtId="0" fontId="2" fillId="0" borderId="2" xfId="5" applyFont="1" applyFill="1" applyBorder="1" applyAlignment="1">
      <alignment horizontal="justify" vertical="center" wrapText="1"/>
    </xf>
    <xf numFmtId="1"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justify" vertical="center" wrapText="1"/>
    </xf>
    <xf numFmtId="167" fontId="2" fillId="0" borderId="2" xfId="0" applyNumberFormat="1" applyFont="1" applyFill="1" applyBorder="1" applyAlignment="1">
      <alignment vertical="center"/>
    </xf>
    <xf numFmtId="168" fontId="2" fillId="0" borderId="2" xfId="0" applyFont="1" applyFill="1" applyBorder="1" applyAlignment="1">
      <alignment horizontal="center" vertical="center" wrapText="1"/>
    </xf>
    <xf numFmtId="0" fontId="2" fillId="0" borderId="2" xfId="5" applyNumberFormat="1" applyFont="1" applyFill="1" applyBorder="1" applyAlignment="1">
      <alignment horizontal="center" vertical="center" wrapText="1"/>
    </xf>
    <xf numFmtId="49" fontId="2" fillId="0" borderId="2" xfId="5" applyNumberFormat="1" applyFont="1" applyFill="1" applyBorder="1" applyAlignment="1">
      <alignment horizontal="justify" vertical="center" wrapText="1"/>
    </xf>
    <xf numFmtId="0" fontId="2" fillId="0" borderId="2" xfId="5" applyNumberFormat="1" applyFont="1" applyFill="1" applyBorder="1" applyAlignment="1">
      <alignment horizontal="justify" vertical="center" wrapText="1"/>
    </xf>
    <xf numFmtId="168" fontId="2" fillId="0" borderId="2" xfId="0" applyFont="1" applyFill="1" applyBorder="1" applyAlignment="1" applyProtection="1">
      <alignment horizontal="justify" vertical="center" wrapText="1"/>
      <protection locked="0"/>
    </xf>
    <xf numFmtId="0" fontId="2" fillId="0" borderId="2" xfId="0" applyNumberFormat="1" applyFont="1" applyFill="1" applyBorder="1" applyAlignment="1" applyProtection="1">
      <alignment horizontal="center" vertical="center" wrapText="1"/>
      <protection locked="0"/>
    </xf>
    <xf numFmtId="1" fontId="2" fillId="0" borderId="2" xfId="1" applyNumberFormat="1" applyFont="1" applyFill="1" applyBorder="1" applyAlignment="1">
      <alignment horizontal="center" vertical="center" wrapText="1"/>
    </xf>
    <xf numFmtId="1" fontId="48" fillId="0" borderId="2" xfId="1" applyNumberFormat="1" applyFont="1" applyFill="1" applyBorder="1" applyAlignment="1">
      <alignment horizontal="center" vertical="center" wrapText="1"/>
    </xf>
    <xf numFmtId="41" fontId="2" fillId="0" borderId="0" xfId="388" applyFont="1" applyFill="1"/>
    <xf numFmtId="171" fontId="2" fillId="0" borderId="0" xfId="6" applyNumberFormat="1" applyFont="1" applyFill="1" applyAlignment="1">
      <alignment horizontal="center"/>
    </xf>
    <xf numFmtId="177" fontId="2" fillId="0" borderId="0" xfId="0" applyNumberFormat="1" applyFont="1" applyFill="1"/>
    <xf numFmtId="3" fontId="2" fillId="0" borderId="2" xfId="0" applyNumberFormat="1" applyFont="1" applyFill="1" applyBorder="1" applyAlignment="1">
      <alignment horizontal="justify" vertical="center" wrapText="1"/>
    </xf>
    <xf numFmtId="1" fontId="2" fillId="0" borderId="2" xfId="5" applyNumberFormat="1" applyFont="1" applyFill="1" applyBorder="1" applyAlignment="1">
      <alignment horizontal="center" vertical="center" wrapText="1"/>
    </xf>
    <xf numFmtId="49" fontId="2" fillId="0" borderId="2" xfId="0" applyNumberFormat="1" applyFont="1" applyFill="1" applyBorder="1" applyAlignment="1" applyProtection="1">
      <alignment horizontal="justify" vertical="center" wrapText="1"/>
      <protection locked="0"/>
    </xf>
    <xf numFmtId="43" fontId="2" fillId="0" borderId="11" xfId="1" applyFont="1" applyFill="1" applyBorder="1" applyAlignment="1">
      <alignment vertical="center"/>
    </xf>
    <xf numFmtId="43" fontId="2" fillId="0" borderId="11" xfId="1" applyFont="1" applyFill="1" applyBorder="1" applyAlignment="1">
      <alignment horizontal="justify" vertical="center"/>
    </xf>
    <xf numFmtId="43" fontId="2" fillId="0" borderId="11" xfId="1" applyFont="1" applyFill="1" applyBorder="1"/>
    <xf numFmtId="1" fontId="2" fillId="0" borderId="11" xfId="0" applyNumberFormat="1" applyFont="1" applyFill="1" applyBorder="1" applyAlignment="1">
      <alignment horizontal="center" vertical="center" wrapText="1"/>
    </xf>
    <xf numFmtId="3" fontId="2" fillId="0" borderId="11" xfId="0" applyNumberFormat="1" applyFont="1" applyFill="1" applyBorder="1" applyAlignment="1">
      <alignment horizontal="justify" vertical="center" wrapText="1"/>
    </xf>
    <xf numFmtId="49" fontId="2" fillId="0" borderId="11" xfId="0" applyNumberFormat="1" applyFont="1" applyFill="1" applyBorder="1" applyAlignment="1">
      <alignment horizontal="justify" vertical="center" wrapText="1"/>
    </xf>
    <xf numFmtId="167" fontId="2" fillId="0" borderId="11" xfId="0" applyNumberFormat="1" applyFont="1" applyFill="1" applyBorder="1" applyAlignment="1">
      <alignment vertical="center"/>
    </xf>
    <xf numFmtId="43" fontId="48" fillId="0" borderId="2" xfId="1" applyFont="1" applyFill="1" applyBorder="1" applyAlignment="1">
      <alignment horizontal="center" vertical="center" wrapText="1"/>
    </xf>
    <xf numFmtId="0" fontId="51" fillId="0" borderId="15" xfId="0" applyNumberFormat="1" applyFont="1" applyFill="1" applyBorder="1" applyAlignment="1">
      <alignment horizontal="left" vertical="center" wrapText="1"/>
    </xf>
    <xf numFmtId="0" fontId="51" fillId="0" borderId="12" xfId="0" applyNumberFormat="1" applyFont="1" applyFill="1" applyBorder="1" applyAlignment="1">
      <alignment horizontal="center" vertical="center" wrapText="1"/>
    </xf>
    <xf numFmtId="0" fontId="51" fillId="0" borderId="14" xfId="0" applyNumberFormat="1" applyFont="1" applyFill="1" applyBorder="1" applyAlignment="1">
      <alignment vertical="center" wrapText="1"/>
    </xf>
    <xf numFmtId="0" fontId="51" fillId="0" borderId="12" xfId="0" applyNumberFormat="1" applyFont="1" applyFill="1" applyBorder="1" applyAlignment="1">
      <alignment horizontal="left" vertical="center" wrapText="1"/>
    </xf>
    <xf numFmtId="0" fontId="2" fillId="0" borderId="2" xfId="0" applyNumberFormat="1" applyFont="1" applyFill="1" applyBorder="1" applyAlignment="1">
      <alignment horizontal="justify" vertical="center" wrapText="1"/>
    </xf>
    <xf numFmtId="168" fontId="55" fillId="0" borderId="12" xfId="0" applyFont="1" applyFill="1" applyBorder="1" applyAlignment="1">
      <alignment horizontal="justify" vertical="center" wrapText="1"/>
    </xf>
    <xf numFmtId="0" fontId="55" fillId="0" borderId="12" xfId="0" applyNumberFormat="1" applyFont="1" applyFill="1" applyBorder="1" applyAlignment="1">
      <alignment horizontal="center" vertical="center" wrapText="1"/>
    </xf>
    <xf numFmtId="1" fontId="2" fillId="0" borderId="2" xfId="4" applyNumberFormat="1" applyFont="1" applyFill="1" applyBorder="1">
      <alignment horizontal="center" vertical="center" wrapText="1"/>
    </xf>
    <xf numFmtId="43" fontId="0" fillId="0" borderId="6" xfId="1" applyFont="1" applyBorder="1" applyAlignment="1">
      <alignment vertical="center"/>
    </xf>
    <xf numFmtId="43" fontId="0" fillId="0" borderId="62" xfId="1" applyFont="1" applyBorder="1" applyAlignment="1">
      <alignment vertical="center"/>
    </xf>
    <xf numFmtId="43" fontId="49" fillId="63" borderId="46" xfId="1" applyFont="1" applyFill="1" applyBorder="1" applyAlignment="1">
      <alignment vertical="center" wrapText="1"/>
    </xf>
    <xf numFmtId="43" fontId="0" fillId="0" borderId="4" xfId="1" applyFont="1" applyBorder="1" applyAlignment="1">
      <alignment vertical="center"/>
    </xf>
    <xf numFmtId="43" fontId="49" fillId="63" borderId="45" xfId="1" applyFont="1" applyFill="1" applyBorder="1" applyAlignment="1">
      <alignment vertical="center" wrapText="1"/>
    </xf>
    <xf numFmtId="43" fontId="0" fillId="0" borderId="63" xfId="1" applyFont="1" applyBorder="1" applyAlignment="1">
      <alignment vertical="center"/>
    </xf>
    <xf numFmtId="43" fontId="49" fillId="62" borderId="45" xfId="1" applyFont="1" applyFill="1" applyBorder="1" applyAlignment="1">
      <alignment vertical="center" wrapText="1"/>
    </xf>
    <xf numFmtId="43" fontId="0" fillId="0" borderId="2" xfId="1" applyFont="1" applyBorder="1" applyAlignment="1">
      <alignment vertical="center"/>
    </xf>
    <xf numFmtId="43" fontId="0" fillId="0" borderId="41" xfId="1" applyFont="1" applyBorder="1" applyAlignment="1">
      <alignment vertical="center"/>
    </xf>
    <xf numFmtId="43" fontId="0" fillId="0" borderId="11" xfId="1" applyFont="1" applyBorder="1" applyAlignment="1">
      <alignment vertical="center"/>
    </xf>
    <xf numFmtId="43" fontId="0" fillId="0" borderId="57" xfId="1" applyFont="1" applyBorder="1" applyAlignment="1">
      <alignment vertical="center"/>
    </xf>
    <xf numFmtId="1" fontId="2" fillId="0" borderId="2" xfId="0" applyNumberFormat="1" applyFont="1" applyFill="1" applyBorder="1" applyAlignment="1" applyProtection="1">
      <alignment horizontal="center" vertical="center" wrapText="1"/>
      <protection locked="0"/>
    </xf>
    <xf numFmtId="2" fontId="2" fillId="0" borderId="2" xfId="5" applyNumberFormat="1" applyFont="1" applyFill="1" applyBorder="1" applyAlignment="1">
      <alignment horizontal="center" vertical="center" wrapText="1"/>
    </xf>
    <xf numFmtId="1" fontId="2" fillId="0" borderId="2" xfId="7" applyNumberFormat="1" applyFont="1" applyFill="1" applyBorder="1">
      <alignment horizontal="center" vertical="center" wrapText="1"/>
    </xf>
    <xf numFmtId="179" fontId="2" fillId="0" borderId="2" xfId="7" applyNumberFormat="1" applyFont="1" applyFill="1" applyBorder="1">
      <alignment horizontal="center" vertical="center" wrapText="1"/>
    </xf>
    <xf numFmtId="168" fontId="2" fillId="0" borderId="2" xfId="4" applyFont="1" applyFill="1" applyBorder="1" applyAlignment="1">
      <alignment horizontal="justify" vertical="center" wrapText="1"/>
    </xf>
    <xf numFmtId="2" fontId="2" fillId="0" borderId="2" xfId="7" applyNumberFormat="1" applyFont="1" applyFill="1" applyBorder="1">
      <alignment horizontal="center" vertical="center" wrapText="1"/>
    </xf>
    <xf numFmtId="1" fontId="2" fillId="0" borderId="2" xfId="11" applyNumberFormat="1" applyFont="1" applyFill="1" applyBorder="1" applyAlignment="1">
      <alignment horizontal="center" vertical="center"/>
    </xf>
    <xf numFmtId="1" fontId="2" fillId="0" borderId="2" xfId="5" applyNumberFormat="1" applyFont="1" applyFill="1" applyBorder="1" applyAlignment="1">
      <alignment horizontal="center" vertical="center"/>
    </xf>
    <xf numFmtId="0" fontId="2" fillId="0" borderId="2" xfId="0" applyNumberFormat="1" applyFont="1" applyFill="1" applyBorder="1" applyAlignment="1">
      <alignment vertical="center" wrapText="1"/>
    </xf>
    <xf numFmtId="0" fontId="2" fillId="0" borderId="2" xfId="0" applyNumberFormat="1" applyFont="1" applyFill="1" applyBorder="1" applyAlignment="1" applyProtection="1">
      <alignment horizontal="center" vertical="center"/>
      <protection locked="0"/>
    </xf>
    <xf numFmtId="168" fontId="3" fillId="0" borderId="0" xfId="0" applyFont="1" applyBorder="1" applyAlignment="1">
      <alignment horizontal="center" vertical="center" wrapText="1"/>
    </xf>
    <xf numFmtId="180" fontId="2" fillId="0" borderId="2" xfId="5" applyNumberFormat="1" applyFont="1" applyFill="1" applyBorder="1" applyAlignment="1">
      <alignment horizontal="center" vertical="center" wrapText="1"/>
    </xf>
    <xf numFmtId="0" fontId="4" fillId="60" borderId="3" xfId="0" applyNumberFormat="1" applyFont="1" applyFill="1" applyBorder="1" applyAlignment="1">
      <alignment horizontal="center" vertical="center" wrapText="1"/>
    </xf>
    <xf numFmtId="43" fontId="2" fillId="0" borderId="6" xfId="1" applyFont="1" applyFill="1" applyBorder="1" applyAlignment="1">
      <alignment horizontal="center" vertical="center"/>
    </xf>
    <xf numFmtId="43" fontId="2" fillId="0" borderId="6" xfId="1" applyFont="1" applyFill="1" applyBorder="1" applyAlignment="1">
      <alignment vertical="center"/>
    </xf>
    <xf numFmtId="43" fontId="2" fillId="0" borderId="6" xfId="1" applyFont="1" applyFill="1" applyBorder="1" applyAlignment="1">
      <alignment horizontal="right" vertical="center"/>
    </xf>
    <xf numFmtId="43" fontId="2" fillId="0" borderId="6" xfId="1" applyFont="1" applyFill="1" applyBorder="1" applyAlignment="1">
      <alignment horizontal="right" vertical="center" wrapText="1"/>
    </xf>
    <xf numFmtId="43" fontId="2" fillId="0" borderId="6" xfId="1" applyFont="1" applyFill="1" applyBorder="1" applyAlignment="1">
      <alignment horizontal="center" vertical="center" wrapText="1"/>
    </xf>
    <xf numFmtId="43" fontId="2" fillId="0" borderId="6" xfId="1" applyFont="1" applyFill="1" applyBorder="1" applyAlignment="1">
      <alignment horizontal="justify" vertical="center"/>
    </xf>
    <xf numFmtId="43" fontId="2" fillId="0" borderId="14" xfId="1" applyFont="1" applyFill="1" applyBorder="1" applyAlignment="1">
      <alignment vertical="center" wrapText="1"/>
    </xf>
    <xf numFmtId="43" fontId="2" fillId="0" borderId="4" xfId="1" applyFont="1" applyFill="1" applyBorder="1" applyAlignment="1">
      <alignment horizontal="center" vertical="center" wrapText="1"/>
    </xf>
    <xf numFmtId="43" fontId="2" fillId="0" borderId="8" xfId="1" applyFont="1" applyFill="1" applyBorder="1" applyAlignment="1">
      <alignment horizontal="justify" vertical="center"/>
    </xf>
    <xf numFmtId="43" fontId="2" fillId="0" borderId="8" xfId="1" applyFont="1" applyFill="1" applyBorder="1"/>
    <xf numFmtId="43" fontId="2" fillId="0" borderId="8" xfId="1" applyFont="1" applyFill="1" applyBorder="1" applyAlignment="1">
      <alignment horizontal="right" vertical="center" wrapText="1"/>
    </xf>
    <xf numFmtId="43" fontId="3" fillId="0" borderId="8" xfId="1" applyFont="1" applyFill="1" applyBorder="1" applyAlignment="1">
      <alignment vertical="center"/>
    </xf>
    <xf numFmtId="43" fontId="2" fillId="0" borderId="8" xfId="1" applyFont="1" applyFill="1" applyBorder="1" applyAlignment="1">
      <alignment horizontal="center" vertical="center" wrapText="1"/>
    </xf>
    <xf numFmtId="43" fontId="2" fillId="0" borderId="8" xfId="1" applyFont="1" applyFill="1" applyBorder="1" applyAlignment="1">
      <alignment vertical="center"/>
    </xf>
    <xf numFmtId="43" fontId="2" fillId="0" borderId="8" xfId="1" applyFont="1" applyFill="1" applyBorder="1" applyAlignment="1">
      <alignment horizontal="center" vertical="center"/>
    </xf>
    <xf numFmtId="43" fontId="2" fillId="0" borderId="20" xfId="1" applyFont="1" applyFill="1" applyBorder="1" applyAlignment="1">
      <alignment horizontal="justify" vertical="center"/>
    </xf>
    <xf numFmtId="43" fontId="2" fillId="0" borderId="17" xfId="1" applyFont="1" applyFill="1" applyBorder="1" applyAlignment="1">
      <alignment horizontal="justify" vertical="center"/>
    </xf>
    <xf numFmtId="180" fontId="2" fillId="0" borderId="2" xfId="4" applyNumberFormat="1" applyFont="1" applyFill="1" applyBorder="1">
      <alignment horizontal="center" vertical="center" wrapText="1"/>
    </xf>
    <xf numFmtId="2" fontId="2" fillId="0" borderId="2" xfId="4" applyNumberFormat="1" applyFont="1" applyFill="1" applyBorder="1">
      <alignment horizontal="center" vertical="center" wrapText="1"/>
    </xf>
    <xf numFmtId="179" fontId="2" fillId="0" borderId="2" xfId="4" applyNumberFormat="1" applyFont="1" applyFill="1" applyBorder="1">
      <alignment horizontal="center" vertical="center" wrapText="1"/>
    </xf>
    <xf numFmtId="0" fontId="2" fillId="0" borderId="12" xfId="7" applyFont="1" applyFill="1" applyBorder="1" applyAlignment="1">
      <alignment horizontal="justify" vertical="center" wrapText="1"/>
    </xf>
    <xf numFmtId="0" fontId="2" fillId="0" borderId="12" xfId="7" applyNumberFormat="1" applyFont="1" applyFill="1" applyBorder="1">
      <alignment horizontal="center" vertical="center" wrapText="1"/>
    </xf>
    <xf numFmtId="1" fontId="2" fillId="0" borderId="12" xfId="4" applyNumberFormat="1" applyFont="1" applyFill="1" applyBorder="1">
      <alignment horizontal="center" vertical="center" wrapText="1"/>
    </xf>
    <xf numFmtId="1" fontId="2" fillId="0" borderId="12" xfId="0" applyNumberFormat="1" applyFont="1" applyFill="1" applyBorder="1" applyAlignment="1">
      <alignment horizontal="center" vertical="center" wrapText="1"/>
    </xf>
    <xf numFmtId="49" fontId="2" fillId="0" borderId="12" xfId="0" applyNumberFormat="1" applyFont="1" applyFill="1" applyBorder="1" applyAlignment="1">
      <alignment horizontal="justify" vertical="center" wrapText="1"/>
    </xf>
    <xf numFmtId="168" fontId="59" fillId="0" borderId="0" xfId="0" applyFont="1" applyAlignment="1">
      <alignment horizontal="center" vertical="center"/>
    </xf>
    <xf numFmtId="43" fontId="2" fillId="0" borderId="0" xfId="1" applyFont="1" applyFill="1" applyAlignment="1">
      <alignment vertical="center"/>
    </xf>
    <xf numFmtId="43" fontId="2" fillId="0" borderId="12" xfId="1" applyFont="1" applyFill="1" applyBorder="1" applyAlignment="1">
      <alignment horizontal="justify" vertical="center"/>
    </xf>
    <xf numFmtId="43" fontId="2" fillId="0" borderId="12" xfId="1" applyFont="1" applyFill="1" applyBorder="1" applyAlignment="1">
      <alignment horizontal="center" vertical="center" wrapText="1"/>
    </xf>
    <xf numFmtId="43" fontId="2" fillId="0" borderId="15" xfId="1" applyFont="1" applyFill="1" applyBorder="1" applyAlignment="1">
      <alignment horizontal="justify" vertical="center"/>
    </xf>
    <xf numFmtId="43" fontId="2" fillId="0" borderId="14" xfId="1" applyFont="1" applyFill="1" applyBorder="1" applyAlignment="1">
      <alignment horizontal="justify" vertical="center"/>
    </xf>
    <xf numFmtId="43" fontId="2" fillId="0" borderId="12" xfId="1" applyFont="1" applyFill="1" applyBorder="1" applyAlignment="1">
      <alignment vertical="center" wrapText="1"/>
    </xf>
    <xf numFmtId="4" fontId="2" fillId="0" borderId="2" xfId="0" applyNumberFormat="1" applyFont="1" applyFill="1" applyBorder="1" applyAlignment="1">
      <alignment horizontal="justify" vertical="center" wrapText="1"/>
    </xf>
    <xf numFmtId="167" fontId="2" fillId="0" borderId="2" xfId="0" applyNumberFormat="1" applyFont="1" applyFill="1" applyBorder="1" applyAlignment="1">
      <alignment horizontal="justify" vertical="center" wrapText="1"/>
    </xf>
    <xf numFmtId="168" fontId="0" fillId="0" borderId="2" xfId="0" applyFill="1" applyBorder="1" applyAlignment="1">
      <alignment horizontal="justify" vertical="center" wrapText="1"/>
    </xf>
    <xf numFmtId="172" fontId="2" fillId="0" borderId="2" xfId="2" applyNumberFormat="1" applyFont="1" applyFill="1" applyBorder="1" applyAlignment="1">
      <alignment horizontal="justify" vertical="center" wrapText="1"/>
    </xf>
    <xf numFmtId="0" fontId="2" fillId="0" borderId="12" xfId="4" applyNumberFormat="1" applyFont="1" applyFill="1" applyBorder="1" applyAlignment="1">
      <alignment horizontal="justify" vertical="center" wrapText="1"/>
    </xf>
    <xf numFmtId="170" fontId="60" fillId="70" borderId="6" xfId="101" applyNumberFormat="1" applyFont="1" applyFill="1" applyBorder="1" applyAlignment="1">
      <alignment vertical="center" wrapText="1"/>
    </xf>
    <xf numFmtId="170" fontId="60" fillId="70" borderId="8" xfId="101" applyNumberFormat="1" applyFont="1" applyFill="1" applyBorder="1" applyAlignment="1">
      <alignment vertical="center" wrapText="1"/>
    </xf>
    <xf numFmtId="170" fontId="60" fillId="70" borderId="2" xfId="101" applyNumberFormat="1" applyFont="1" applyFill="1" applyBorder="1" applyAlignment="1">
      <alignment horizontal="center" vertical="center" wrapText="1"/>
    </xf>
    <xf numFmtId="170" fontId="61" fillId="70" borderId="2" xfId="101" applyNumberFormat="1" applyFont="1" applyFill="1" applyBorder="1" applyAlignment="1">
      <alignment horizontal="center" vertical="center" wrapText="1"/>
    </xf>
    <xf numFmtId="167" fontId="60" fillId="70" borderId="2" xfId="101" applyNumberFormat="1" applyFont="1" applyFill="1" applyBorder="1" applyAlignment="1">
      <alignment horizontal="center" vertical="center" wrapText="1"/>
    </xf>
    <xf numFmtId="0" fontId="62" fillId="70" borderId="6" xfId="92" applyFont="1" applyFill="1" applyBorder="1" applyAlignment="1">
      <alignment horizontal="left" vertical="center"/>
    </xf>
    <xf numFmtId="0" fontId="62" fillId="70" borderId="8" xfId="92" applyFont="1" applyFill="1" applyBorder="1" applyAlignment="1">
      <alignment horizontal="left" vertical="center"/>
    </xf>
    <xf numFmtId="167" fontId="62" fillId="70" borderId="2" xfId="101" applyNumberFormat="1" applyFont="1" applyFill="1" applyBorder="1" applyAlignment="1">
      <alignment vertical="center"/>
    </xf>
    <xf numFmtId="9" fontId="62" fillId="70" borderId="2" xfId="94" applyFont="1" applyFill="1" applyBorder="1" applyAlignment="1">
      <alignment horizontal="center" vertical="center"/>
    </xf>
    <xf numFmtId="9" fontId="62" fillId="70" borderId="2" xfId="94" applyNumberFormat="1" applyFont="1" applyFill="1" applyBorder="1" applyAlignment="1">
      <alignment horizontal="center" vertical="center"/>
    </xf>
    <xf numFmtId="9" fontId="62" fillId="70" borderId="2" xfId="387" applyNumberFormat="1" applyFont="1" applyFill="1" applyBorder="1" applyAlignment="1">
      <alignment horizontal="center" vertical="center"/>
    </xf>
    <xf numFmtId="43" fontId="2" fillId="0" borderId="6" xfId="1" applyFont="1" applyFill="1" applyBorder="1"/>
    <xf numFmtId="43" fontId="3" fillId="0" borderId="6" xfId="1" applyFont="1" applyFill="1" applyBorder="1" applyAlignment="1">
      <alignment vertical="center"/>
    </xf>
    <xf numFmtId="43" fontId="2" fillId="0" borderId="6" xfId="1" applyFont="1" applyFill="1" applyBorder="1" applyAlignment="1">
      <alignment vertical="center" wrapText="1"/>
    </xf>
    <xf numFmtId="43" fontId="2" fillId="0" borderId="4" xfId="1" applyFont="1" applyFill="1" applyBorder="1" applyAlignment="1">
      <alignment horizontal="justify" vertical="center"/>
    </xf>
    <xf numFmtId="43" fontId="2" fillId="0" borderId="8" xfId="1" applyFont="1" applyFill="1" applyBorder="1" applyAlignment="1">
      <alignment horizontal="left" vertical="center"/>
    </xf>
    <xf numFmtId="43" fontId="48" fillId="0" borderId="8" xfId="1" applyFont="1" applyFill="1" applyBorder="1" applyAlignment="1">
      <alignment horizontal="center" vertical="center" wrapText="1"/>
    </xf>
    <xf numFmtId="43" fontId="2" fillId="0" borderId="15" xfId="1" applyFont="1" applyFill="1" applyBorder="1" applyAlignment="1">
      <alignment horizontal="center" vertical="center" wrapText="1"/>
    </xf>
    <xf numFmtId="43" fontId="2" fillId="0" borderId="10" xfId="1" applyFont="1" applyFill="1" applyBorder="1"/>
    <xf numFmtId="43" fontId="2" fillId="0" borderId="15" xfId="1" applyFont="1" applyFill="1" applyBorder="1" applyAlignment="1">
      <alignment vertical="center"/>
    </xf>
    <xf numFmtId="43" fontId="2" fillId="0" borderId="15" xfId="1" applyFont="1" applyFill="1" applyBorder="1" applyAlignment="1">
      <alignment horizontal="left" vertical="center"/>
    </xf>
    <xf numFmtId="0" fontId="2" fillId="0" borderId="16" xfId="0" applyNumberFormat="1" applyFont="1" applyFill="1" applyBorder="1" applyAlignment="1">
      <alignment horizontal="center" vertical="center" wrapText="1"/>
    </xf>
    <xf numFmtId="0" fontId="2" fillId="0" borderId="19" xfId="0" applyNumberFormat="1" applyFont="1" applyFill="1" applyBorder="1" applyAlignment="1">
      <alignment vertical="center"/>
    </xf>
    <xf numFmtId="0" fontId="2" fillId="0" borderId="2" xfId="0" applyNumberFormat="1" applyFont="1" applyFill="1" applyBorder="1" applyAlignment="1">
      <alignment vertical="center"/>
    </xf>
    <xf numFmtId="9" fontId="3" fillId="0" borderId="64" xfId="92" applyNumberFormat="1" applyFont="1" applyFill="1" applyBorder="1" applyAlignment="1" applyProtection="1">
      <alignment horizontal="center" vertical="center"/>
      <protection locked="0"/>
    </xf>
    <xf numFmtId="0" fontId="4" fillId="62" borderId="6" xfId="0" applyNumberFormat="1" applyFont="1" applyFill="1" applyBorder="1" applyAlignment="1">
      <alignment horizontal="center" vertical="center" wrapText="1"/>
    </xf>
    <xf numFmtId="168" fontId="4" fillId="62" borderId="2" xfId="0" applyFont="1" applyFill="1" applyBorder="1" applyAlignment="1">
      <alignment horizontal="center" vertical="center" wrapText="1"/>
    </xf>
    <xf numFmtId="0" fontId="4" fillId="60" borderId="41" xfId="0" applyNumberFormat="1" applyFont="1" applyFill="1" applyBorder="1" applyAlignment="1">
      <alignment horizontal="center" vertical="center" wrapText="1"/>
    </xf>
    <xf numFmtId="9" fontId="3" fillId="61" borderId="12" xfId="387" applyFont="1" applyFill="1" applyBorder="1" applyAlignment="1">
      <alignment horizontal="center" vertical="center"/>
    </xf>
    <xf numFmtId="9" fontId="3" fillId="61" borderId="52" xfId="387" applyFont="1" applyFill="1" applyBorder="1" applyAlignment="1">
      <alignment horizontal="center" vertical="center"/>
    </xf>
    <xf numFmtId="9" fontId="2" fillId="0" borderId="0" xfId="387" applyFont="1" applyBorder="1" applyAlignment="1">
      <alignment horizontal="center"/>
    </xf>
    <xf numFmtId="9" fontId="2" fillId="0" borderId="20" xfId="387" applyFont="1" applyBorder="1" applyAlignment="1">
      <alignment horizontal="center"/>
    </xf>
    <xf numFmtId="9" fontId="2" fillId="0" borderId="2" xfId="387" applyFont="1" applyFill="1" applyBorder="1" applyAlignment="1">
      <alignment horizontal="left" vertical="center"/>
    </xf>
    <xf numFmtId="9" fontId="2" fillId="0" borderId="0" xfId="387" applyFont="1" applyAlignment="1">
      <alignment horizontal="center"/>
    </xf>
    <xf numFmtId="9" fontId="3" fillId="0" borderId="0" xfId="387" applyFont="1" applyFill="1" applyAlignment="1">
      <alignment horizontal="center"/>
    </xf>
    <xf numFmtId="9" fontId="3" fillId="62" borderId="48" xfId="387" applyFont="1" applyFill="1" applyBorder="1" applyAlignment="1">
      <alignment horizontal="center" vertical="center"/>
    </xf>
    <xf numFmtId="9" fontId="3" fillId="60" borderId="12" xfId="387" applyFont="1" applyFill="1" applyBorder="1" applyAlignment="1">
      <alignment horizontal="center" vertical="center"/>
    </xf>
    <xf numFmtId="9" fontId="2" fillId="0" borderId="12" xfId="387" applyFont="1" applyFill="1" applyBorder="1" applyAlignment="1">
      <alignment horizontal="center" vertical="center"/>
    </xf>
    <xf numFmtId="9" fontId="2" fillId="0" borderId="22" xfId="387" applyFont="1" applyFill="1" applyBorder="1" applyAlignment="1">
      <alignment horizontal="center" vertical="center"/>
    </xf>
    <xf numFmtId="9" fontId="2" fillId="0" borderId="0" xfId="387" applyFont="1" applyBorder="1" applyAlignment="1">
      <alignment horizontal="center" vertical="center" wrapText="1"/>
    </xf>
    <xf numFmtId="9" fontId="3" fillId="60" borderId="18" xfId="387" applyFont="1" applyFill="1" applyBorder="1" applyAlignment="1">
      <alignment horizontal="center" vertical="center"/>
    </xf>
    <xf numFmtId="9" fontId="3" fillId="6" borderId="12" xfId="387" applyFont="1" applyFill="1" applyBorder="1" applyAlignment="1">
      <alignment horizontal="center" vertical="center"/>
    </xf>
    <xf numFmtId="9" fontId="2" fillId="0" borderId="2" xfId="387" applyFont="1" applyFill="1" applyBorder="1" applyAlignment="1">
      <alignment horizontal="center" vertical="center"/>
    </xf>
    <xf numFmtId="9" fontId="3" fillId="60" borderId="12" xfId="387" applyFont="1" applyFill="1" applyBorder="1" applyAlignment="1">
      <alignment horizontal="center" vertical="center" wrapText="1"/>
    </xf>
    <xf numFmtId="9" fontId="2" fillId="0" borderId="12" xfId="387" applyFont="1" applyBorder="1" applyAlignment="1">
      <alignment horizontal="center" vertical="center"/>
    </xf>
    <xf numFmtId="9" fontId="3" fillId="61" borderId="22" xfId="387" applyFont="1" applyFill="1" applyBorder="1" applyAlignment="1">
      <alignment horizontal="center" vertical="center"/>
    </xf>
    <xf numFmtId="9" fontId="2" fillId="0" borderId="18" xfId="387" applyFont="1" applyFill="1" applyBorder="1" applyAlignment="1">
      <alignment horizontal="center" vertical="center"/>
    </xf>
    <xf numFmtId="9" fontId="2" fillId="0" borderId="15" xfId="387" applyFont="1" applyFill="1" applyBorder="1" applyAlignment="1">
      <alignment horizontal="center" vertical="center"/>
    </xf>
    <xf numFmtId="0" fontId="2" fillId="68" borderId="67" xfId="389" applyNumberFormat="1" applyFont="1" applyFill="1" applyBorder="1" applyAlignment="1">
      <alignment horizontal="left" vertical="center" wrapText="1"/>
    </xf>
    <xf numFmtId="0" fontId="2" fillId="65" borderId="67" xfId="389" applyNumberFormat="1" applyFont="1" applyFill="1" applyBorder="1" applyAlignment="1">
      <alignment horizontal="left" vertical="center" wrapText="1"/>
    </xf>
    <xf numFmtId="0" fontId="2" fillId="66" borderId="67" xfId="389" applyNumberFormat="1" applyFont="1" applyFill="1" applyBorder="1" applyAlignment="1">
      <alignment horizontal="left" vertical="center" wrapText="1"/>
    </xf>
    <xf numFmtId="0" fontId="2" fillId="67" borderId="67" xfId="389" applyNumberFormat="1" applyFont="1" applyFill="1" applyBorder="1" applyAlignment="1">
      <alignment horizontal="left" vertical="center" wrapText="1"/>
    </xf>
    <xf numFmtId="0" fontId="2" fillId="68" borderId="69" xfId="389" applyNumberFormat="1" applyFont="1" applyFill="1" applyBorder="1" applyAlignment="1">
      <alignment vertical="center" wrapText="1"/>
    </xf>
    <xf numFmtId="0" fontId="2" fillId="65" borderId="69" xfId="389" applyNumberFormat="1" applyFont="1" applyFill="1" applyBorder="1" applyAlignment="1">
      <alignment vertical="center" wrapText="1"/>
    </xf>
    <xf numFmtId="0" fontId="2" fillId="66" borderId="69" xfId="389" applyNumberFormat="1" applyFont="1" applyFill="1" applyBorder="1" applyAlignment="1">
      <alignment vertical="center" wrapText="1"/>
    </xf>
    <xf numFmtId="0" fontId="2" fillId="67" borderId="69" xfId="389" applyNumberFormat="1" applyFont="1" applyFill="1" applyBorder="1" applyAlignment="1">
      <alignment vertical="center" wrapText="1"/>
    </xf>
    <xf numFmtId="0" fontId="2" fillId="69" borderId="70" xfId="389" applyNumberFormat="1" applyFont="1" applyFill="1" applyBorder="1" applyAlignment="1">
      <alignment horizontal="left" vertical="center" wrapText="1"/>
    </xf>
    <xf numFmtId="0" fontId="2" fillId="69" borderId="71" xfId="389" applyNumberFormat="1" applyFont="1" applyFill="1" applyBorder="1" applyAlignment="1">
      <alignment vertical="center" wrapText="1"/>
    </xf>
    <xf numFmtId="9" fontId="3" fillId="0" borderId="48" xfId="92" applyNumberFormat="1" applyFont="1" applyFill="1" applyBorder="1" applyAlignment="1" applyProtection="1">
      <alignment horizontal="center" vertical="center"/>
      <protection locked="0"/>
    </xf>
    <xf numFmtId="9" fontId="2" fillId="0" borderId="72" xfId="387" applyFont="1" applyFill="1" applyBorder="1" applyAlignment="1">
      <alignment horizontal="center" vertical="center"/>
    </xf>
    <xf numFmtId="43" fontId="3" fillId="60" borderId="14" xfId="1" applyFont="1" applyFill="1" applyBorder="1" applyAlignment="1">
      <alignment horizontal="left" vertical="center"/>
    </xf>
    <xf numFmtId="43" fontId="3" fillId="60" borderId="15" xfId="1" applyFont="1" applyFill="1" applyBorder="1" applyAlignment="1">
      <alignment horizontal="left" vertical="center"/>
    </xf>
    <xf numFmtId="9" fontId="2" fillId="0" borderId="0" xfId="387" applyFont="1" applyBorder="1" applyAlignment="1">
      <alignment horizontal="center" vertical="center"/>
    </xf>
    <xf numFmtId="9" fontId="2" fillId="0" borderId="20" xfId="387" applyFont="1" applyBorder="1" applyAlignment="1">
      <alignment horizontal="center" vertical="center"/>
    </xf>
    <xf numFmtId="9" fontId="2" fillId="0" borderId="0" xfId="387" applyFont="1" applyAlignment="1">
      <alignment horizontal="center" vertical="center"/>
    </xf>
    <xf numFmtId="9" fontId="3" fillId="0" borderId="0" xfId="387" applyFont="1" applyFill="1" applyAlignment="1">
      <alignment horizontal="center" vertical="center"/>
    </xf>
    <xf numFmtId="0" fontId="3" fillId="62" borderId="2" xfId="0" applyNumberFormat="1" applyFont="1" applyFill="1" applyBorder="1" applyAlignment="1">
      <alignment horizontal="left" vertical="center" wrapText="1"/>
    </xf>
    <xf numFmtId="9" fontId="3" fillId="62" borderId="64" xfId="92" applyNumberFormat="1" applyFont="1" applyFill="1" applyBorder="1" applyAlignment="1" applyProtection="1">
      <alignment horizontal="center" vertical="center"/>
      <protection locked="0"/>
    </xf>
    <xf numFmtId="9" fontId="3" fillId="62" borderId="2" xfId="387" applyFont="1" applyFill="1" applyBorder="1" applyAlignment="1">
      <alignment horizontal="center" vertical="center" wrapText="1"/>
    </xf>
    <xf numFmtId="9" fontId="2" fillId="0" borderId="2" xfId="387" applyFont="1" applyFill="1" applyBorder="1" applyAlignment="1">
      <alignment horizontal="center" vertical="center" wrapText="1"/>
    </xf>
    <xf numFmtId="9" fontId="3" fillId="70" borderId="2" xfId="92" applyNumberFormat="1" applyFont="1" applyFill="1" applyBorder="1" applyAlignment="1" applyProtection="1">
      <alignment horizontal="center" vertical="center"/>
      <protection locked="0"/>
    </xf>
    <xf numFmtId="0" fontId="3" fillId="0" borderId="73" xfId="389" applyNumberFormat="1" applyFont="1" applyBorder="1" applyAlignment="1">
      <alignment vertical="center" wrapText="1"/>
    </xf>
    <xf numFmtId="0" fontId="2" fillId="68" borderId="74" xfId="389" applyNumberFormat="1" applyFont="1" applyFill="1" applyBorder="1" applyAlignment="1">
      <alignment vertical="center" wrapText="1"/>
    </xf>
    <xf numFmtId="0" fontId="2" fillId="65" borderId="74" xfId="389" applyNumberFormat="1" applyFont="1" applyFill="1" applyBorder="1" applyAlignment="1">
      <alignment horizontal="left" vertical="center" wrapText="1"/>
    </xf>
    <xf numFmtId="0" fontId="2" fillId="66" borderId="74" xfId="389" applyNumberFormat="1" applyFont="1" applyFill="1" applyBorder="1" applyAlignment="1">
      <alignment horizontal="left" vertical="center" wrapText="1"/>
    </xf>
    <xf numFmtId="0" fontId="2" fillId="67" borderId="74" xfId="389" applyNumberFormat="1" applyFont="1" applyFill="1" applyBorder="1" applyAlignment="1">
      <alignment horizontal="left" vertical="center" wrapText="1"/>
    </xf>
    <xf numFmtId="0" fontId="2" fillId="69" borderId="75" xfId="389" applyNumberFormat="1" applyFont="1" applyFill="1" applyBorder="1" applyAlignment="1">
      <alignment horizontal="left" vertical="center" wrapText="1"/>
    </xf>
    <xf numFmtId="9" fontId="0" fillId="0" borderId="0" xfId="387" applyFont="1"/>
    <xf numFmtId="9" fontId="0" fillId="0" borderId="6" xfId="387" applyFont="1" applyBorder="1" applyAlignment="1">
      <alignment horizontal="center" vertical="center"/>
    </xf>
    <xf numFmtId="9" fontId="0" fillId="0" borderId="62" xfId="387" applyFont="1" applyBorder="1" applyAlignment="1">
      <alignment horizontal="center" vertical="center"/>
    </xf>
    <xf numFmtId="9" fontId="49" fillId="63" borderId="46" xfId="387" applyFont="1" applyFill="1" applyBorder="1" applyAlignment="1">
      <alignment horizontal="center" vertical="center" wrapText="1"/>
    </xf>
    <xf numFmtId="9" fontId="0" fillId="0" borderId="4" xfId="387" applyFont="1" applyBorder="1" applyAlignment="1">
      <alignment horizontal="center" vertical="center"/>
    </xf>
    <xf numFmtId="9" fontId="0" fillId="0" borderId="63" xfId="387" applyFont="1" applyBorder="1" applyAlignment="1">
      <alignment horizontal="center" vertical="center"/>
    </xf>
    <xf numFmtId="9" fontId="49" fillId="62" borderId="45" xfId="387" applyFont="1" applyFill="1" applyBorder="1" applyAlignment="1">
      <alignment horizontal="center" vertical="center" wrapText="1"/>
    </xf>
    <xf numFmtId="9" fontId="0" fillId="0" borderId="0" xfId="387" applyFont="1" applyAlignment="1">
      <alignment horizontal="center" vertical="center"/>
    </xf>
    <xf numFmtId="43" fontId="3" fillId="61" borderId="18" xfId="1" applyFont="1" applyFill="1" applyBorder="1" applyAlignment="1">
      <alignment horizontal="center" vertical="center"/>
    </xf>
    <xf numFmtId="9" fontId="3" fillId="61" borderId="18" xfId="387" applyFont="1" applyFill="1" applyBorder="1" applyAlignment="1">
      <alignment horizontal="center" vertical="center"/>
    </xf>
    <xf numFmtId="9" fontId="3" fillId="0" borderId="11" xfId="92" applyNumberFormat="1" applyFont="1" applyFill="1" applyBorder="1" applyAlignment="1" applyProtection="1">
      <alignment horizontal="center" vertical="center"/>
      <protection locked="0"/>
    </xf>
    <xf numFmtId="43" fontId="3" fillId="61" borderId="76" xfId="1" applyFont="1" applyFill="1" applyBorder="1" applyAlignment="1">
      <alignment horizontal="center" vertical="center"/>
    </xf>
    <xf numFmtId="9" fontId="3" fillId="61" borderId="77" xfId="387" applyFont="1" applyFill="1" applyBorder="1" applyAlignment="1">
      <alignment horizontal="center" vertical="center"/>
    </xf>
    <xf numFmtId="43" fontId="3" fillId="62" borderId="2" xfId="1" applyFont="1" applyFill="1" applyBorder="1" applyAlignment="1">
      <alignment horizontal="center" vertical="center" wrapText="1"/>
    </xf>
    <xf numFmtId="0" fontId="3" fillId="61" borderId="18" xfId="0" applyNumberFormat="1" applyFont="1" applyFill="1" applyBorder="1" applyAlignment="1">
      <alignment horizontal="left" vertical="center"/>
    </xf>
    <xf numFmtId="0" fontId="3" fillId="61" borderId="18" xfId="0" applyNumberFormat="1" applyFont="1" applyFill="1" applyBorder="1" applyAlignment="1">
      <alignment horizontal="center" vertical="center"/>
    </xf>
    <xf numFmtId="9" fontId="49" fillId="62" borderId="48" xfId="387" applyFont="1" applyFill="1" applyBorder="1" applyAlignment="1">
      <alignment vertical="center" wrapText="1"/>
    </xf>
    <xf numFmtId="168" fontId="64" fillId="0" borderId="0" xfId="0" applyFont="1"/>
    <xf numFmtId="43" fontId="4" fillId="62" borderId="41" xfId="1" applyFont="1" applyFill="1" applyBorder="1" applyAlignment="1">
      <alignment horizontal="center" vertical="center" wrapText="1"/>
    </xf>
    <xf numFmtId="168" fontId="26" fillId="0" borderId="0" xfId="0" applyFont="1"/>
    <xf numFmtId="43" fontId="49" fillId="63" borderId="48" xfId="1" applyFont="1" applyFill="1" applyBorder="1" applyAlignment="1">
      <alignment vertical="center" wrapText="1"/>
    </xf>
    <xf numFmtId="43" fontId="49" fillId="63" borderId="78" xfId="1" applyFont="1" applyFill="1" applyBorder="1" applyAlignment="1">
      <alignment vertical="center" wrapText="1"/>
    </xf>
    <xf numFmtId="9" fontId="49" fillId="63" borderId="48" xfId="387" applyFont="1" applyFill="1" applyBorder="1" applyAlignment="1">
      <alignment horizontal="center" vertical="center" wrapText="1"/>
    </xf>
    <xf numFmtId="9" fontId="49" fillId="63" borderId="48" xfId="387" applyFont="1" applyFill="1" applyBorder="1" applyAlignment="1">
      <alignment vertical="center" wrapText="1"/>
    </xf>
    <xf numFmtId="43" fontId="49" fillId="63" borderId="79" xfId="1" applyFont="1" applyFill="1" applyBorder="1" applyAlignment="1">
      <alignment vertical="center" wrapText="1"/>
    </xf>
    <xf numFmtId="168" fontId="49" fillId="62" borderId="81" xfId="0" applyFont="1" applyFill="1" applyBorder="1" applyAlignment="1">
      <alignment horizontal="center" vertical="center" wrapText="1"/>
    </xf>
    <xf numFmtId="170" fontId="4" fillId="62" borderId="41" xfId="3" applyNumberFormat="1" applyFont="1" applyFill="1" applyBorder="1" applyAlignment="1">
      <alignment horizontal="center" vertical="center" wrapText="1"/>
    </xf>
    <xf numFmtId="9" fontId="4" fillId="62" borderId="41" xfId="387" applyFont="1" applyFill="1" applyBorder="1" applyAlignment="1">
      <alignment horizontal="center" vertical="center" wrapText="1"/>
    </xf>
    <xf numFmtId="168" fontId="59" fillId="71" borderId="0" xfId="0" applyFont="1" applyFill="1" applyAlignment="1">
      <alignment horizontal="center" vertical="center"/>
    </xf>
    <xf numFmtId="1" fontId="26" fillId="64" borderId="59" xfId="1" applyNumberFormat="1" applyFont="1" applyFill="1" applyBorder="1" applyAlignment="1">
      <alignment horizontal="center" vertical="center" wrapText="1"/>
    </xf>
    <xf numFmtId="168" fontId="49" fillId="72" borderId="5" xfId="0" applyFont="1" applyFill="1" applyBorder="1" applyAlignment="1">
      <alignment horizontal="left" vertical="center" wrapText="1"/>
    </xf>
    <xf numFmtId="43" fontId="49" fillId="72" borderId="11" xfId="1" applyFont="1" applyFill="1" applyBorder="1" applyAlignment="1">
      <alignment vertical="center" wrapText="1"/>
    </xf>
    <xf numFmtId="43" fontId="49" fillId="72" borderId="5" xfId="1" applyFont="1" applyFill="1" applyBorder="1" applyAlignment="1">
      <alignment vertical="center" wrapText="1"/>
    </xf>
    <xf numFmtId="9" fontId="3" fillId="0" borderId="54" xfId="92" applyNumberFormat="1" applyFont="1" applyFill="1" applyBorder="1" applyAlignment="1" applyProtection="1">
      <alignment horizontal="center" vertical="center"/>
      <protection locked="0"/>
    </xf>
    <xf numFmtId="0" fontId="49" fillId="72" borderId="55" xfId="0" applyNumberFormat="1" applyFont="1" applyFill="1" applyBorder="1" applyAlignment="1">
      <alignment horizontal="center" vertical="center" wrapText="1"/>
    </xf>
    <xf numFmtId="0" fontId="49" fillId="72" borderId="53" xfId="0" applyNumberFormat="1" applyFont="1" applyFill="1" applyBorder="1" applyAlignment="1">
      <alignment horizontal="center" vertical="center" wrapText="1"/>
    </xf>
    <xf numFmtId="43" fontId="2" fillId="0" borderId="86" xfId="1" applyFont="1" applyFill="1" applyBorder="1" applyAlignment="1">
      <alignment horizontal="justify" vertical="center"/>
    </xf>
    <xf numFmtId="1" fontId="26" fillId="0" borderId="58" xfId="1" applyNumberFormat="1" applyFont="1" applyFill="1" applyBorder="1" applyAlignment="1">
      <alignment horizontal="center" vertical="center" wrapText="1"/>
    </xf>
    <xf numFmtId="168" fontId="49" fillId="72" borderId="5" xfId="0" applyFont="1" applyFill="1" applyBorder="1" applyAlignment="1">
      <alignment horizontal="justify" vertical="center" wrapText="1"/>
    </xf>
    <xf numFmtId="9" fontId="22" fillId="72" borderId="11" xfId="387" applyFont="1" applyFill="1" applyBorder="1" applyAlignment="1">
      <alignment horizontal="center" vertical="center"/>
    </xf>
    <xf numFmtId="9" fontId="2" fillId="2" borderId="0" xfId="387" applyFont="1" applyFill="1" applyBorder="1" applyAlignment="1">
      <alignment horizontal="center"/>
    </xf>
    <xf numFmtId="0" fontId="49" fillId="72" borderId="59" xfId="0" applyNumberFormat="1" applyFont="1" applyFill="1" applyBorder="1" applyAlignment="1">
      <alignment horizontal="center" vertical="center" wrapText="1"/>
    </xf>
    <xf numFmtId="9" fontId="49" fillId="63" borderId="87" xfId="387" applyFont="1" applyFill="1" applyBorder="1" applyAlignment="1">
      <alignment horizontal="center" vertical="center" wrapText="1"/>
    </xf>
    <xf numFmtId="170" fontId="4" fillId="62" borderId="44" xfId="3" applyNumberFormat="1" applyFont="1" applyFill="1" applyBorder="1" applyAlignment="1">
      <alignment horizontal="center" vertical="center" wrapText="1"/>
    </xf>
    <xf numFmtId="43" fontId="0" fillId="0" borderId="10" xfId="1" applyFont="1" applyBorder="1" applyAlignment="1">
      <alignment vertical="center"/>
    </xf>
    <xf numFmtId="43" fontId="0" fillId="0" borderId="8" xfId="1" applyFont="1" applyBorder="1" applyAlignment="1">
      <alignment vertical="center"/>
    </xf>
    <xf numFmtId="43" fontId="0" fillId="0" borderId="44" xfId="1" applyFont="1" applyBorder="1" applyAlignment="1">
      <alignment vertical="center"/>
    </xf>
    <xf numFmtId="43" fontId="49" fillId="63" borderId="87" xfId="1" applyFont="1" applyFill="1" applyBorder="1" applyAlignment="1">
      <alignment vertical="center" wrapText="1"/>
    </xf>
    <xf numFmtId="43" fontId="49" fillId="72" borderId="10" xfId="1" applyFont="1" applyFill="1" applyBorder="1" applyAlignment="1">
      <alignment vertical="center" wrapText="1"/>
    </xf>
    <xf numFmtId="168" fontId="49" fillId="62" borderId="89" xfId="0" applyFont="1" applyFill="1" applyBorder="1" applyAlignment="1">
      <alignment horizontal="center" vertical="center" wrapText="1"/>
    </xf>
    <xf numFmtId="9" fontId="4" fillId="62" borderId="80" xfId="387" applyFont="1" applyFill="1" applyBorder="1" applyAlignment="1">
      <alignment horizontal="center" vertical="center" wrapText="1"/>
    </xf>
    <xf numFmtId="9" fontId="22" fillId="72" borderId="84" xfId="387" applyFont="1" applyFill="1" applyBorder="1" applyAlignment="1">
      <alignment horizontal="center" vertical="center"/>
    </xf>
    <xf numFmtId="9" fontId="0" fillId="0" borderId="84" xfId="387" applyFont="1" applyBorder="1" applyAlignment="1">
      <alignment horizontal="center" vertical="center"/>
    </xf>
    <xf numFmtId="9" fontId="0" fillId="0" borderId="90" xfId="387" applyFont="1" applyBorder="1" applyAlignment="1">
      <alignment horizontal="center" vertical="center"/>
    </xf>
    <xf numFmtId="9" fontId="0" fillId="0" borderId="80" xfId="387" applyFont="1" applyBorder="1" applyAlignment="1">
      <alignment horizontal="center" vertical="center"/>
    </xf>
    <xf numFmtId="9" fontId="0" fillId="0" borderId="80" xfId="387" applyFont="1" applyBorder="1" applyAlignment="1">
      <alignment vertical="center"/>
    </xf>
    <xf numFmtId="1" fontId="26" fillId="0" borderId="85" xfId="1" applyNumberFormat="1" applyFont="1" applyBorder="1" applyAlignment="1">
      <alignment horizontal="center" vertical="center" wrapText="1"/>
    </xf>
    <xf numFmtId="168" fontId="26" fillId="0" borderId="3" xfId="0" applyFont="1" applyBorder="1" applyAlignment="1">
      <alignment horizontal="justify" vertical="center" wrapText="1"/>
    </xf>
    <xf numFmtId="43" fontId="0" fillId="0" borderId="0" xfId="1" applyFont="1" applyBorder="1" applyAlignment="1">
      <alignment vertical="center"/>
    </xf>
    <xf numFmtId="180" fontId="2" fillId="0" borderId="2" xfId="7" applyNumberFormat="1" applyFont="1" applyFill="1" applyBorder="1">
      <alignment horizontal="center" vertical="center" wrapText="1"/>
    </xf>
    <xf numFmtId="0" fontId="2" fillId="0" borderId="12" xfId="4" applyNumberFormat="1" applyFont="1" applyFill="1" applyBorder="1">
      <alignment horizontal="center" vertical="center" wrapText="1"/>
    </xf>
    <xf numFmtId="43" fontId="58" fillId="0" borderId="2" xfId="1" applyFont="1" applyFill="1" applyBorder="1" applyAlignment="1">
      <alignment horizontal="justify" vertical="center"/>
    </xf>
    <xf numFmtId="43" fontId="58" fillId="0" borderId="2" xfId="1" applyFont="1" applyFill="1" applyBorder="1" applyAlignment="1">
      <alignment vertical="center"/>
    </xf>
    <xf numFmtId="0" fontId="2" fillId="0" borderId="2" xfId="5" applyFont="1" applyFill="1" applyBorder="1" applyAlignment="1">
      <alignment horizontal="center" vertical="center" wrapText="1"/>
    </xf>
    <xf numFmtId="43" fontId="2" fillId="0" borderId="8" xfId="1" applyFont="1" applyFill="1" applyBorder="1" applyAlignment="1">
      <alignment horizontal="justify" vertical="center" wrapText="1"/>
    </xf>
    <xf numFmtId="43" fontId="2" fillId="0" borderId="8" xfId="1" applyFont="1" applyFill="1" applyBorder="1" applyAlignment="1">
      <alignment horizontal="right" vertical="center"/>
    </xf>
    <xf numFmtId="43" fontId="2" fillId="0" borderId="6" xfId="1" applyFont="1" applyFill="1" applyBorder="1" applyAlignment="1">
      <alignment horizontal="left" vertical="center" wrapText="1"/>
    </xf>
    <xf numFmtId="43" fontId="2" fillId="0" borderId="2" xfId="1" applyFont="1" applyFill="1" applyBorder="1" applyAlignment="1">
      <alignment horizontal="left" vertical="center" wrapText="1"/>
    </xf>
    <xf numFmtId="43" fontId="58" fillId="0" borderId="2" xfId="1" applyFont="1" applyFill="1" applyBorder="1" applyAlignment="1">
      <alignment horizontal="right" vertical="center" wrapText="1"/>
    </xf>
    <xf numFmtId="43" fontId="58" fillId="0" borderId="2" xfId="1" applyFont="1" applyFill="1" applyBorder="1" applyAlignment="1">
      <alignment horizontal="center" vertical="center" wrapText="1"/>
    </xf>
    <xf numFmtId="2" fontId="2" fillId="0" borderId="2" xfId="11" applyNumberFormat="1" applyFont="1" applyFill="1" applyBorder="1" applyAlignment="1">
      <alignment horizontal="center" vertical="center"/>
    </xf>
    <xf numFmtId="0" fontId="2" fillId="0" borderId="2" xfId="5" applyFont="1" applyFill="1" applyBorder="1" applyAlignment="1">
      <alignment horizontal="center" vertical="center"/>
    </xf>
    <xf numFmtId="0" fontId="2" fillId="0" borderId="2" xfId="7" applyFont="1" applyFill="1" applyBorder="1">
      <alignment horizontal="center" vertical="center" wrapText="1"/>
    </xf>
    <xf numFmtId="168" fontId="2" fillId="0" borderId="0" xfId="0" applyFont="1" applyFill="1" applyAlignment="1">
      <alignment horizontal="justify" vertical="center" wrapText="1"/>
    </xf>
    <xf numFmtId="168" fontId="2" fillId="0" borderId="0" xfId="0" applyFont="1" applyFill="1" applyAlignment="1">
      <alignment horizontal="left" vertical="center"/>
    </xf>
    <xf numFmtId="168" fontId="2" fillId="0" borderId="0" xfId="0" applyFont="1" applyFill="1" applyAlignment="1">
      <alignment horizontal="center" vertical="center" wrapText="1"/>
    </xf>
    <xf numFmtId="168" fontId="2" fillId="0" borderId="0" xfId="0" applyFont="1" applyFill="1" applyAlignment="1">
      <alignment horizontal="center"/>
    </xf>
    <xf numFmtId="1" fontId="2" fillId="0" borderId="0" xfId="0" applyNumberFormat="1" applyFont="1" applyFill="1" applyAlignment="1">
      <alignment horizontal="center" vertical="center" wrapText="1"/>
    </xf>
    <xf numFmtId="0" fontId="2" fillId="0" borderId="0" xfId="0" applyNumberFormat="1" applyFont="1" applyFill="1" applyAlignment="1">
      <alignment horizontal="left" vertical="center"/>
    </xf>
    <xf numFmtId="0" fontId="2" fillId="0" borderId="0" xfId="0" applyNumberFormat="1" applyFont="1" applyFill="1" applyAlignment="1">
      <alignment horizontal="justify" vertical="center" wrapText="1"/>
    </xf>
    <xf numFmtId="0" fontId="2" fillId="0" borderId="0" xfId="0" applyNumberFormat="1" applyFont="1" applyFill="1" applyAlignment="1">
      <alignment horizontal="center" vertical="center" wrapText="1"/>
    </xf>
    <xf numFmtId="0" fontId="2" fillId="0" borderId="0" xfId="0" applyNumberFormat="1" applyFont="1" applyFill="1" applyAlignment="1">
      <alignment horizontal="center" vertical="center"/>
    </xf>
    <xf numFmtId="168" fontId="63" fillId="0" borderId="0" xfId="0" applyFont="1" applyFill="1" applyAlignment="1">
      <alignment horizontal="center" vertical="center"/>
    </xf>
    <xf numFmtId="168" fontId="59" fillId="0" borderId="0" xfId="0" applyFont="1" applyFill="1" applyAlignment="1">
      <alignment horizontal="center" vertical="center"/>
    </xf>
    <xf numFmtId="43" fontId="2" fillId="0" borderId="2" xfId="1" applyNumberFormat="1" applyFont="1" applyFill="1" applyBorder="1" applyAlignment="1">
      <alignment horizontal="left" vertical="center"/>
    </xf>
    <xf numFmtId="43" fontId="2" fillId="0" borderId="2" xfId="1" applyNumberFormat="1" applyFont="1" applyFill="1" applyBorder="1" applyAlignment="1">
      <alignment horizontal="center" vertical="center" wrapText="1"/>
    </xf>
    <xf numFmtId="43" fontId="3" fillId="62" borderId="2" xfId="1" applyNumberFormat="1" applyFont="1" applyFill="1" applyBorder="1" applyAlignment="1">
      <alignment horizontal="center" vertical="center" wrapText="1"/>
    </xf>
    <xf numFmtId="0" fontId="4" fillId="6" borderId="41" xfId="0" applyNumberFormat="1" applyFont="1" applyFill="1" applyBorder="1" applyAlignment="1">
      <alignment horizontal="center" vertical="center" wrapText="1"/>
    </xf>
    <xf numFmtId="0" fontId="4" fillId="6" borderId="42" xfId="0" applyNumberFormat="1" applyFont="1" applyFill="1" applyBorder="1" applyAlignment="1">
      <alignment horizontal="center" vertical="center" wrapText="1"/>
    </xf>
    <xf numFmtId="0" fontId="4" fillId="6" borderId="11" xfId="0" applyNumberFormat="1" applyFont="1" applyFill="1" applyBorder="1" applyAlignment="1">
      <alignment horizontal="center" vertical="center" wrapText="1"/>
    </xf>
    <xf numFmtId="0" fontId="4" fillId="6" borderId="6" xfId="0" applyNumberFormat="1" applyFont="1" applyFill="1" applyBorder="1" applyAlignment="1">
      <alignment horizontal="center" vertical="center" wrapText="1"/>
    </xf>
    <xf numFmtId="0" fontId="4" fillId="6" borderId="7" xfId="0" applyNumberFormat="1" applyFont="1" applyFill="1" applyBorder="1" applyAlignment="1">
      <alignment horizontal="center" vertical="center" wrapText="1"/>
    </xf>
    <xf numFmtId="0" fontId="4" fillId="6" borderId="8" xfId="0" applyNumberFormat="1" applyFont="1" applyFill="1" applyBorder="1" applyAlignment="1">
      <alignment horizontal="center" vertical="center" wrapText="1"/>
    </xf>
    <xf numFmtId="168" fontId="3" fillId="0" borderId="4" xfId="0" applyFont="1" applyBorder="1" applyAlignment="1">
      <alignment horizontal="center" vertical="center"/>
    </xf>
    <xf numFmtId="168" fontId="3" fillId="0" borderId="5" xfId="0" applyFont="1" applyBorder="1" applyAlignment="1">
      <alignment horizontal="center" vertical="center"/>
    </xf>
    <xf numFmtId="168" fontId="3" fillId="0" borderId="5" xfId="0" applyFont="1" applyFill="1" applyBorder="1" applyAlignment="1">
      <alignment horizontal="center" vertical="center"/>
    </xf>
    <xf numFmtId="168" fontId="3" fillId="0" borderId="10" xfId="0" applyFont="1" applyBorder="1" applyAlignment="1">
      <alignment horizontal="center" vertical="center"/>
    </xf>
    <xf numFmtId="0" fontId="4" fillId="60" borderId="41" xfId="0" applyNumberFormat="1" applyFont="1" applyFill="1" applyBorder="1" applyAlignment="1">
      <alignment horizontal="center" vertical="center" wrapText="1"/>
    </xf>
    <xf numFmtId="0" fontId="4" fillId="60" borderId="11" xfId="0" applyNumberFormat="1" applyFont="1" applyFill="1" applyBorder="1" applyAlignment="1">
      <alignment horizontal="center" vertical="center" wrapText="1"/>
    </xf>
    <xf numFmtId="170" fontId="4" fillId="62" borderId="6" xfId="3" applyNumberFormat="1" applyFont="1" applyFill="1" applyBorder="1" applyAlignment="1">
      <alignment horizontal="center" vertical="center" wrapText="1"/>
    </xf>
    <xf numFmtId="170" fontId="4" fillId="62" borderId="7" xfId="3" applyNumberFormat="1" applyFont="1" applyFill="1" applyBorder="1" applyAlignment="1">
      <alignment horizontal="center" vertical="center" wrapText="1"/>
    </xf>
    <xf numFmtId="170" fontId="4" fillId="62" borderId="8" xfId="3" applyNumberFormat="1" applyFont="1" applyFill="1" applyBorder="1" applyAlignment="1">
      <alignment horizontal="center" vertical="center" wrapText="1"/>
    </xf>
    <xf numFmtId="168" fontId="53" fillId="0" borderId="3" xfId="0" applyFont="1" applyBorder="1" applyAlignment="1">
      <alignment horizontal="center" vertical="center" wrapText="1"/>
    </xf>
    <xf numFmtId="168" fontId="53" fillId="0" borderId="0" xfId="0" applyFont="1" applyBorder="1" applyAlignment="1">
      <alignment horizontal="center" vertical="center" wrapText="1"/>
    </xf>
    <xf numFmtId="168" fontId="53" fillId="0" borderId="0" xfId="0" applyFont="1" applyFill="1" applyBorder="1" applyAlignment="1">
      <alignment horizontal="center" vertical="center" wrapText="1"/>
    </xf>
    <xf numFmtId="168" fontId="53" fillId="0" borderId="43" xfId="0" applyFont="1" applyBorder="1" applyAlignment="1">
      <alignment horizontal="center" vertical="center" wrapText="1"/>
    </xf>
    <xf numFmtId="0" fontId="4" fillId="60" borderId="44" xfId="0" applyNumberFormat="1" applyFont="1" applyFill="1" applyBorder="1" applyAlignment="1">
      <alignment horizontal="center" vertical="center" wrapText="1"/>
    </xf>
    <xf numFmtId="0" fontId="4" fillId="60" borderId="10" xfId="0" applyNumberFormat="1" applyFont="1" applyFill="1" applyBorder="1" applyAlignment="1">
      <alignment horizontal="center" vertical="center" wrapText="1"/>
    </xf>
    <xf numFmtId="168" fontId="4" fillId="60" borderId="41" xfId="0" applyFont="1" applyFill="1" applyBorder="1" applyAlignment="1">
      <alignment horizontal="center" vertical="center" wrapText="1"/>
    </xf>
    <xf numFmtId="168" fontId="4" fillId="60" borderId="11" xfId="0" applyFont="1" applyFill="1" applyBorder="1" applyAlignment="1">
      <alignment horizontal="center" vertical="center" wrapText="1"/>
    </xf>
    <xf numFmtId="43" fontId="53" fillId="60" borderId="6" xfId="1" applyFont="1" applyFill="1" applyBorder="1" applyAlignment="1">
      <alignment horizontal="left" vertical="center" wrapText="1"/>
    </xf>
    <xf numFmtId="43" fontId="53" fillId="60" borderId="7" xfId="1" applyFont="1" applyFill="1" applyBorder="1" applyAlignment="1">
      <alignment horizontal="left" vertical="center" wrapText="1"/>
    </xf>
    <xf numFmtId="0" fontId="4" fillId="62" borderId="6" xfId="0" applyNumberFormat="1" applyFont="1" applyFill="1" applyBorder="1" applyAlignment="1">
      <alignment horizontal="center" vertical="center" wrapText="1"/>
    </xf>
    <xf numFmtId="0" fontId="4" fillId="62" borderId="8" xfId="0" applyNumberFormat="1" applyFont="1" applyFill="1" applyBorder="1" applyAlignment="1">
      <alignment horizontal="center" vertical="center" wrapText="1"/>
    </xf>
    <xf numFmtId="168" fontId="4" fillId="62" borderId="2" xfId="0" applyFont="1" applyFill="1" applyBorder="1" applyAlignment="1">
      <alignment horizontal="center" vertical="center" wrapText="1"/>
    </xf>
    <xf numFmtId="168" fontId="4" fillId="62" borderId="6" xfId="0" applyFont="1" applyFill="1" applyBorder="1" applyAlignment="1">
      <alignment horizontal="center" vertical="center" wrapText="1"/>
    </xf>
    <xf numFmtId="168" fontId="4" fillId="62" borderId="7" xfId="0" applyFont="1" applyFill="1" applyBorder="1" applyAlignment="1">
      <alignment horizontal="center" vertical="center" wrapText="1"/>
    </xf>
    <xf numFmtId="168" fontId="4" fillId="62" borderId="8" xfId="0" applyFont="1" applyFill="1" applyBorder="1" applyAlignment="1">
      <alignment horizontal="center" vertical="center" wrapText="1"/>
    </xf>
    <xf numFmtId="0" fontId="2" fillId="66" borderId="67" xfId="389" applyNumberFormat="1" applyFont="1" applyFill="1" applyBorder="1" applyAlignment="1">
      <alignment horizontal="left" vertical="center" wrapText="1"/>
    </xf>
    <xf numFmtId="0" fontId="2" fillId="66" borderId="69" xfId="389" applyNumberFormat="1" applyFont="1" applyFill="1" applyBorder="1" applyAlignment="1">
      <alignment horizontal="left" vertical="center" wrapText="1"/>
    </xf>
    <xf numFmtId="0" fontId="2" fillId="67" borderId="67" xfId="389" applyNumberFormat="1" applyFont="1" applyFill="1" applyBorder="1" applyAlignment="1">
      <alignment horizontal="left" vertical="center" wrapText="1"/>
    </xf>
    <xf numFmtId="0" fontId="2" fillId="67" borderId="69" xfId="389" applyNumberFormat="1" applyFont="1" applyFill="1" applyBorder="1" applyAlignment="1">
      <alignment horizontal="left" vertical="center" wrapText="1"/>
    </xf>
    <xf numFmtId="0" fontId="2" fillId="69" borderId="70" xfId="389" applyNumberFormat="1" applyFont="1" applyFill="1" applyBorder="1" applyAlignment="1">
      <alignment horizontal="left" vertical="center" wrapText="1"/>
    </xf>
    <xf numFmtId="0" fontId="2" fillId="69" borderId="71" xfId="389" applyNumberFormat="1" applyFont="1" applyFill="1" applyBorder="1" applyAlignment="1">
      <alignment horizontal="left" vertical="center" wrapText="1"/>
    </xf>
    <xf numFmtId="168" fontId="3" fillId="0" borderId="62" xfId="0" applyFont="1" applyBorder="1" applyAlignment="1">
      <alignment horizontal="center" vertical="center" wrapText="1"/>
    </xf>
    <xf numFmtId="168" fontId="3" fillId="0" borderId="1" xfId="0" applyFont="1" applyBorder="1" applyAlignment="1">
      <alignment horizontal="center" vertical="center" wrapText="1"/>
    </xf>
    <xf numFmtId="168" fontId="3" fillId="0" borderId="44" xfId="0" applyFont="1" applyBorder="1" applyAlignment="1">
      <alignment horizontal="center" vertical="center" wrapText="1"/>
    </xf>
    <xf numFmtId="168" fontId="3" fillId="0" borderId="3" xfId="0" applyFont="1" applyBorder="1" applyAlignment="1">
      <alignment horizontal="center" vertical="center" wrapText="1"/>
    </xf>
    <xf numFmtId="168" fontId="3" fillId="0" borderId="0" xfId="0" applyFont="1" applyBorder="1" applyAlignment="1">
      <alignment horizontal="center" vertical="center" wrapText="1"/>
    </xf>
    <xf numFmtId="168" fontId="3" fillId="0" borderId="43" xfId="0" applyFont="1" applyBorder="1" applyAlignment="1">
      <alignment horizontal="center" vertical="center" wrapText="1"/>
    </xf>
    <xf numFmtId="168" fontId="3" fillId="0" borderId="4" xfId="0" applyFont="1" applyBorder="1" applyAlignment="1">
      <alignment horizontal="center" vertical="center" wrapText="1"/>
    </xf>
    <xf numFmtId="168" fontId="3" fillId="0" borderId="5" xfId="0" applyFont="1" applyBorder="1" applyAlignment="1">
      <alignment horizontal="center" vertical="center" wrapText="1"/>
    </xf>
    <xf numFmtId="168" fontId="3" fillId="0" borderId="10" xfId="0" applyFont="1" applyBorder="1" applyAlignment="1">
      <alignment horizontal="center" vertical="center" wrapText="1"/>
    </xf>
    <xf numFmtId="0" fontId="3" fillId="0" borderId="66" xfId="389" applyNumberFormat="1" applyFont="1" applyBorder="1" applyAlignment="1">
      <alignment horizontal="center" vertical="center" wrapText="1"/>
    </xf>
    <xf numFmtId="0" fontId="3" fillId="0" borderId="68" xfId="389" applyNumberFormat="1" applyFont="1" applyBorder="1" applyAlignment="1">
      <alignment horizontal="center" vertical="center" wrapText="1"/>
    </xf>
    <xf numFmtId="0" fontId="2" fillId="68" borderId="67" xfId="389" applyNumberFormat="1" applyFont="1" applyFill="1" applyBorder="1" applyAlignment="1">
      <alignment horizontal="left" vertical="center" wrapText="1"/>
    </xf>
    <xf numFmtId="0" fontId="2" fillId="68" borderId="69" xfId="389" applyNumberFormat="1" applyFont="1" applyFill="1" applyBorder="1" applyAlignment="1">
      <alignment horizontal="left" vertical="center" wrapText="1"/>
    </xf>
    <xf numFmtId="0" fontId="2" fillId="65" borderId="67" xfId="389" applyNumberFormat="1" applyFont="1" applyFill="1" applyBorder="1" applyAlignment="1">
      <alignment horizontal="left" vertical="center" wrapText="1"/>
    </xf>
    <xf numFmtId="0" fontId="2" fillId="65" borderId="69" xfId="389" applyNumberFormat="1" applyFont="1" applyFill="1" applyBorder="1" applyAlignment="1">
      <alignment horizontal="left" vertical="center" wrapText="1"/>
    </xf>
    <xf numFmtId="0" fontId="2" fillId="67" borderId="8" xfId="389" applyNumberFormat="1" applyFont="1" applyFill="1" applyBorder="1" applyAlignment="1">
      <alignment horizontal="left" vertical="center" wrapText="1"/>
    </xf>
    <xf numFmtId="0" fontId="2" fillId="69" borderId="67" xfId="389" applyNumberFormat="1" applyFont="1" applyFill="1" applyBorder="1" applyAlignment="1">
      <alignment horizontal="left" vertical="center" wrapText="1"/>
    </xf>
    <xf numFmtId="0" fontId="2" fillId="69" borderId="8" xfId="389" applyNumberFormat="1" applyFont="1" applyFill="1" applyBorder="1" applyAlignment="1">
      <alignment horizontal="left" vertical="center" wrapText="1"/>
    </xf>
    <xf numFmtId="168" fontId="3" fillId="0" borderId="62" xfId="0" applyFont="1" applyFill="1" applyBorder="1" applyAlignment="1">
      <alignment horizontal="center" vertical="center" wrapText="1"/>
    </xf>
    <xf numFmtId="168" fontId="3" fillId="0" borderId="1" xfId="0" applyFont="1" applyFill="1" applyBorder="1" applyAlignment="1">
      <alignment horizontal="center" vertical="center" wrapText="1"/>
    </xf>
    <xf numFmtId="168" fontId="3" fillId="0" borderId="44" xfId="0" applyFont="1" applyFill="1" applyBorder="1" applyAlignment="1">
      <alignment horizontal="center" vertical="center" wrapText="1"/>
    </xf>
    <xf numFmtId="168" fontId="3" fillId="0" borderId="3" xfId="0" applyFont="1" applyFill="1" applyBorder="1" applyAlignment="1">
      <alignment horizontal="center" vertical="center" wrapText="1"/>
    </xf>
    <xf numFmtId="168" fontId="3" fillId="0" borderId="0" xfId="0" applyFont="1" applyFill="1" applyBorder="1" applyAlignment="1">
      <alignment horizontal="center" vertical="center" wrapText="1"/>
    </xf>
    <xf numFmtId="168" fontId="3" fillId="0" borderId="43" xfId="0" applyFont="1" applyFill="1" applyBorder="1" applyAlignment="1">
      <alignment horizontal="center" vertical="center" wrapText="1"/>
    </xf>
    <xf numFmtId="168" fontId="3" fillId="0" borderId="4" xfId="0" applyFont="1" applyFill="1" applyBorder="1" applyAlignment="1">
      <alignment horizontal="center" vertical="center" wrapText="1"/>
    </xf>
    <xf numFmtId="168" fontId="3" fillId="0" borderId="5" xfId="0" applyFont="1" applyFill="1" applyBorder="1" applyAlignment="1">
      <alignment horizontal="center" vertical="center" wrapText="1"/>
    </xf>
    <xf numFmtId="168" fontId="3" fillId="0" borderId="10" xfId="0" applyFont="1" applyFill="1" applyBorder="1" applyAlignment="1">
      <alignment horizontal="center" vertical="center" wrapText="1"/>
    </xf>
    <xf numFmtId="0" fontId="3" fillId="0" borderId="65" xfId="389" applyNumberFormat="1" applyFont="1" applyBorder="1" applyAlignment="1">
      <alignment horizontal="center" vertical="center" wrapText="1"/>
    </xf>
    <xf numFmtId="0" fontId="2" fillId="68" borderId="8" xfId="389" applyNumberFormat="1" applyFont="1" applyFill="1" applyBorder="1" applyAlignment="1">
      <alignment horizontal="left" vertical="center" wrapText="1"/>
    </xf>
    <xf numFmtId="0" fontId="2" fillId="65" borderId="8" xfId="389" applyNumberFormat="1" applyFont="1" applyFill="1" applyBorder="1" applyAlignment="1">
      <alignment horizontal="left" vertical="center" wrapText="1"/>
    </xf>
    <xf numFmtId="0" fontId="2" fillId="66" borderId="8" xfId="389" applyNumberFormat="1" applyFont="1" applyFill="1" applyBorder="1" applyAlignment="1">
      <alignment horizontal="left" vertical="center" wrapText="1"/>
    </xf>
    <xf numFmtId="0" fontId="2" fillId="69" borderId="55" xfId="389" applyNumberFormat="1" applyFont="1" applyFill="1" applyBorder="1" applyAlignment="1">
      <alignment horizontal="left" vertical="center" wrapText="1"/>
    </xf>
    <xf numFmtId="0" fontId="2" fillId="69" borderId="2" xfId="389" applyNumberFormat="1" applyFont="1" applyFill="1" applyBorder="1" applyAlignment="1">
      <alignment horizontal="left" vertical="center" wrapText="1"/>
    </xf>
    <xf numFmtId="0" fontId="49" fillId="0" borderId="6" xfId="92" applyFont="1" applyBorder="1" applyAlignment="1">
      <alignment horizontal="center" vertical="center" wrapText="1"/>
    </xf>
    <xf numFmtId="0" fontId="49" fillId="0" borderId="7" xfId="92" applyFont="1" applyBorder="1" applyAlignment="1">
      <alignment horizontal="center" vertical="center" wrapText="1"/>
    </xf>
    <xf numFmtId="0" fontId="49" fillId="0" borderId="8" xfId="92" applyFont="1" applyBorder="1" applyAlignment="1">
      <alignment horizontal="center" vertical="center" wrapText="1"/>
    </xf>
    <xf numFmtId="0" fontId="3" fillId="0" borderId="53" xfId="389" applyNumberFormat="1" applyFont="1" applyBorder="1" applyAlignment="1">
      <alignment horizontal="center" vertical="center" wrapText="1"/>
    </xf>
    <xf numFmtId="0" fontId="3" fillId="0" borderId="54" xfId="389" applyNumberFormat="1" applyFont="1" applyBorder="1" applyAlignment="1">
      <alignment horizontal="center" vertical="center" wrapText="1"/>
    </xf>
    <xf numFmtId="0" fontId="2" fillId="68" borderId="55" xfId="389" applyNumberFormat="1" applyFont="1" applyFill="1" applyBorder="1" applyAlignment="1">
      <alignment horizontal="left" vertical="center" wrapText="1"/>
    </xf>
    <xf numFmtId="0" fontId="2" fillId="68" borderId="2" xfId="389" applyNumberFormat="1" applyFont="1" applyFill="1" applyBorder="1" applyAlignment="1">
      <alignment horizontal="left" vertical="center" wrapText="1"/>
    </xf>
    <xf numFmtId="0" fontId="2" fillId="65" borderId="55" xfId="389" applyNumberFormat="1" applyFont="1" applyFill="1" applyBorder="1" applyAlignment="1">
      <alignment horizontal="left" vertical="center" wrapText="1"/>
    </xf>
    <xf numFmtId="0" fontId="2" fillId="65" borderId="2" xfId="389" applyNumberFormat="1" applyFont="1" applyFill="1" applyBorder="1" applyAlignment="1">
      <alignment horizontal="left" vertical="center" wrapText="1"/>
    </xf>
    <xf numFmtId="0" fontId="2" fillId="66" borderId="55" xfId="389" applyNumberFormat="1" applyFont="1" applyFill="1" applyBorder="1" applyAlignment="1">
      <alignment horizontal="left" vertical="center" wrapText="1"/>
    </xf>
    <xf numFmtId="0" fontId="2" fillId="66" borderId="2" xfId="389" applyNumberFormat="1" applyFont="1" applyFill="1" applyBorder="1" applyAlignment="1">
      <alignment horizontal="left" vertical="center" wrapText="1"/>
    </xf>
    <xf numFmtId="0" fontId="2" fillId="67" borderId="55" xfId="389" applyNumberFormat="1" applyFont="1" applyFill="1" applyBorder="1" applyAlignment="1">
      <alignment horizontal="left" vertical="center" wrapText="1"/>
    </xf>
    <xf numFmtId="0" fontId="2" fillId="67" borderId="2" xfId="389" applyNumberFormat="1" applyFont="1" applyFill="1" applyBorder="1" applyAlignment="1">
      <alignment horizontal="left" vertical="center" wrapText="1"/>
    </xf>
    <xf numFmtId="168" fontId="49" fillId="63" borderId="60" xfId="0" applyFont="1" applyFill="1" applyBorder="1" applyAlignment="1">
      <alignment horizontal="left" vertical="center" wrapText="1"/>
    </xf>
    <xf numFmtId="168" fontId="49" fillId="63" borderId="61" xfId="0" applyFont="1" applyFill="1" applyBorder="1" applyAlignment="1">
      <alignment horizontal="left" vertical="center" wrapText="1"/>
    </xf>
    <xf numFmtId="168" fontId="49" fillId="63" borderId="60" xfId="0" applyFont="1" applyFill="1" applyBorder="1" applyAlignment="1">
      <alignment horizontal="justify" vertical="center" wrapText="1"/>
    </xf>
    <xf numFmtId="168" fontId="49" fillId="63" borderId="61" xfId="0" applyFont="1" applyFill="1" applyBorder="1" applyAlignment="1">
      <alignment horizontal="justify" vertical="center" wrapText="1"/>
    </xf>
    <xf numFmtId="168" fontId="54" fillId="0" borderId="82" xfId="0" applyFont="1" applyBorder="1" applyAlignment="1">
      <alignment horizontal="center" vertical="center" wrapText="1"/>
    </xf>
    <xf numFmtId="168" fontId="54" fillId="0" borderId="83" xfId="0" applyFont="1" applyBorder="1" applyAlignment="1">
      <alignment horizontal="center" vertical="center" wrapText="1"/>
    </xf>
    <xf numFmtId="168" fontId="54" fillId="0" borderId="88" xfId="0" applyFont="1" applyBorder="1" applyAlignment="1">
      <alignment horizontal="center" vertical="center" wrapText="1"/>
    </xf>
    <xf numFmtId="168" fontId="49" fillId="62" borderId="60" xfId="0" applyFont="1" applyFill="1" applyBorder="1" applyAlignment="1">
      <alignment horizontal="left" vertical="center" wrapText="1"/>
    </xf>
    <xf numFmtId="168" fontId="49" fillId="62" borderId="61" xfId="0" applyFont="1" applyFill="1" applyBorder="1" applyAlignment="1">
      <alignment horizontal="left" vertical="center" wrapText="1"/>
    </xf>
    <xf numFmtId="168" fontId="49" fillId="63" borderId="45" xfId="0" applyFont="1" applyFill="1" applyBorder="1" applyAlignment="1">
      <alignment horizontal="left" vertical="center" wrapText="1"/>
    </xf>
    <xf numFmtId="168" fontId="49" fillId="63" borderId="78" xfId="0" applyFont="1" applyFill="1" applyBorder="1" applyAlignment="1">
      <alignment horizontal="left" vertical="center" wrapText="1"/>
    </xf>
  </cellXfs>
  <cellStyles count="390">
    <cellStyle name="20% - Énfasis1" xfId="34" builtinId="30" customBuiltin="1"/>
    <cellStyle name="20% - Énfasis1 2" xfId="231"/>
    <cellStyle name="20% - Énfasis1 2 2" xfId="283"/>
    <cellStyle name="20% - Énfasis1 2 3" xfId="284"/>
    <cellStyle name="20% - Énfasis1 2 4" xfId="282"/>
    <cellStyle name="20% - Énfasis2" xfId="38" builtinId="34" customBuiltin="1"/>
    <cellStyle name="20% - Énfasis2 2" xfId="251"/>
    <cellStyle name="20% - Énfasis2 2 2" xfId="286"/>
    <cellStyle name="20% - Énfasis2 2 3" xfId="287"/>
    <cellStyle name="20% - Énfasis2 2 4" xfId="285"/>
    <cellStyle name="20% - Énfasis3" xfId="42" builtinId="38" customBuiltin="1"/>
    <cellStyle name="20% - Énfasis3 2" xfId="59"/>
    <cellStyle name="20% - Énfasis3 2 2" xfId="289"/>
    <cellStyle name="20% - Énfasis3 2 3" xfId="290"/>
    <cellStyle name="20% - Énfasis3 2 4" xfId="288"/>
    <cellStyle name="20% - Énfasis4" xfId="46" builtinId="42" customBuiltin="1"/>
    <cellStyle name="20% - Énfasis4 2" xfId="255"/>
    <cellStyle name="20% - Énfasis4 2 2" xfId="292"/>
    <cellStyle name="20% - Énfasis4 2 3" xfId="293"/>
    <cellStyle name="20% - Énfasis4 2 4" xfId="291"/>
    <cellStyle name="20% - Énfasis5" xfId="50" builtinId="46" customBuiltin="1"/>
    <cellStyle name="20% - Énfasis5 2" xfId="221"/>
    <cellStyle name="20% - Énfasis5 2 2" xfId="295"/>
    <cellStyle name="20% - Énfasis5 2 3" xfId="296"/>
    <cellStyle name="20% - Énfasis5 2 4" xfId="294"/>
    <cellStyle name="20% - Énfasis6" xfId="54" builtinId="50" customBuiltin="1"/>
    <cellStyle name="20% - Énfasis6 2" xfId="213"/>
    <cellStyle name="20% - Énfasis6 2 2" xfId="298"/>
    <cellStyle name="20% - Énfasis6 2 3" xfId="299"/>
    <cellStyle name="20% - Énfasis6 2 4" xfId="297"/>
    <cellStyle name="40% - Énfasis1" xfId="35" builtinId="31" customBuiltin="1"/>
    <cellStyle name="40% - Énfasis1 2" xfId="194"/>
    <cellStyle name="40% - Énfasis1 2 2" xfId="301"/>
    <cellStyle name="40% - Énfasis1 2 3" xfId="302"/>
    <cellStyle name="40% - Énfasis1 2 4" xfId="300"/>
    <cellStyle name="40% - Énfasis2" xfId="39" builtinId="35" customBuiltin="1"/>
    <cellStyle name="40% - Énfasis2 2" xfId="249"/>
    <cellStyle name="40% - Énfasis2 2 2" xfId="304"/>
    <cellStyle name="40% - Énfasis2 2 3" xfId="305"/>
    <cellStyle name="40% - Énfasis2 2 4" xfId="303"/>
    <cellStyle name="40% - Énfasis3" xfId="43" builtinId="39" customBuiltin="1"/>
    <cellStyle name="40% - Énfasis3 2" xfId="258"/>
    <cellStyle name="40% - Énfasis3 2 2" xfId="307"/>
    <cellStyle name="40% - Énfasis3 2 3" xfId="308"/>
    <cellStyle name="40% - Énfasis3 2 4" xfId="306"/>
    <cellStyle name="40% - Énfasis4" xfId="47" builtinId="43" customBuiltin="1"/>
    <cellStyle name="40% - Énfasis4 2" xfId="216"/>
    <cellStyle name="40% - Énfasis4 2 2" xfId="310"/>
    <cellStyle name="40% - Énfasis4 2 3" xfId="311"/>
    <cellStyle name="40% - Énfasis4 2 4" xfId="309"/>
    <cellStyle name="40% - Énfasis5" xfId="51" builtinId="47" customBuiltin="1"/>
    <cellStyle name="40% - Énfasis5 2" xfId="248"/>
    <cellStyle name="40% - Énfasis5 2 2" xfId="313"/>
    <cellStyle name="40% - Énfasis5 2 3" xfId="314"/>
    <cellStyle name="40% - Énfasis5 2 4" xfId="312"/>
    <cellStyle name="40% - Énfasis6" xfId="55" builtinId="51" customBuiltin="1"/>
    <cellStyle name="40% - Énfasis6 2" xfId="65"/>
    <cellStyle name="40% - Énfasis6 2 2" xfId="316"/>
    <cellStyle name="40% - Énfasis6 2 3" xfId="317"/>
    <cellStyle name="40% - Énfasis6 2 4" xfId="315"/>
    <cellStyle name="60% - Énfasis1" xfId="36" builtinId="32" customBuiltin="1"/>
    <cellStyle name="60% - Énfasis1 2" xfId="211"/>
    <cellStyle name="60% - Énfasis1 2 2" xfId="318"/>
    <cellStyle name="60% - Énfasis2" xfId="40" builtinId="36" customBuiltin="1"/>
    <cellStyle name="60% - Énfasis2 2" xfId="240"/>
    <cellStyle name="60% - Énfasis2 2 2" xfId="319"/>
    <cellStyle name="60% - Énfasis3" xfId="44" builtinId="40" customBuiltin="1"/>
    <cellStyle name="60% - Énfasis3 2" xfId="70"/>
    <cellStyle name="60% - Énfasis3 2 2" xfId="320"/>
    <cellStyle name="60% - Énfasis4" xfId="48" builtinId="44" customBuiltin="1"/>
    <cellStyle name="60% - Énfasis4 2" xfId="235"/>
    <cellStyle name="60% - Énfasis4 2 2" xfId="321"/>
    <cellStyle name="60% - Énfasis5" xfId="52" builtinId="48" customBuiltin="1"/>
    <cellStyle name="60% - Énfasis5 2" xfId="233"/>
    <cellStyle name="60% - Énfasis5 2 2" xfId="322"/>
    <cellStyle name="60% - Énfasis6" xfId="56" builtinId="52" customBuiltin="1"/>
    <cellStyle name="60% - Énfasis6 2" xfId="78"/>
    <cellStyle name="60% - Énfasis6 2 2" xfId="323"/>
    <cellStyle name="Buena 2" xfId="324"/>
    <cellStyle name="Cálculo" xfId="26" builtinId="22" customBuiltin="1"/>
    <cellStyle name="Cálculo 2" xfId="67"/>
    <cellStyle name="Cálculo 2 2" xfId="325"/>
    <cellStyle name="Celda de comprobación" xfId="28" builtinId="23" customBuiltin="1"/>
    <cellStyle name="Celda de comprobación 2" xfId="66"/>
    <cellStyle name="Celda de comprobación 2 2" xfId="326"/>
    <cellStyle name="Celda vinculada" xfId="27" builtinId="24" customBuiltin="1"/>
    <cellStyle name="Celda vinculada 2" xfId="169"/>
    <cellStyle name="Celda vinculada 2 2" xfId="327"/>
    <cellStyle name="Encabezado 1" xfId="18" builtinId="16" customBuiltin="1"/>
    <cellStyle name="Encabezado 4" xfId="21" builtinId="19" customBuiltin="1"/>
    <cellStyle name="Encabezado 4 2" xfId="199"/>
    <cellStyle name="Encabezado 4 2 2" xfId="328"/>
    <cellStyle name="Énfasis1" xfId="33" builtinId="29" customBuiltin="1"/>
    <cellStyle name="Énfasis1 2" xfId="222"/>
    <cellStyle name="Énfasis1 2 2" xfId="329"/>
    <cellStyle name="Énfasis2" xfId="37" builtinId="33" customBuiltin="1"/>
    <cellStyle name="Énfasis2 2" xfId="182"/>
    <cellStyle name="Énfasis2 2 2" xfId="330"/>
    <cellStyle name="Énfasis3" xfId="41" builtinId="37" customBuiltin="1"/>
    <cellStyle name="Énfasis3 2" xfId="171"/>
    <cellStyle name="Énfasis3 2 2" xfId="331"/>
    <cellStyle name="Énfasis4" xfId="45" builtinId="41" customBuiltin="1"/>
    <cellStyle name="Énfasis4 2" xfId="186"/>
    <cellStyle name="Énfasis4 2 2" xfId="332"/>
    <cellStyle name="Énfasis5" xfId="49" builtinId="45" customBuiltin="1"/>
    <cellStyle name="Énfasis5 2" xfId="263"/>
    <cellStyle name="Énfasis5 2 2" xfId="333"/>
    <cellStyle name="Énfasis6" xfId="53" builtinId="49" customBuiltin="1"/>
    <cellStyle name="Énfasis6 2" xfId="246"/>
    <cellStyle name="Énfasis6 2 2" xfId="334"/>
    <cellStyle name="Entrada" xfId="24" builtinId="20" customBuiltin="1"/>
    <cellStyle name="Entrada 2" xfId="179"/>
    <cellStyle name="Entrada 2 2" xfId="335"/>
    <cellStyle name="Euro" xfId="336"/>
    <cellStyle name="Euro 2" xfId="337"/>
    <cellStyle name="Excel Built-in Normal 2" xfId="117"/>
    <cellStyle name="Excel Built-in Normal 2 2" xfId="242"/>
    <cellStyle name="F2" xfId="338"/>
    <cellStyle name="F3" xfId="339"/>
    <cellStyle name="F4" xfId="340"/>
    <cellStyle name="F5" xfId="341"/>
    <cellStyle name="F6" xfId="342"/>
    <cellStyle name="F7" xfId="343"/>
    <cellStyle name="F8" xfId="344"/>
    <cellStyle name="Hipervínculo 2" xfId="190"/>
    <cellStyle name="Incorrecto" xfId="22" builtinId="27" customBuiltin="1"/>
    <cellStyle name="Incorrecto 2" xfId="252"/>
    <cellStyle name="Incorrecto 2 2" xfId="345"/>
    <cellStyle name="KPT04" xfId="4"/>
    <cellStyle name="KPT04 2" xfId="7"/>
    <cellStyle name="KPT04 2 2" xfId="259"/>
    <cellStyle name="KPT04 3" xfId="261"/>
    <cellStyle name="KPT04_Main" xfId="12"/>
    <cellStyle name="Millares" xfId="1" builtinId="3"/>
    <cellStyle name="Millares [0]" xfId="388" builtinId="6"/>
    <cellStyle name="Millares [0] 2" xfId="95"/>
    <cellStyle name="Millares [0] 2 2" xfId="158"/>
    <cellStyle name="Millares [0] 3" xfId="121"/>
    <cellStyle name="Millares [0] 4" xfId="162"/>
    <cellStyle name="Millares 2" xfId="3"/>
    <cellStyle name="Millares 2 2" xfId="6"/>
    <cellStyle name="Millares 2 2 2" xfId="10"/>
    <cellStyle name="Millares 2 2 2 2" xfId="93"/>
    <cellStyle name="Millares 2 2 2 2 2" xfId="157"/>
    <cellStyle name="Millares 2 3" xfId="346"/>
    <cellStyle name="Millares 2 4" xfId="101"/>
    <cellStyle name="Millares 2 4 2" xfId="164"/>
    <cellStyle name="Millares 3" xfId="113"/>
    <cellStyle name="Millares 3 2" xfId="122"/>
    <cellStyle name="Millares 3 3" xfId="119"/>
    <cellStyle name="Millares 4" xfId="118"/>
    <cellStyle name="Millares 6" xfId="120"/>
    <cellStyle name="Moneda [0]" xfId="2" builtinId="7"/>
    <cellStyle name="Moneda [0] 2" xfId="99"/>
    <cellStyle name="Moneda [0] 2 2" xfId="123"/>
    <cellStyle name="Moneda [0] 2 2 2" xfId="166"/>
    <cellStyle name="Moneda [0] 2 3" xfId="161"/>
    <cellStyle name="Moneda 10" xfId="137"/>
    <cellStyle name="Moneda 11" xfId="142"/>
    <cellStyle name="Moneda 12" xfId="143"/>
    <cellStyle name="Moneda 13" xfId="144"/>
    <cellStyle name="Moneda 14" xfId="145"/>
    <cellStyle name="Moneda 15" xfId="146"/>
    <cellStyle name="Moneda 16" xfId="147"/>
    <cellStyle name="Moneda 2" xfId="9"/>
    <cellStyle name="Moneda 2 2" xfId="100"/>
    <cellStyle name="Moneda 2 3" xfId="98"/>
    <cellStyle name="Moneda 2 4" xfId="129"/>
    <cellStyle name="Moneda 2 5" xfId="160"/>
    <cellStyle name="Moneda 3" xfId="11"/>
    <cellStyle name="Moneda 3 2" xfId="116"/>
    <cellStyle name="Moneda 3 3" xfId="386"/>
    <cellStyle name="Moneda 4" xfId="128"/>
    <cellStyle name="Moneda 5" xfId="132"/>
    <cellStyle name="Moneda 6" xfId="133"/>
    <cellStyle name="Moneda 7" xfId="134"/>
    <cellStyle name="Moneda 8" xfId="136"/>
    <cellStyle name="Moneda 9" xfId="135"/>
    <cellStyle name="Neutral" xfId="23" builtinId="28" customBuiltin="1"/>
    <cellStyle name="Neutral 2" xfId="75"/>
    <cellStyle name="Neutral 2 2" xfId="347"/>
    <cellStyle name="Normal" xfId="0" builtinId="0"/>
    <cellStyle name="Normal 10" xfId="92"/>
    <cellStyle name="Normal 10 2" xfId="192"/>
    <cellStyle name="Normal 10 3" xfId="385"/>
    <cellStyle name="Normal 11" xfId="105"/>
    <cellStyle name="Normal 11 2" xfId="245"/>
    <cellStyle name="Normal 12" xfId="102"/>
    <cellStyle name="Normal 12 2" xfId="206"/>
    <cellStyle name="Normal 13" xfId="88"/>
    <cellStyle name="Normal 13 2" xfId="225"/>
    <cellStyle name="Normal 14" xfId="90"/>
    <cellStyle name="Normal 14 2" xfId="236"/>
    <cellStyle name="Normal 14 3" xfId="348"/>
    <cellStyle name="Normal 15" xfId="103"/>
    <cellStyle name="Normal 15 2" xfId="214"/>
    <cellStyle name="Normal 16" xfId="86"/>
    <cellStyle name="Normal 16 2" xfId="72"/>
    <cellStyle name="Normal 17" xfId="104"/>
    <cellStyle name="Normal 17 2" xfId="176"/>
    <cellStyle name="Normal 18" xfId="85"/>
    <cellStyle name="Normal 18 2" xfId="185"/>
    <cellStyle name="Normal 19" xfId="106"/>
    <cellStyle name="Normal 19 2" xfId="202"/>
    <cellStyle name="Normal 2" xfId="5"/>
    <cellStyle name="Normal 2 2" xfId="8"/>
    <cellStyle name="Normal 2 2 10" xfId="350"/>
    <cellStyle name="Normal 2 2 2" xfId="13"/>
    <cellStyle name="Normal 2 2 2 2" xfId="130"/>
    <cellStyle name="Normal 2 2 2 2 2" xfId="228"/>
    <cellStyle name="Normal 2 2 2 2 2 2" xfId="354"/>
    <cellStyle name="Normal 2 2 2 2 2 3" xfId="353"/>
    <cellStyle name="Normal 2 2 2 2 3" xfId="352"/>
    <cellStyle name="Normal 2 2 2 3" xfId="210"/>
    <cellStyle name="Normal 2 2 2 3 2" xfId="355"/>
    <cellStyle name="Normal 2 2 2 4" xfId="356"/>
    <cellStyle name="Normal 2 2 2 5" xfId="351"/>
    <cellStyle name="Normal 2 2 3" xfId="219"/>
    <cellStyle name="Normal 2 2 3 2" xfId="357"/>
    <cellStyle name="Normal 2 2 7" xfId="358"/>
    <cellStyle name="Normal 2 2 8" xfId="359"/>
    <cellStyle name="Normal 2 2 9" xfId="360"/>
    <cellStyle name="Normal 2 3" xfId="14"/>
    <cellStyle name="Normal 2 3 2" xfId="124"/>
    <cellStyle name="Normal 2 3 2 2" xfId="362"/>
    <cellStyle name="Normal 2 3 3" xfId="165"/>
    <cellStyle name="Normal 2 3 3 2" xfId="268"/>
    <cellStyle name="Normal 2 3 3 3" xfId="363"/>
    <cellStyle name="Normal 2 3 3 4" xfId="389"/>
    <cellStyle name="Normal 2 3 4" xfId="244"/>
    <cellStyle name="Normal 2 3 5" xfId="361"/>
    <cellStyle name="Normal 2 4" xfId="115"/>
    <cellStyle name="Normal 2 4 2" xfId="195"/>
    <cellStyle name="Normal 2 4 3" xfId="364"/>
    <cellStyle name="Normal 2 5" xfId="365"/>
    <cellStyle name="Normal 2 6" xfId="366"/>
    <cellStyle name="Normal 2 7" xfId="349"/>
    <cellStyle name="Normal 2_FUT INGRESOS 2010 Y FLS Y TESORERIA FLS AGOSTO 26" xfId="367"/>
    <cellStyle name="Normal 20" xfId="84"/>
    <cellStyle name="Normal 20 2" xfId="232"/>
    <cellStyle name="Normal 21" xfId="89"/>
    <cellStyle name="Normal 21 2" xfId="207"/>
    <cellStyle name="Normal 22" xfId="87"/>
    <cellStyle name="Normal 22 2" xfId="191"/>
    <cellStyle name="Normal 23" xfId="107"/>
    <cellStyle name="Normal 23 2" xfId="237"/>
    <cellStyle name="Normal 24" xfId="108"/>
    <cellStyle name="Normal 24 2" xfId="266"/>
    <cellStyle name="Normal 25" xfId="109"/>
    <cellStyle name="Normal 25 2" xfId="238"/>
    <cellStyle name="Normal 26" xfId="110"/>
    <cellStyle name="Normal 26 2" xfId="256"/>
    <cellStyle name="Normal 27" xfId="111"/>
    <cellStyle name="Normal 27 2" xfId="239"/>
    <cellStyle name="Normal 28" xfId="112"/>
    <cellStyle name="Normal 28 2" xfId="76"/>
    <cellStyle name="Normal 29" xfId="114"/>
    <cellStyle name="Normal 29 2" xfId="73"/>
    <cellStyle name="Normal 3" xfId="15"/>
    <cellStyle name="Normal 3 2" xfId="125"/>
    <cellStyle name="Normal 3 2 2" xfId="208"/>
    <cellStyle name="Normal 3 2 3" xfId="368"/>
    <cellStyle name="Normal 3 3" xfId="262"/>
    <cellStyle name="Normal 3 4" xfId="275"/>
    <cellStyle name="Normal 3 5" xfId="61"/>
    <cellStyle name="Normal 30" xfId="126"/>
    <cellStyle name="Normal 30 2" xfId="174"/>
    <cellStyle name="Normal 31" xfId="140"/>
    <cellStyle name="Normal 31 2" xfId="80"/>
    <cellStyle name="Normal 32" xfId="138"/>
    <cellStyle name="Normal 32 2" xfId="71"/>
    <cellStyle name="Normal 33" xfId="139"/>
    <cellStyle name="Normal 33 2" xfId="198"/>
    <cellStyle name="Normal 34" xfId="131"/>
    <cellStyle name="Normal 34 2" xfId="178"/>
    <cellStyle name="Normal 35" xfId="141"/>
    <cellStyle name="Normal 35 2" xfId="172"/>
    <cellStyle name="Normal 36" xfId="148"/>
    <cellStyle name="Normal 36 2" xfId="196"/>
    <cellStyle name="Normal 37" xfId="156"/>
    <cellStyle name="Normal 37 2" xfId="215"/>
    <cellStyle name="Normal 38" xfId="151"/>
    <cellStyle name="Normal 38 2" xfId="241"/>
    <cellStyle name="Normal 39" xfId="159"/>
    <cellStyle name="Normal 39 2" xfId="187"/>
    <cellStyle name="Normal 4" xfId="82"/>
    <cellStyle name="Normal 4 2" xfId="260"/>
    <cellStyle name="Normal 4 2 2" xfId="370"/>
    <cellStyle name="Normal 4 3" xfId="369"/>
    <cellStyle name="Normal 40" xfId="149"/>
    <cellStyle name="Normal 40 2" xfId="177"/>
    <cellStyle name="Normal 41" xfId="163"/>
    <cellStyle name="Normal 41 2" xfId="220"/>
    <cellStyle name="Normal 42" xfId="167"/>
    <cellStyle name="Normal 42 2" xfId="270"/>
    <cellStyle name="Normal 43" xfId="155"/>
    <cellStyle name="Normal 43 2" xfId="181"/>
    <cellStyle name="Normal 44" xfId="152"/>
    <cellStyle name="Normal 44 2" xfId="183"/>
    <cellStyle name="Normal 45" xfId="153"/>
    <cellStyle name="Normal 45 2" xfId="257"/>
    <cellStyle name="Normal 46" xfId="150"/>
    <cellStyle name="Normal 46 2" xfId="234"/>
    <cellStyle name="Normal 47" xfId="154"/>
    <cellStyle name="Normal 47 2" xfId="230"/>
    <cellStyle name="Normal 48" xfId="58"/>
    <cellStyle name="Normal 49" xfId="69"/>
    <cellStyle name="Normal 5" xfId="91"/>
    <cellStyle name="Normal 5 2" xfId="184"/>
    <cellStyle name="Normal 5 3" xfId="371"/>
    <cellStyle name="Normal 50" xfId="77"/>
    <cellStyle name="Normal 51" xfId="209"/>
    <cellStyle name="Normal 52" xfId="217"/>
    <cellStyle name="Normal 53" xfId="173"/>
    <cellStyle name="Normal 54" xfId="189"/>
    <cellStyle name="Normal 55" xfId="212"/>
    <cellStyle name="Normal 56" xfId="168"/>
    <cellStyle name="Normal 57" xfId="224"/>
    <cellStyle name="Normal 58" xfId="74"/>
    <cellStyle name="Normal 59" xfId="205"/>
    <cellStyle name="Normal 6" xfId="17"/>
    <cellStyle name="Normal 6 2" xfId="68"/>
    <cellStyle name="Normal 60" xfId="226"/>
    <cellStyle name="Normal 61" xfId="193"/>
    <cellStyle name="Normal 62" xfId="180"/>
    <cellStyle name="Normal 63" xfId="79"/>
    <cellStyle name="Normal 64" xfId="170"/>
    <cellStyle name="Normal 65" xfId="197"/>
    <cellStyle name="Normal 66" xfId="204"/>
    <cellStyle name="Normal 67" xfId="227"/>
    <cellStyle name="Normal 68" xfId="254"/>
    <cellStyle name="Normal 69" xfId="264"/>
    <cellStyle name="Normal 7" xfId="16"/>
    <cellStyle name="Normal 7 2" xfId="223"/>
    <cellStyle name="Normal 7 3" xfId="372"/>
    <cellStyle name="Normal 70" xfId="265"/>
    <cellStyle name="Normal 71" xfId="243"/>
    <cellStyle name="Normal 72" xfId="200"/>
    <cellStyle name="Normal 73" xfId="276"/>
    <cellStyle name="Normal 74" xfId="269"/>
    <cellStyle name="Normal 75" xfId="278"/>
    <cellStyle name="Normal 76" xfId="64"/>
    <cellStyle name="Normal 77" xfId="273"/>
    <cellStyle name="Normal 78" xfId="274"/>
    <cellStyle name="Normal 79" xfId="271"/>
    <cellStyle name="Normal 8" xfId="83"/>
    <cellStyle name="Normal 8 2" xfId="81"/>
    <cellStyle name="Normal 8 3" xfId="373"/>
    <cellStyle name="Normal 80" xfId="277"/>
    <cellStyle name="Normal 81" xfId="175"/>
    <cellStyle name="Normal 82" xfId="272"/>
    <cellStyle name="Normal 83" xfId="253"/>
    <cellStyle name="Normal 84" xfId="279"/>
    <cellStyle name="Normal 85" xfId="57"/>
    <cellStyle name="Normal 86" xfId="280"/>
    <cellStyle name="Normal 9" xfId="97"/>
    <cellStyle name="Normal 9 2" xfId="60"/>
    <cellStyle name="Normal 9 3" xfId="281"/>
    <cellStyle name="Notas" xfId="30" builtinId="10" customBuiltin="1"/>
    <cellStyle name="Notas 2" xfId="201"/>
    <cellStyle name="Notas 2 2" xfId="374"/>
    <cellStyle name="Notas 3" xfId="375"/>
    <cellStyle name="Porcentaje" xfId="387" builtinId="5"/>
    <cellStyle name="Porcentaje 2 2" xfId="94"/>
    <cellStyle name="Porcentaje 2 2 2" xfId="96"/>
    <cellStyle name="Porcentaje 2 3" xfId="127"/>
    <cellStyle name="Salida" xfId="25" builtinId="21" customBuiltin="1"/>
    <cellStyle name="Salida 2" xfId="203"/>
    <cellStyle name="Salida 2 2" xfId="376"/>
    <cellStyle name="TableStyleLight1" xfId="377"/>
    <cellStyle name="Texto de advertencia" xfId="29" builtinId="11" customBuiltin="1"/>
    <cellStyle name="Texto de advertencia 2" xfId="247"/>
    <cellStyle name="Texto de advertencia 2 2" xfId="378"/>
    <cellStyle name="Texto explicativo" xfId="31" builtinId="53" customBuiltin="1"/>
    <cellStyle name="Texto explicativo 2" xfId="250"/>
    <cellStyle name="Texto explicativo 2 2" xfId="379"/>
    <cellStyle name="Título 1 2" xfId="267"/>
    <cellStyle name="Título 1 2 2" xfId="380"/>
    <cellStyle name="Título 2" xfId="19" builtinId="17" customBuiltin="1"/>
    <cellStyle name="Título 2 2" xfId="63"/>
    <cellStyle name="Título 2 2 2" xfId="381"/>
    <cellStyle name="Título 3" xfId="20" builtinId="18" customBuiltin="1"/>
    <cellStyle name="Título 3 2" xfId="188"/>
    <cellStyle name="Título 3 2 2" xfId="382"/>
    <cellStyle name="Título 4" xfId="62"/>
    <cellStyle name="Título 4 2" xfId="383"/>
    <cellStyle name="Título 5" xfId="229"/>
    <cellStyle name="Total" xfId="32" builtinId="25" customBuiltin="1"/>
    <cellStyle name="Total 2" xfId="218"/>
    <cellStyle name="Total 2 2" xfId="384"/>
  </cellStyles>
  <dxfs count="477">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12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baseline="0">
                <a:latin typeface="Arial" panose="020B0604020202020204" pitchFamily="34" charset="0"/>
                <a:cs typeface="Arial" panose="020B0604020202020204" pitchFamily="34" charset="0"/>
              </a:rPr>
              <a:t>Estado de Ejecución  Sector Central</a:t>
            </a:r>
          </a:p>
          <a:p>
            <a:pPr>
              <a:defRPr sz="1200" b="1">
                <a:latin typeface="Arial" panose="020B0604020202020204" pitchFamily="34" charset="0"/>
                <a:cs typeface="Arial" panose="020B0604020202020204" pitchFamily="34" charset="0"/>
              </a:defRPr>
            </a:pPr>
            <a:r>
              <a:rPr lang="es-CO" sz="1200" b="1" baseline="0">
                <a:latin typeface="Arial" panose="020B0604020202020204" pitchFamily="34" charset="0"/>
                <a:cs typeface="Arial" panose="020B0604020202020204" pitchFamily="34" charset="0"/>
              </a:rPr>
              <a:t>Gastos de Inversión con corte al 30 de septiembre de 2022</a:t>
            </a:r>
            <a:endParaRPr lang="es-CO" sz="1200" b="1">
              <a:latin typeface="Arial" panose="020B0604020202020204" pitchFamily="34" charset="0"/>
              <a:cs typeface="Arial" panose="020B0604020202020204" pitchFamily="34" charset="0"/>
            </a:endParaRPr>
          </a:p>
        </c:rich>
      </c:tx>
      <c:layout>
        <c:manualLayout>
          <c:xMode val="edge"/>
          <c:yMode val="edge"/>
          <c:x val="0.30090106814323747"/>
          <c:y val="8.664423424037955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0.13410779548565621"/>
          <c:y val="0.15784037952389388"/>
          <c:w val="0.85302418680714087"/>
          <c:h val="0.71588350508700771"/>
        </c:manualLayout>
      </c:layout>
      <c:barChart>
        <c:barDir val="col"/>
        <c:grouping val="clustered"/>
        <c:varyColors val="0"/>
        <c:ser>
          <c:idx val="0"/>
          <c:order val="0"/>
          <c:tx>
            <c:strRef>
              <c:f>'CONSOLIDADO UNIDADES'!$C$23</c:f>
              <c:strCache>
                <c:ptCount val="1"/>
                <c:pt idx="0">
                  <c:v>Valor</c:v>
                </c:pt>
              </c:strCache>
            </c:strRef>
          </c:tx>
          <c:spPr>
            <a:solidFill>
              <a:srgbClr val="002060"/>
            </a:solidFill>
            <a:ln>
              <a:noFill/>
            </a:ln>
            <a:effectLst/>
          </c:spPr>
          <c:invertIfNegative val="0"/>
          <c:dPt>
            <c:idx val="1"/>
            <c:invertIfNegative val="0"/>
            <c:bubble3D val="0"/>
            <c:spPr>
              <a:solidFill>
                <a:srgbClr val="C00000"/>
              </a:solidFill>
              <a:ln>
                <a:noFill/>
              </a:ln>
              <a:effectLst/>
            </c:spPr>
            <c:extLst>
              <c:ext xmlns:c16="http://schemas.microsoft.com/office/drawing/2014/chart" uri="{C3380CC4-5D6E-409C-BE32-E72D297353CC}">
                <c16:uniqueId val="{00000001-9E8B-4EE1-8D67-AA2D7CF5BBB0}"/>
              </c:ext>
            </c:extLst>
          </c:dPt>
          <c:dPt>
            <c:idx val="2"/>
            <c:invertIfNegative val="0"/>
            <c:bubble3D val="0"/>
            <c:spPr>
              <a:solidFill>
                <a:srgbClr val="00B0F0"/>
              </a:solidFill>
              <a:ln>
                <a:noFill/>
              </a:ln>
              <a:effectLst/>
            </c:spPr>
            <c:extLst>
              <c:ext xmlns:c16="http://schemas.microsoft.com/office/drawing/2014/chart" uri="{C3380CC4-5D6E-409C-BE32-E72D297353CC}">
                <c16:uniqueId val="{00000003-9E8B-4EE1-8D67-AA2D7CF5BBB0}"/>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5-9E8B-4EE1-8D67-AA2D7CF5BBB0}"/>
              </c:ext>
            </c:extLst>
          </c:dPt>
          <c:dPt>
            <c:idx val="4"/>
            <c:invertIfNegative val="0"/>
            <c:bubble3D val="0"/>
            <c:spPr>
              <a:solidFill>
                <a:srgbClr val="92D050"/>
              </a:solidFill>
              <a:ln>
                <a:noFill/>
              </a:ln>
              <a:effectLst/>
            </c:spPr>
            <c:extLst>
              <c:ext xmlns:c16="http://schemas.microsoft.com/office/drawing/2014/chart" uri="{C3380CC4-5D6E-409C-BE32-E72D297353CC}">
                <c16:uniqueId val="{00000007-9E8B-4EE1-8D67-AA2D7CF5BBB0}"/>
              </c:ext>
            </c:extLst>
          </c:dPt>
          <c:dPt>
            <c:idx val="5"/>
            <c:invertIfNegative val="0"/>
            <c:bubble3D val="0"/>
            <c:spPr>
              <a:solidFill>
                <a:srgbClr val="FFFF00"/>
              </a:solidFill>
              <a:ln>
                <a:noFill/>
              </a:ln>
              <a:effectLst/>
            </c:spPr>
            <c:extLst>
              <c:ext xmlns:c16="http://schemas.microsoft.com/office/drawing/2014/chart" uri="{C3380CC4-5D6E-409C-BE32-E72D297353CC}">
                <c16:uniqueId val="{00000009-9E8B-4EE1-8D67-AA2D7CF5BBB0}"/>
              </c:ext>
            </c:extLst>
          </c:dPt>
          <c:cat>
            <c:strRef>
              <c:f>'CONSOLIDADO UNIDADES'!$B$24:$B$29</c:f>
              <c:strCache>
                <c:ptCount val="6"/>
                <c:pt idx="0">
                  <c:v>Sector Central</c:v>
                </c:pt>
                <c:pt idx="1">
                  <c:v>Disponibilidades </c:v>
                </c:pt>
                <c:pt idx="2">
                  <c:v>Compromisos</c:v>
                </c:pt>
                <c:pt idx="3">
                  <c:v>Obligaciones</c:v>
                </c:pt>
                <c:pt idx="4">
                  <c:v>Pagos </c:v>
                </c:pt>
                <c:pt idx="5">
                  <c:v>Disponible</c:v>
                </c:pt>
              </c:strCache>
            </c:strRef>
          </c:cat>
          <c:val>
            <c:numRef>
              <c:f>'CONSOLIDADO UNIDADES'!$C$24:$C$29</c:f>
              <c:numCache>
                <c:formatCode>_(* #,##0_);_(* \(#,##0\);_(* "-"??_);_(@_)</c:formatCode>
                <c:ptCount val="6"/>
                <c:pt idx="0">
                  <c:v>348347514675.73999</c:v>
                </c:pt>
                <c:pt idx="1">
                  <c:v>249455178085.90997</c:v>
                </c:pt>
                <c:pt idx="2">
                  <c:v>237707568371.31</c:v>
                </c:pt>
                <c:pt idx="3">
                  <c:v>195978899122.16</c:v>
                </c:pt>
                <c:pt idx="4">
                  <c:v>195978899122.16</c:v>
                </c:pt>
                <c:pt idx="5">
                  <c:v>98892336589.829956</c:v>
                </c:pt>
              </c:numCache>
            </c:numRef>
          </c:val>
          <c:extLst>
            <c:ext xmlns:c16="http://schemas.microsoft.com/office/drawing/2014/chart" uri="{C3380CC4-5D6E-409C-BE32-E72D297353CC}">
              <c16:uniqueId val="{0000000A-9E8B-4EE1-8D67-AA2D7CF5BBB0}"/>
            </c:ext>
          </c:extLst>
        </c:ser>
        <c:ser>
          <c:idx val="1"/>
          <c:order val="1"/>
          <c:tx>
            <c:strRef>
              <c:f>'CONSOLIDADO UNIDADES'!$D$23</c:f>
              <c:strCache>
                <c:ptCount val="1"/>
                <c:pt idx="0">
                  <c:v>%</c:v>
                </c:pt>
              </c:strCache>
            </c:strRef>
          </c:tx>
          <c:spPr>
            <a:solidFill>
              <a:schemeClr val="accent2"/>
            </a:solidFill>
            <a:ln>
              <a:noFill/>
            </a:ln>
            <a:effectLst/>
          </c:spPr>
          <c:invertIfNegative val="0"/>
          <c:cat>
            <c:strRef>
              <c:f>'CONSOLIDADO UNIDADES'!$B$24:$B$29</c:f>
              <c:strCache>
                <c:ptCount val="6"/>
                <c:pt idx="0">
                  <c:v>Sector Central</c:v>
                </c:pt>
                <c:pt idx="1">
                  <c:v>Disponibilidades </c:v>
                </c:pt>
                <c:pt idx="2">
                  <c:v>Compromisos</c:v>
                </c:pt>
                <c:pt idx="3">
                  <c:v>Obligaciones</c:v>
                </c:pt>
                <c:pt idx="4">
                  <c:v>Pagos </c:v>
                </c:pt>
                <c:pt idx="5">
                  <c:v>Disponible</c:v>
                </c:pt>
              </c:strCache>
            </c:strRef>
          </c:cat>
          <c:val>
            <c:numRef>
              <c:f>'CONSOLIDADO UNIDADES'!$D$24:$D$29</c:f>
              <c:numCache>
                <c:formatCode>0.00%</c:formatCode>
                <c:ptCount val="6"/>
                <c:pt idx="0" formatCode="0%">
                  <c:v>1</c:v>
                </c:pt>
                <c:pt idx="1">
                  <c:v>0.71611011296611615</c:v>
                </c:pt>
                <c:pt idx="2">
                  <c:v>0.68238629057704225</c:v>
                </c:pt>
                <c:pt idx="3">
                  <c:v>0.82445376251559677</c:v>
                </c:pt>
                <c:pt idx="4">
                  <c:v>0.82445376251559677</c:v>
                </c:pt>
                <c:pt idx="5">
                  <c:v>0.28388988703388368</c:v>
                </c:pt>
              </c:numCache>
            </c:numRef>
          </c:val>
          <c:extLst>
            <c:ext xmlns:c16="http://schemas.microsoft.com/office/drawing/2014/chart" uri="{C3380CC4-5D6E-409C-BE32-E72D297353CC}">
              <c16:uniqueId val="{0000000B-9E8B-4EE1-8D67-AA2D7CF5BBB0}"/>
            </c:ext>
          </c:extLst>
        </c:ser>
        <c:dLbls>
          <c:showLegendKey val="0"/>
          <c:showVal val="0"/>
          <c:showCatName val="0"/>
          <c:showSerName val="0"/>
          <c:showPercent val="0"/>
          <c:showBubbleSize val="0"/>
        </c:dLbls>
        <c:gapWidth val="219"/>
        <c:overlap val="-27"/>
        <c:axId val="181518960"/>
        <c:axId val="181519520"/>
      </c:barChart>
      <c:catAx>
        <c:axId val="18151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1519520"/>
        <c:crosses val="autoZero"/>
        <c:auto val="1"/>
        <c:lblAlgn val="ctr"/>
        <c:lblOffset val="100"/>
        <c:noMultiLvlLbl val="0"/>
      </c:catAx>
      <c:valAx>
        <c:axId val="181519520"/>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15189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Estado de Ejecución Entes</a:t>
            </a:r>
            <a:r>
              <a:rPr lang="es-CO" sz="1200" b="1" baseline="0">
                <a:latin typeface="Arial" panose="020B0604020202020204" pitchFamily="34" charset="0"/>
                <a:cs typeface="Arial" panose="020B0604020202020204" pitchFamily="34" charset="0"/>
              </a:rPr>
              <a:t> Descentralizados</a:t>
            </a:r>
          </a:p>
          <a:p>
            <a:pPr>
              <a:defRPr sz="1200" b="1">
                <a:latin typeface="Arial" panose="020B0604020202020204" pitchFamily="34" charset="0"/>
                <a:cs typeface="Arial" panose="020B0604020202020204" pitchFamily="34" charset="0"/>
              </a:defRPr>
            </a:pPr>
            <a:r>
              <a:rPr lang="es-CO" sz="1200" b="1" baseline="0">
                <a:latin typeface="Arial" panose="020B0604020202020204" pitchFamily="34" charset="0"/>
                <a:cs typeface="Arial" panose="020B0604020202020204" pitchFamily="34" charset="0"/>
              </a:rPr>
              <a:t>Gastos de Inversión con corte al 30 de septiembre 2022</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1-AFDD-4990-9685-52BA925AB3CE}"/>
              </c:ext>
            </c:extLst>
          </c:dPt>
          <c:dPt>
            <c:idx val="5"/>
            <c:invertIfNegative val="0"/>
            <c:bubble3D val="0"/>
            <c:spPr>
              <a:solidFill>
                <a:srgbClr val="FFFF00"/>
              </a:solidFill>
              <a:ln>
                <a:noFill/>
              </a:ln>
              <a:effectLst/>
            </c:spPr>
            <c:extLst>
              <c:ext xmlns:c16="http://schemas.microsoft.com/office/drawing/2014/chart" uri="{C3380CC4-5D6E-409C-BE32-E72D297353CC}">
                <c16:uniqueId val="{00000003-AFDD-4990-9685-52BA925AB3CE}"/>
              </c:ext>
            </c:extLst>
          </c:dPt>
          <c:cat>
            <c:strRef>
              <c:f>'CONSOLIDADO UNIDADES'!$B$33:$B$38</c:f>
              <c:strCache>
                <c:ptCount val="6"/>
                <c:pt idx="0">
                  <c:v>Descentralizados</c:v>
                </c:pt>
                <c:pt idx="1">
                  <c:v>Disponibilidades </c:v>
                </c:pt>
                <c:pt idx="2">
                  <c:v>Compromisos</c:v>
                </c:pt>
                <c:pt idx="3">
                  <c:v>Obligaciones</c:v>
                </c:pt>
                <c:pt idx="4">
                  <c:v>Pagos </c:v>
                </c:pt>
                <c:pt idx="5">
                  <c:v>Disponible</c:v>
                </c:pt>
              </c:strCache>
            </c:strRef>
          </c:cat>
          <c:val>
            <c:numRef>
              <c:f>'CONSOLIDADO UNIDADES'!$C$33:$C$38</c:f>
              <c:numCache>
                <c:formatCode>_(* #,##0_);_(* \(#,##0\);_(* "-"??_);_(@_)</c:formatCode>
                <c:ptCount val="6"/>
                <c:pt idx="0">
                  <c:v>10033429290.130001</c:v>
                </c:pt>
                <c:pt idx="1">
                  <c:v>6551271501.96</c:v>
                </c:pt>
                <c:pt idx="2">
                  <c:v>5727236137.9200001</c:v>
                </c:pt>
                <c:pt idx="3">
                  <c:v>3764447727.5300002</c:v>
                </c:pt>
                <c:pt idx="4">
                  <c:v>3757002727.5300002</c:v>
                </c:pt>
                <c:pt idx="5">
                  <c:v>3482157788.170001</c:v>
                </c:pt>
              </c:numCache>
            </c:numRef>
          </c:val>
          <c:extLst>
            <c:ext xmlns:c16="http://schemas.microsoft.com/office/drawing/2014/chart" uri="{C3380CC4-5D6E-409C-BE32-E72D297353CC}">
              <c16:uniqueId val="{00000004-AFDD-4990-9685-52BA925AB3CE}"/>
            </c:ext>
          </c:extLst>
        </c:ser>
        <c:ser>
          <c:idx val="1"/>
          <c:order val="1"/>
          <c:spPr>
            <a:solidFill>
              <a:schemeClr val="accent2"/>
            </a:solidFill>
            <a:ln>
              <a:noFill/>
            </a:ln>
            <a:effectLst/>
          </c:spPr>
          <c:invertIfNegative val="0"/>
          <c:cat>
            <c:strRef>
              <c:f>'CONSOLIDADO UNIDADES'!$B$33:$B$38</c:f>
              <c:strCache>
                <c:ptCount val="6"/>
                <c:pt idx="0">
                  <c:v>Descentralizados</c:v>
                </c:pt>
                <c:pt idx="1">
                  <c:v>Disponibilidades </c:v>
                </c:pt>
                <c:pt idx="2">
                  <c:v>Compromisos</c:v>
                </c:pt>
                <c:pt idx="3">
                  <c:v>Obligaciones</c:v>
                </c:pt>
                <c:pt idx="4">
                  <c:v>Pagos </c:v>
                </c:pt>
                <c:pt idx="5">
                  <c:v>Disponible</c:v>
                </c:pt>
              </c:strCache>
            </c:strRef>
          </c:cat>
          <c:val>
            <c:numRef>
              <c:f>'CONSOLIDADO UNIDADES'!$D$33:$D$38</c:f>
              <c:numCache>
                <c:formatCode>0.00%</c:formatCode>
                <c:ptCount val="6"/>
                <c:pt idx="0" formatCode="0%">
                  <c:v>1</c:v>
                </c:pt>
                <c:pt idx="1">
                  <c:v>0.65294440340597815</c:v>
                </c:pt>
                <c:pt idx="2">
                  <c:v>0.57081541836886696</c:v>
                </c:pt>
                <c:pt idx="3">
                  <c:v>0.65728872302044816</c:v>
                </c:pt>
                <c:pt idx="4">
                  <c:v>0.65598879408077926</c:v>
                </c:pt>
                <c:pt idx="5">
                  <c:v>0.34705559659402191</c:v>
                </c:pt>
              </c:numCache>
            </c:numRef>
          </c:val>
          <c:extLst>
            <c:ext xmlns:c16="http://schemas.microsoft.com/office/drawing/2014/chart" uri="{C3380CC4-5D6E-409C-BE32-E72D297353CC}">
              <c16:uniqueId val="{00000005-AFDD-4990-9685-52BA925AB3CE}"/>
            </c:ext>
          </c:extLst>
        </c:ser>
        <c:dLbls>
          <c:showLegendKey val="0"/>
          <c:showVal val="0"/>
          <c:showCatName val="0"/>
          <c:showSerName val="0"/>
          <c:showPercent val="0"/>
          <c:showBubbleSize val="0"/>
        </c:dLbls>
        <c:gapWidth val="219"/>
        <c:overlap val="-27"/>
        <c:axId val="181523440"/>
        <c:axId val="181524000"/>
      </c:barChart>
      <c:catAx>
        <c:axId val="181523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1524000"/>
        <c:crosses val="autoZero"/>
        <c:auto val="1"/>
        <c:lblAlgn val="ctr"/>
        <c:lblOffset val="100"/>
        <c:noMultiLvlLbl val="0"/>
      </c:catAx>
      <c:valAx>
        <c:axId val="181524000"/>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152344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i="0" baseline="0">
                <a:effectLst/>
                <a:latin typeface="Arial" panose="020B0604020202020204" pitchFamily="34" charset="0"/>
                <a:cs typeface="Arial" panose="020B0604020202020204" pitchFamily="34" charset="0"/>
              </a:rPr>
              <a:t>Estado de Ejecución Departamento Quindiío</a:t>
            </a:r>
            <a:endParaRPr lang="es-CO" sz="1200" b="1">
              <a:effectLst/>
              <a:latin typeface="Arial" panose="020B0604020202020204" pitchFamily="34" charset="0"/>
              <a:cs typeface="Arial" panose="020B0604020202020204" pitchFamily="34" charset="0"/>
            </a:endParaRPr>
          </a:p>
          <a:p>
            <a:pPr>
              <a:defRPr sz="1200" b="1">
                <a:latin typeface="Arial" panose="020B0604020202020204" pitchFamily="34" charset="0"/>
                <a:cs typeface="Arial" panose="020B0604020202020204" pitchFamily="34" charset="0"/>
              </a:defRPr>
            </a:pPr>
            <a:r>
              <a:rPr lang="es-CO" sz="1200" b="1" i="0" baseline="0">
                <a:effectLst/>
                <a:latin typeface="Arial" panose="020B0604020202020204" pitchFamily="34" charset="0"/>
                <a:cs typeface="Arial" panose="020B0604020202020204" pitchFamily="34" charset="0"/>
              </a:rPr>
              <a:t>Gastos de Inversión con corte al 30 de septiembre de 2022</a:t>
            </a:r>
            <a:endParaRPr lang="es-CO" sz="1200" b="1">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1-3C88-4813-BD79-DF6A7B870754}"/>
              </c:ext>
            </c:extLst>
          </c:dPt>
          <c:dPt>
            <c:idx val="1"/>
            <c:invertIfNegative val="0"/>
            <c:bubble3D val="0"/>
            <c:spPr>
              <a:solidFill>
                <a:srgbClr val="C00000"/>
              </a:solidFill>
              <a:ln>
                <a:noFill/>
              </a:ln>
              <a:effectLst/>
            </c:spPr>
            <c:extLst>
              <c:ext xmlns:c16="http://schemas.microsoft.com/office/drawing/2014/chart" uri="{C3380CC4-5D6E-409C-BE32-E72D297353CC}">
                <c16:uniqueId val="{00000003-3C88-4813-BD79-DF6A7B870754}"/>
              </c:ext>
            </c:extLst>
          </c:dPt>
          <c:dPt>
            <c:idx val="2"/>
            <c:invertIfNegative val="0"/>
            <c:bubble3D val="0"/>
            <c:spPr>
              <a:solidFill>
                <a:srgbClr val="00B0F0"/>
              </a:solidFill>
              <a:ln>
                <a:noFill/>
              </a:ln>
              <a:effectLst/>
            </c:spPr>
            <c:extLst>
              <c:ext xmlns:c16="http://schemas.microsoft.com/office/drawing/2014/chart" uri="{C3380CC4-5D6E-409C-BE32-E72D297353CC}">
                <c16:uniqueId val="{00000005-3C88-4813-BD79-DF6A7B870754}"/>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7-3C88-4813-BD79-DF6A7B870754}"/>
              </c:ext>
            </c:extLst>
          </c:dPt>
          <c:dPt>
            <c:idx val="4"/>
            <c:invertIfNegative val="0"/>
            <c:bubble3D val="0"/>
            <c:spPr>
              <a:solidFill>
                <a:srgbClr val="92D050"/>
              </a:solidFill>
              <a:ln>
                <a:noFill/>
              </a:ln>
              <a:effectLst/>
            </c:spPr>
            <c:extLst>
              <c:ext xmlns:c16="http://schemas.microsoft.com/office/drawing/2014/chart" uri="{C3380CC4-5D6E-409C-BE32-E72D297353CC}">
                <c16:uniqueId val="{00000009-3C88-4813-BD79-DF6A7B870754}"/>
              </c:ext>
            </c:extLst>
          </c:dPt>
          <c:dPt>
            <c:idx val="5"/>
            <c:invertIfNegative val="0"/>
            <c:bubble3D val="0"/>
            <c:spPr>
              <a:solidFill>
                <a:srgbClr val="FFFF00"/>
              </a:solidFill>
              <a:ln>
                <a:noFill/>
              </a:ln>
              <a:effectLst/>
            </c:spPr>
            <c:extLst>
              <c:ext xmlns:c16="http://schemas.microsoft.com/office/drawing/2014/chart" uri="{C3380CC4-5D6E-409C-BE32-E72D297353CC}">
                <c16:uniqueId val="{0000000B-3C88-4813-BD79-DF6A7B870754}"/>
              </c:ext>
            </c:extLst>
          </c:dPt>
          <c:cat>
            <c:strRef>
              <c:f>'CONSOLIDADO UNIDADES'!$B$47:$B$52</c:f>
              <c:strCache>
                <c:ptCount val="6"/>
                <c:pt idx="0">
                  <c:v>Departamento Quindío</c:v>
                </c:pt>
                <c:pt idx="1">
                  <c:v>Disponibilidades </c:v>
                </c:pt>
                <c:pt idx="2">
                  <c:v>Compromisos</c:v>
                </c:pt>
                <c:pt idx="3">
                  <c:v>Obligaciones</c:v>
                </c:pt>
                <c:pt idx="4">
                  <c:v>Pagos </c:v>
                </c:pt>
                <c:pt idx="5">
                  <c:v>Disponible</c:v>
                </c:pt>
              </c:strCache>
            </c:strRef>
          </c:cat>
          <c:val>
            <c:numRef>
              <c:f>'CONSOLIDADO UNIDADES'!$C$47:$C$52</c:f>
              <c:numCache>
                <c:formatCode>_(* #,##0_);_(* \(#,##0\);_(* "-"??_);_(@_)</c:formatCode>
                <c:ptCount val="6"/>
                <c:pt idx="0">
                  <c:v>358380943965.87</c:v>
                </c:pt>
                <c:pt idx="1">
                  <c:v>256006449587.86996</c:v>
                </c:pt>
                <c:pt idx="2">
                  <c:v>243434804509.23001</c:v>
                </c:pt>
                <c:pt idx="3">
                  <c:v>199743346849.69</c:v>
                </c:pt>
                <c:pt idx="4">
                  <c:v>199735901849.69</c:v>
                </c:pt>
                <c:pt idx="5">
                  <c:v>102374494377.99995</c:v>
                </c:pt>
              </c:numCache>
            </c:numRef>
          </c:val>
          <c:extLst>
            <c:ext xmlns:c16="http://schemas.microsoft.com/office/drawing/2014/chart" uri="{C3380CC4-5D6E-409C-BE32-E72D297353CC}">
              <c16:uniqueId val="{0000000C-3C88-4813-BD79-DF6A7B870754}"/>
            </c:ext>
          </c:extLst>
        </c:ser>
        <c:ser>
          <c:idx val="1"/>
          <c:order val="1"/>
          <c:spPr>
            <a:solidFill>
              <a:schemeClr val="accent2"/>
            </a:solidFill>
            <a:ln>
              <a:noFill/>
            </a:ln>
            <a:effectLst/>
          </c:spPr>
          <c:invertIfNegative val="0"/>
          <c:cat>
            <c:strRef>
              <c:f>'CONSOLIDADO UNIDADES'!$B$47:$B$52</c:f>
              <c:strCache>
                <c:ptCount val="6"/>
                <c:pt idx="0">
                  <c:v>Departamento Quindío</c:v>
                </c:pt>
                <c:pt idx="1">
                  <c:v>Disponibilidades </c:v>
                </c:pt>
                <c:pt idx="2">
                  <c:v>Compromisos</c:v>
                </c:pt>
                <c:pt idx="3">
                  <c:v>Obligaciones</c:v>
                </c:pt>
                <c:pt idx="4">
                  <c:v>Pagos </c:v>
                </c:pt>
                <c:pt idx="5">
                  <c:v>Disponible</c:v>
                </c:pt>
              </c:strCache>
            </c:strRef>
          </c:cat>
          <c:val>
            <c:numRef>
              <c:f>'CONSOLIDADO UNIDADES'!$D$47:$D$52</c:f>
              <c:numCache>
                <c:formatCode>0.00%</c:formatCode>
                <c:ptCount val="6"/>
                <c:pt idx="0" formatCode="0%">
                  <c:v>1</c:v>
                </c:pt>
                <c:pt idx="1">
                  <c:v>0.71434169114820578</c:v>
                </c:pt>
                <c:pt idx="2">
                  <c:v>0.67926269130094497</c:v>
                </c:pt>
                <c:pt idx="3">
                  <c:v>0.82052090806151179</c:v>
                </c:pt>
                <c:pt idx="4">
                  <c:v>0.82049032492441676</c:v>
                </c:pt>
                <c:pt idx="5">
                  <c:v>0.28565830885179394</c:v>
                </c:pt>
              </c:numCache>
            </c:numRef>
          </c:val>
          <c:extLst>
            <c:ext xmlns:c16="http://schemas.microsoft.com/office/drawing/2014/chart" uri="{C3380CC4-5D6E-409C-BE32-E72D297353CC}">
              <c16:uniqueId val="{0000000D-3C88-4813-BD79-DF6A7B870754}"/>
            </c:ext>
          </c:extLst>
        </c:ser>
        <c:dLbls>
          <c:showLegendKey val="0"/>
          <c:showVal val="0"/>
          <c:showCatName val="0"/>
          <c:showSerName val="0"/>
          <c:showPercent val="0"/>
          <c:showBubbleSize val="0"/>
        </c:dLbls>
        <c:gapWidth val="219"/>
        <c:overlap val="-27"/>
        <c:axId val="182053808"/>
        <c:axId val="182054368"/>
      </c:barChart>
      <c:catAx>
        <c:axId val="182053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2054368"/>
        <c:crosses val="autoZero"/>
        <c:auto val="1"/>
        <c:lblAlgn val="ctr"/>
        <c:lblOffset val="100"/>
        <c:noMultiLvlLbl val="0"/>
      </c:catAx>
      <c:valAx>
        <c:axId val="182054368"/>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20538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1">
                <a:effectLst/>
              </a:rPr>
              <a:t>COMPARATIVO  DISPONIBILIDADES  Vs. REGISTROS PRESUPUESTALES </a:t>
            </a:r>
            <a:endParaRPr lang="es-CO">
              <a:effectLst/>
            </a:endParaRPr>
          </a:p>
          <a:p>
            <a:pPr>
              <a:defRPr/>
            </a:pPr>
            <a:r>
              <a:rPr lang="es-CO" sz="1800" b="1">
                <a:effectLst/>
              </a:rPr>
              <a:t>PLAN OPERATIVO ANUAL DE INVERSIONES POAI   CON CORTE AL 30 DE SEPTIEMBRE DE 2022 </a:t>
            </a:r>
          </a:p>
          <a:p>
            <a:pPr>
              <a:defRPr/>
            </a:pPr>
            <a:r>
              <a:rPr lang="es-CO" sz="1800" b="1">
                <a:effectLst/>
              </a:rPr>
              <a:t>POR UNIDADES EJECUTORAS</a:t>
            </a:r>
            <a:endParaRPr lang="es-CO">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'CONSOLIDADO UNIDADES'!$D$2</c:f>
              <c:strCache>
                <c:ptCount val="1"/>
                <c:pt idx="0">
                  <c:v>% PD</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'CONSOLIDADO UNIDADES'!$B$3:$B$22</c15:sqref>
                  </c15:fullRef>
                </c:ext>
              </c:extLst>
              <c:f>('CONSOLIDADO UNIDADES'!$B$3:$B$15,'CONSOLIDADO UNIDADES'!$B$17:$B$19,'CONSOLIDADO UNIDADES'!$B$22)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Privada</c:v>
                </c:pt>
                <c:pt idx="9">
                  <c:v>Educación</c:v>
                </c:pt>
                <c:pt idx="10">
                  <c:v>Familia</c:v>
                </c:pt>
                <c:pt idx="11">
                  <c:v>Salud</c:v>
                </c:pt>
                <c:pt idx="12">
                  <c:v>Tecnología de la Información y las Comunicaciones</c:v>
                </c:pt>
                <c:pt idx="13">
                  <c:v>Indeportes</c:v>
                </c:pt>
                <c:pt idx="14">
                  <c:v>Proyecta</c:v>
                </c:pt>
                <c:pt idx="15">
                  <c:v>Instituto Departamental de Transito</c:v>
                </c:pt>
                <c:pt idx="16">
                  <c:v>TOTAL DEPARTAMENTO</c:v>
                </c:pt>
              </c:strCache>
            </c:strRef>
          </c:cat>
          <c:val>
            <c:numRef>
              <c:extLst>
                <c:ext xmlns:c15="http://schemas.microsoft.com/office/drawing/2012/chart" uri="{02D57815-91ED-43cb-92C2-25804820EDAC}">
                  <c15:fullRef>
                    <c15:sqref>'CONSOLIDADO UNIDADES'!$D$3:$D$22</c15:sqref>
                  </c15:fullRef>
                </c:ext>
              </c:extLst>
              <c:f>('CONSOLIDADO UNIDADES'!$D$3:$D$15,'CONSOLIDADO UNIDADES'!$D$17:$D$19,'CONSOLIDADO UNIDADES'!$D$22)</c:f>
              <c:numCache>
                <c:formatCode>0%</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extLst>
            <c:ext xmlns:c16="http://schemas.microsoft.com/office/drawing/2014/chart" uri="{C3380CC4-5D6E-409C-BE32-E72D297353CC}">
              <c16:uniqueId val="{00000000-733C-451D-8347-26BE7072BEFC}"/>
            </c:ext>
          </c:extLst>
        </c:ser>
        <c:ser>
          <c:idx val="1"/>
          <c:order val="1"/>
          <c:tx>
            <c:strRef>
              <c:f>'CONSOLIDADO UNIDADES'!$F$2</c:f>
              <c:strCache>
                <c:ptCount val="1"/>
                <c:pt idx="0">
                  <c:v>% CD</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'CONSOLIDADO UNIDADES'!$B$3:$B$22</c15:sqref>
                  </c15:fullRef>
                </c:ext>
              </c:extLst>
              <c:f>('CONSOLIDADO UNIDADES'!$B$3:$B$15,'CONSOLIDADO UNIDADES'!$B$17:$B$19,'CONSOLIDADO UNIDADES'!$B$22)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Privada</c:v>
                </c:pt>
                <c:pt idx="9">
                  <c:v>Educación</c:v>
                </c:pt>
                <c:pt idx="10">
                  <c:v>Familia</c:v>
                </c:pt>
                <c:pt idx="11">
                  <c:v>Salud</c:v>
                </c:pt>
                <c:pt idx="12">
                  <c:v>Tecnología de la Información y las Comunicaciones</c:v>
                </c:pt>
                <c:pt idx="13">
                  <c:v>Indeportes</c:v>
                </c:pt>
                <c:pt idx="14">
                  <c:v>Proyecta</c:v>
                </c:pt>
                <c:pt idx="15">
                  <c:v>Instituto Departamental de Transito</c:v>
                </c:pt>
                <c:pt idx="16">
                  <c:v>TOTAL DEPARTAMENTO</c:v>
                </c:pt>
              </c:strCache>
            </c:strRef>
          </c:cat>
          <c:val>
            <c:numRef>
              <c:extLst>
                <c:ext xmlns:c15="http://schemas.microsoft.com/office/drawing/2012/chart" uri="{02D57815-91ED-43cb-92C2-25804820EDAC}">
                  <c15:fullRef>
                    <c15:sqref>'CONSOLIDADO UNIDADES'!$F$3:$F$22</c15:sqref>
                  </c15:fullRef>
                </c:ext>
              </c:extLst>
              <c:f>('CONSOLIDADO UNIDADES'!$F$3:$F$15,'CONSOLIDADO UNIDADES'!$F$17:$F$19,'CONSOLIDADO UNIDADES'!$F$22)</c:f>
              <c:numCache>
                <c:formatCode>0%</c:formatCode>
                <c:ptCount val="17"/>
                <c:pt idx="0">
                  <c:v>0.69671361860820935</c:v>
                </c:pt>
                <c:pt idx="1">
                  <c:v>0.83351201347275616</c:v>
                </c:pt>
                <c:pt idx="2">
                  <c:v>0.90507802959694472</c:v>
                </c:pt>
                <c:pt idx="3">
                  <c:v>0.60973282302238474</c:v>
                </c:pt>
                <c:pt idx="4">
                  <c:v>0.60438955213096968</c:v>
                </c:pt>
                <c:pt idx="5">
                  <c:v>0.93578177730609335</c:v>
                </c:pt>
                <c:pt idx="6">
                  <c:v>0.79780620625187293</c:v>
                </c:pt>
                <c:pt idx="7">
                  <c:v>0.63564463325738685</c:v>
                </c:pt>
                <c:pt idx="8">
                  <c:v>0.94586928305539375</c:v>
                </c:pt>
                <c:pt idx="9">
                  <c:v>0.6983999914481871</c:v>
                </c:pt>
                <c:pt idx="10">
                  <c:v>0.60242578142074177</c:v>
                </c:pt>
                <c:pt idx="11">
                  <c:v>0.81726216780040806</c:v>
                </c:pt>
                <c:pt idx="12">
                  <c:v>0.88551330157700547</c:v>
                </c:pt>
                <c:pt idx="13">
                  <c:v>0.79092442145784325</c:v>
                </c:pt>
                <c:pt idx="14">
                  <c:v>0.35851296663658666</c:v>
                </c:pt>
                <c:pt idx="15">
                  <c:v>0.68976878210442027</c:v>
                </c:pt>
                <c:pt idx="16">
                  <c:v>0.71434169114820578</c:v>
                </c:pt>
              </c:numCache>
            </c:numRef>
          </c:val>
          <c:extLst>
            <c:ext xmlns:c16="http://schemas.microsoft.com/office/drawing/2014/chart" uri="{C3380CC4-5D6E-409C-BE32-E72D297353CC}">
              <c16:uniqueId val="{00000001-733C-451D-8347-26BE7072BEFC}"/>
            </c:ext>
          </c:extLst>
        </c:ser>
        <c:ser>
          <c:idx val="2"/>
          <c:order val="2"/>
          <c:tx>
            <c:strRef>
              <c:f>'CONSOLIDADO UNIDADES'!$H$2</c:f>
              <c:strCache>
                <c:ptCount val="1"/>
                <c:pt idx="0">
                  <c:v>% RP</c:v>
                </c:pt>
              </c:strCache>
            </c:strRef>
          </c:tx>
          <c:spPr>
            <a:solidFill>
              <a:srgbClr val="FFC000"/>
            </a:solidFill>
            <a:ln>
              <a:noFill/>
            </a:ln>
            <a:effectLst/>
          </c:spPr>
          <c:invertIfNegative val="0"/>
          <c:dLbls>
            <c:dLbl>
              <c:idx val="0"/>
              <c:layout>
                <c:manualLayout>
                  <c:x val="3.3096929178304886E-3"/>
                  <c:y val="-4.20136445099827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3C-451D-8347-26BE7072BEFC}"/>
                </c:ext>
              </c:extLst>
            </c:dLbl>
            <c:dLbl>
              <c:idx val="9"/>
              <c:layout>
                <c:manualLayout>
                  <c:x val="3.3096929178304886E-3"/>
                  <c:y val="-3.5711597833485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3C-451D-8347-26BE7072BEFC}"/>
                </c:ext>
              </c:extLst>
            </c:dLbl>
            <c:dLbl>
              <c:idx val="13"/>
              <c:layout>
                <c:manualLayout>
                  <c:x val="6.6193858356610579E-3"/>
                  <c:y val="-3.781228005898458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3C-451D-8347-26BE7072BEFC}"/>
                </c:ext>
              </c:extLst>
            </c:dLbl>
            <c:dLbl>
              <c:idx val="14"/>
              <c:layout>
                <c:manualLayout>
                  <c:x val="1.1032309726101627E-3"/>
                  <c:y val="-3.36109156079863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33C-451D-8347-26BE7072BEFC}"/>
                </c:ext>
              </c:extLst>
            </c:dLbl>
            <c:dLbl>
              <c:idx val="15"/>
              <c:layout>
                <c:manualLayout>
                  <c:x val="1.1032309726101629E-2"/>
                  <c:y val="-4.20136445099827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33C-451D-8347-26BE7072BEF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'CONSOLIDADO UNIDADES'!$B$3:$B$22</c15:sqref>
                  </c15:fullRef>
                </c:ext>
              </c:extLst>
              <c:f>('CONSOLIDADO UNIDADES'!$B$3:$B$15,'CONSOLIDADO UNIDADES'!$B$17:$B$19,'CONSOLIDADO UNIDADES'!$B$22)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Privada</c:v>
                </c:pt>
                <c:pt idx="9">
                  <c:v>Educación</c:v>
                </c:pt>
                <c:pt idx="10">
                  <c:v>Familia</c:v>
                </c:pt>
                <c:pt idx="11">
                  <c:v>Salud</c:v>
                </c:pt>
                <c:pt idx="12">
                  <c:v>Tecnología de la Información y las Comunicaciones</c:v>
                </c:pt>
                <c:pt idx="13">
                  <c:v>Indeportes</c:v>
                </c:pt>
                <c:pt idx="14">
                  <c:v>Proyecta</c:v>
                </c:pt>
                <c:pt idx="15">
                  <c:v>Instituto Departamental de Transito</c:v>
                </c:pt>
                <c:pt idx="16">
                  <c:v>TOTAL DEPARTAMENTO</c:v>
                </c:pt>
              </c:strCache>
            </c:strRef>
          </c:cat>
          <c:val>
            <c:numRef>
              <c:extLst>
                <c:ext xmlns:c15="http://schemas.microsoft.com/office/drawing/2012/chart" uri="{02D57815-91ED-43cb-92C2-25804820EDAC}">
                  <c15:fullRef>
                    <c15:sqref>'CONSOLIDADO UNIDADES'!$H$3:$H$22</c15:sqref>
                  </c15:fullRef>
                </c:ext>
              </c:extLst>
              <c:f>('CONSOLIDADO UNIDADES'!$H$3:$H$15,'CONSOLIDADO UNIDADES'!$H$17:$H$19,'CONSOLIDADO UNIDADES'!$H$22)</c:f>
              <c:numCache>
                <c:formatCode>0%</c:formatCode>
                <c:ptCount val="17"/>
                <c:pt idx="0">
                  <c:v>0.67237806341253359</c:v>
                </c:pt>
                <c:pt idx="1">
                  <c:v>0.80129423477637385</c:v>
                </c:pt>
                <c:pt idx="2">
                  <c:v>0.8735962369969017</c:v>
                </c:pt>
                <c:pt idx="3">
                  <c:v>0.48073012944733656</c:v>
                </c:pt>
                <c:pt idx="4">
                  <c:v>0.50689015897976963</c:v>
                </c:pt>
                <c:pt idx="5">
                  <c:v>0.79871412529075991</c:v>
                </c:pt>
                <c:pt idx="6">
                  <c:v>0.68447205631129915</c:v>
                </c:pt>
                <c:pt idx="7">
                  <c:v>0.57731109811508841</c:v>
                </c:pt>
                <c:pt idx="8">
                  <c:v>0.71993817089109902</c:v>
                </c:pt>
                <c:pt idx="9">
                  <c:v>0.68658375887577505</c:v>
                </c:pt>
                <c:pt idx="10">
                  <c:v>0.54026068186318954</c:v>
                </c:pt>
                <c:pt idx="11">
                  <c:v>0.79214221897998516</c:v>
                </c:pt>
                <c:pt idx="12">
                  <c:v>0.86098946210637706</c:v>
                </c:pt>
                <c:pt idx="13">
                  <c:v>0.67306248527672985</c:v>
                </c:pt>
                <c:pt idx="14">
                  <c:v>0.34904122861560494</c:v>
                </c:pt>
                <c:pt idx="15">
                  <c:v>0.69857808966641799</c:v>
                </c:pt>
                <c:pt idx="16">
                  <c:v>0.67926269130094497</c:v>
                </c:pt>
              </c:numCache>
            </c:numRef>
          </c:val>
          <c:extLst>
            <c:ext xmlns:c15="http://schemas.microsoft.com/office/drawing/2012/chart" uri="{02D57815-91ED-43cb-92C2-25804820EDAC}">
              <c15:categoryFilterExceptions>
                <c15:categoryFilterException>
                  <c15:sqref>'CONSOLIDADO UNIDADES'!$H$20</c15:sqref>
                  <c15:dLbl>
                    <c:idx val="15"/>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0-9F6F-49E9-A705-D3B00D6656D6}"/>
                      </c:ext>
                    </c:extLst>
                  </c15:dLbl>
                </c15:categoryFilterException>
              </c15:categoryFilterExceptions>
            </c:ext>
            <c:ext xmlns:c16="http://schemas.microsoft.com/office/drawing/2014/chart" uri="{C3380CC4-5D6E-409C-BE32-E72D297353CC}">
              <c16:uniqueId val="{00000007-733C-451D-8347-26BE7072BEFC}"/>
            </c:ext>
          </c:extLst>
        </c:ser>
        <c:dLbls>
          <c:dLblPos val="outEnd"/>
          <c:showLegendKey val="0"/>
          <c:showVal val="1"/>
          <c:showCatName val="0"/>
          <c:showSerName val="0"/>
          <c:showPercent val="0"/>
          <c:showBubbleSize val="0"/>
        </c:dLbls>
        <c:gapWidth val="219"/>
        <c:overlap val="-27"/>
        <c:axId val="182058288"/>
        <c:axId val="182058848"/>
      </c:barChart>
      <c:catAx>
        <c:axId val="182058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2058848"/>
        <c:crosses val="autoZero"/>
        <c:auto val="1"/>
        <c:lblAlgn val="ctr"/>
        <c:lblOffset val="100"/>
        <c:noMultiLvlLbl val="0"/>
      </c:catAx>
      <c:valAx>
        <c:axId val="1820588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2058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349251</xdr:colOff>
      <xdr:row>0</xdr:row>
      <xdr:rowOff>195034</xdr:rowOff>
    </xdr:from>
    <xdr:ext cx="1222373" cy="1217841"/>
    <xdr:pic>
      <xdr:nvPicPr>
        <xdr:cNvPr id="2" name="Imagen 1" descr="C:\Users\AUXPLANEACION03\Desktop\Gobernacion_del_quindio.jpg">
          <a:extLst>
            <a:ext uri="{FF2B5EF4-FFF2-40B4-BE49-F238E27FC236}">
              <a16:creationId xmlns:a16="http://schemas.microsoft.com/office/drawing/2014/main" id="{1C78F047-D265-48F9-B901-474642B5EE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195034"/>
          <a:ext cx="1222373" cy="1217841"/>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276225</xdr:colOff>
      <xdr:row>23</xdr:row>
      <xdr:rowOff>4158</xdr:rowOff>
    </xdr:from>
    <xdr:to>
      <xdr:col>13</xdr:col>
      <xdr:colOff>1224642</xdr:colOff>
      <xdr:row>39</xdr:row>
      <xdr:rowOff>95252</xdr:rowOff>
    </xdr:to>
    <xdr:graphicFrame macro="">
      <xdr:nvGraphicFramePr>
        <xdr:cNvPr id="2" name="Grá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326571</xdr:colOff>
      <xdr:row>41</xdr:row>
      <xdr:rowOff>159202</xdr:rowOff>
    </xdr:from>
    <xdr:to>
      <xdr:col>13</xdr:col>
      <xdr:colOff>1455964</xdr:colOff>
      <xdr:row>57</xdr:row>
      <xdr:rowOff>27214</xdr:rowOff>
    </xdr:to>
    <xdr:graphicFrame macro="">
      <xdr:nvGraphicFramePr>
        <xdr:cNvPr id="3" name="Gráfico 2">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340179</xdr:colOff>
      <xdr:row>59</xdr:row>
      <xdr:rowOff>145596</xdr:rowOff>
    </xdr:from>
    <xdr:to>
      <xdr:col>14</xdr:col>
      <xdr:colOff>40821</xdr:colOff>
      <xdr:row>79</xdr:row>
      <xdr:rowOff>40822</xdr:rowOff>
    </xdr:to>
    <xdr:graphicFrame macro="">
      <xdr:nvGraphicFramePr>
        <xdr:cNvPr id="4" name="Gráfico 3">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54429</xdr:colOff>
      <xdr:row>0</xdr:row>
      <xdr:rowOff>853166</xdr:rowOff>
    </xdr:from>
    <xdr:to>
      <xdr:col>32</xdr:col>
      <xdr:colOff>353785</xdr:colOff>
      <xdr:row>29</xdr:row>
      <xdr:rowOff>81643</xdr:rowOff>
    </xdr:to>
    <xdr:graphicFrame macro="">
      <xdr:nvGraphicFramePr>
        <xdr:cNvPr id="5" name="Gráfico 4">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sheetPr>
  <dimension ref="A1:BO345"/>
  <sheetViews>
    <sheetView showGridLines="0" tabSelected="1" zoomScale="60" zoomScaleNormal="60" workbookViewId="0"/>
  </sheetViews>
  <sheetFormatPr baseColWidth="10" defaultColWidth="11.42578125" defaultRowHeight="15" x14ac:dyDescent="0.2"/>
  <cols>
    <col min="1" max="1" width="10.85546875" style="11" customWidth="1"/>
    <col min="2" max="2" width="21.28515625" style="11" customWidth="1"/>
    <col min="3" max="3" width="21.28515625" style="6" customWidth="1"/>
    <col min="4" max="4" width="21.28515625" style="9" customWidth="1"/>
    <col min="5" max="5" width="21.28515625" style="10" customWidth="1"/>
    <col min="6" max="6" width="24.42578125" style="9" customWidth="1"/>
    <col min="7" max="7" width="21.28515625" style="10" customWidth="1"/>
    <col min="8" max="8" width="41.7109375" style="11" customWidth="1"/>
    <col min="9" max="9" width="21.28515625" style="11" customWidth="1"/>
    <col min="10" max="10" width="41.7109375" style="11" customWidth="1"/>
    <col min="11" max="11" width="53.42578125" style="9" customWidth="1"/>
    <col min="12" max="12" width="21.28515625" style="10" customWidth="1"/>
    <col min="13" max="13" width="46.5703125" style="9" customWidth="1"/>
    <col min="14" max="14" width="21.28515625" style="7" customWidth="1"/>
    <col min="15" max="15" width="39.85546875" style="9" customWidth="1"/>
    <col min="16" max="16" width="21.28515625" style="9" customWidth="1"/>
    <col min="17" max="17" width="34.140625" style="11" customWidth="1"/>
    <col min="18" max="18" width="17.7109375" style="10" customWidth="1"/>
    <col min="19" max="19" width="30.28515625" style="11" customWidth="1"/>
    <col min="20" max="20" width="17.140625" style="8" customWidth="1"/>
    <col min="21" max="21" width="13.140625" style="10" customWidth="1"/>
    <col min="22" max="22" width="14" style="10" customWidth="1"/>
    <col min="23" max="23" width="15" style="10" customWidth="1"/>
    <col min="24" max="24" width="18" style="10" customWidth="1"/>
    <col min="25" max="25" width="23" style="49" customWidth="1"/>
    <col min="26" max="26" width="53.85546875" style="11" customWidth="1"/>
    <col min="27" max="27" width="75" style="11" customWidth="1"/>
    <col min="28" max="28" width="28.42578125" style="16" customWidth="1"/>
    <col min="29" max="30" width="28.42578125" style="118" customWidth="1"/>
    <col min="31" max="31" width="31.28515625" style="16" customWidth="1"/>
    <col min="32" max="33" width="31.28515625" style="118" customWidth="1"/>
    <col min="34" max="34" width="33" style="16" customWidth="1"/>
    <col min="35" max="36" width="33" style="118" customWidth="1"/>
    <col min="37" max="37" width="33" style="16" customWidth="1"/>
    <col min="38" max="39" width="33" style="118" customWidth="1"/>
    <col min="40" max="40" width="34.5703125" style="16" customWidth="1"/>
    <col min="41" max="42" width="33.42578125" style="2" customWidth="1"/>
    <col min="43" max="43" width="32.85546875" style="16" customWidth="1"/>
    <col min="44" max="45" width="27.140625" style="118" customWidth="1"/>
    <col min="46" max="46" width="27" style="308" customWidth="1"/>
    <col min="47" max="47" width="25.7109375" style="12" customWidth="1"/>
    <col min="48" max="48" width="27" style="12" customWidth="1"/>
    <col min="49" max="49" width="25.140625" style="16" customWidth="1"/>
    <col min="50" max="50" width="26.5703125" style="118" customWidth="1"/>
    <col min="51" max="51" width="26.140625" style="118" customWidth="1"/>
    <col min="52" max="54" width="23" style="118" customWidth="1"/>
    <col min="55" max="55" width="25.5703125" style="16" customWidth="1"/>
    <col min="56" max="57" width="25.5703125" style="118" customWidth="1"/>
    <col min="58" max="58" width="35.85546875" style="16" customWidth="1"/>
    <col min="59" max="60" width="35.85546875" style="2" customWidth="1"/>
    <col min="61" max="61" width="26" style="20" customWidth="1"/>
    <col min="62" max="62" width="11.42578125" style="1"/>
    <col min="63" max="63" width="30.42578125" style="1" customWidth="1"/>
    <col min="64" max="64" width="29.7109375" style="1" customWidth="1"/>
    <col min="65" max="67" width="27" style="1" customWidth="1"/>
    <col min="68" max="16384" width="11.42578125" style="1"/>
  </cols>
  <sheetData>
    <row r="1" spans="1:64" ht="35.25" customHeight="1" x14ac:dyDescent="0.2">
      <c r="C1" s="560" t="s">
        <v>1271</v>
      </c>
      <c r="D1" s="561"/>
      <c r="E1" s="561"/>
      <c r="F1" s="561"/>
      <c r="G1" s="561"/>
      <c r="H1" s="561"/>
      <c r="I1" s="561"/>
      <c r="J1" s="561"/>
      <c r="K1" s="561"/>
      <c r="L1" s="561"/>
      <c r="M1" s="561"/>
      <c r="N1" s="561"/>
      <c r="O1" s="561"/>
      <c r="P1" s="561"/>
      <c r="Q1" s="561"/>
      <c r="R1" s="561"/>
      <c r="S1" s="561"/>
      <c r="T1" s="561"/>
      <c r="U1" s="561"/>
      <c r="V1" s="561"/>
      <c r="W1" s="561"/>
      <c r="X1" s="561"/>
      <c r="Y1" s="561"/>
      <c r="Z1" s="561"/>
      <c r="AA1" s="561"/>
      <c r="AB1" s="562"/>
      <c r="AC1" s="561"/>
      <c r="AD1" s="561"/>
      <c r="AE1" s="562"/>
      <c r="AF1" s="561"/>
      <c r="AG1" s="561"/>
      <c r="AH1" s="562"/>
      <c r="AI1" s="561"/>
      <c r="AJ1" s="561"/>
      <c r="AK1" s="562"/>
      <c r="AL1" s="561"/>
      <c r="AM1" s="561"/>
      <c r="AN1" s="562"/>
      <c r="AO1" s="561"/>
      <c r="AP1" s="561"/>
      <c r="AQ1" s="562"/>
      <c r="AR1" s="561"/>
      <c r="AS1" s="561"/>
      <c r="AT1" s="562"/>
      <c r="AU1" s="561"/>
      <c r="AV1" s="561"/>
      <c r="AW1" s="562"/>
      <c r="AX1" s="561"/>
      <c r="AY1" s="561"/>
      <c r="AZ1" s="561"/>
      <c r="BA1" s="561"/>
      <c r="BB1" s="561"/>
      <c r="BC1" s="562"/>
      <c r="BD1" s="561"/>
      <c r="BE1" s="561"/>
      <c r="BF1" s="562"/>
      <c r="BG1" s="563"/>
      <c r="BH1" s="125" t="s">
        <v>0</v>
      </c>
      <c r="BI1" s="126" t="s">
        <v>1461</v>
      </c>
    </row>
    <row r="2" spans="1:64" ht="35.25" customHeight="1" x14ac:dyDescent="0.2">
      <c r="C2" s="569" t="s">
        <v>1509</v>
      </c>
      <c r="D2" s="570"/>
      <c r="E2" s="570"/>
      <c r="F2" s="570"/>
      <c r="G2" s="570"/>
      <c r="H2" s="570"/>
      <c r="I2" s="570"/>
      <c r="J2" s="570"/>
      <c r="K2" s="570"/>
      <c r="L2" s="570"/>
      <c r="M2" s="570"/>
      <c r="N2" s="570"/>
      <c r="O2" s="570"/>
      <c r="P2" s="570"/>
      <c r="Q2" s="570"/>
      <c r="R2" s="570"/>
      <c r="S2" s="570"/>
      <c r="T2" s="570"/>
      <c r="U2" s="570"/>
      <c r="V2" s="570"/>
      <c r="W2" s="570"/>
      <c r="X2" s="570"/>
      <c r="Y2" s="570"/>
      <c r="Z2" s="570"/>
      <c r="AA2" s="570"/>
      <c r="AB2" s="571"/>
      <c r="AC2" s="570"/>
      <c r="AD2" s="570"/>
      <c r="AE2" s="571"/>
      <c r="AF2" s="570"/>
      <c r="AG2" s="570"/>
      <c r="AH2" s="571"/>
      <c r="AI2" s="570"/>
      <c r="AJ2" s="570"/>
      <c r="AK2" s="571"/>
      <c r="AL2" s="570"/>
      <c r="AM2" s="570"/>
      <c r="AN2" s="571"/>
      <c r="AO2" s="570"/>
      <c r="AP2" s="570"/>
      <c r="AQ2" s="571"/>
      <c r="AR2" s="570"/>
      <c r="AS2" s="570"/>
      <c r="AT2" s="571"/>
      <c r="AU2" s="570"/>
      <c r="AV2" s="570"/>
      <c r="AW2" s="571"/>
      <c r="AX2" s="570"/>
      <c r="AY2" s="570"/>
      <c r="AZ2" s="570"/>
      <c r="BA2" s="570"/>
      <c r="BB2" s="570"/>
      <c r="BC2" s="571"/>
      <c r="BD2" s="570"/>
      <c r="BE2" s="570"/>
      <c r="BF2" s="571"/>
      <c r="BG2" s="572"/>
      <c r="BH2" s="127" t="s">
        <v>1</v>
      </c>
      <c r="BI2" s="193">
        <v>4</v>
      </c>
    </row>
    <row r="3" spans="1:64" ht="35.25" customHeight="1" x14ac:dyDescent="0.2">
      <c r="C3" s="569" t="s">
        <v>1272</v>
      </c>
      <c r="D3" s="570"/>
      <c r="E3" s="570"/>
      <c r="F3" s="570"/>
      <c r="G3" s="570"/>
      <c r="H3" s="570"/>
      <c r="I3" s="570"/>
      <c r="J3" s="570"/>
      <c r="K3" s="570"/>
      <c r="L3" s="570"/>
      <c r="M3" s="570"/>
      <c r="N3" s="570"/>
      <c r="O3" s="570"/>
      <c r="P3" s="570"/>
      <c r="Q3" s="570"/>
      <c r="R3" s="570"/>
      <c r="S3" s="570"/>
      <c r="T3" s="570"/>
      <c r="U3" s="570"/>
      <c r="V3" s="570"/>
      <c r="W3" s="570"/>
      <c r="X3" s="570"/>
      <c r="Y3" s="570"/>
      <c r="Z3" s="570"/>
      <c r="AA3" s="570"/>
      <c r="AB3" s="571"/>
      <c r="AC3" s="570"/>
      <c r="AD3" s="570"/>
      <c r="AE3" s="571"/>
      <c r="AF3" s="570"/>
      <c r="AG3" s="570"/>
      <c r="AH3" s="571"/>
      <c r="AI3" s="570"/>
      <c r="AJ3" s="570"/>
      <c r="AK3" s="571"/>
      <c r="AL3" s="570"/>
      <c r="AM3" s="570"/>
      <c r="AN3" s="571"/>
      <c r="AO3" s="570"/>
      <c r="AP3" s="570"/>
      <c r="AQ3" s="571"/>
      <c r="AR3" s="570"/>
      <c r="AS3" s="570"/>
      <c r="AT3" s="571"/>
      <c r="AU3" s="570"/>
      <c r="AV3" s="570"/>
      <c r="AW3" s="571"/>
      <c r="AX3" s="570"/>
      <c r="AY3" s="570"/>
      <c r="AZ3" s="570"/>
      <c r="BA3" s="570"/>
      <c r="BB3" s="570"/>
      <c r="BC3" s="571"/>
      <c r="BD3" s="570"/>
      <c r="BE3" s="570"/>
      <c r="BF3" s="571"/>
      <c r="BG3" s="572"/>
      <c r="BH3" s="128" t="s">
        <v>2</v>
      </c>
      <c r="BI3" s="194">
        <v>44718</v>
      </c>
    </row>
    <row r="4" spans="1:64" ht="35.25" customHeight="1" x14ac:dyDescent="0.2">
      <c r="C4" s="14"/>
      <c r="D4" s="18"/>
      <c r="E4" s="15"/>
      <c r="F4" s="18"/>
      <c r="G4" s="15"/>
      <c r="H4" s="18"/>
      <c r="I4" s="18"/>
      <c r="J4" s="18"/>
      <c r="K4" s="18"/>
      <c r="L4" s="15"/>
      <c r="M4" s="19"/>
      <c r="N4" s="5"/>
      <c r="O4" s="19"/>
      <c r="P4" s="35"/>
      <c r="Q4" s="37"/>
      <c r="R4" s="36"/>
      <c r="S4" s="37"/>
      <c r="T4" s="33"/>
      <c r="U4" s="33"/>
      <c r="V4" s="350"/>
      <c r="W4" s="350"/>
      <c r="X4" s="33"/>
      <c r="Y4" s="45"/>
      <c r="Z4" s="37"/>
      <c r="AA4" s="37"/>
      <c r="AO4" s="118"/>
      <c r="AP4" s="118"/>
      <c r="AT4" s="16"/>
      <c r="AU4" s="118"/>
      <c r="AV4" s="118"/>
      <c r="BH4" s="125" t="s">
        <v>3</v>
      </c>
      <c r="BI4" s="129" t="s">
        <v>1143</v>
      </c>
    </row>
    <row r="5" spans="1:64" s="3" customFormat="1" ht="38.25" customHeight="1" x14ac:dyDescent="0.25">
      <c r="A5" s="579" t="s">
        <v>4</v>
      </c>
      <c r="B5" s="580"/>
      <c r="C5" s="581" t="s">
        <v>5</v>
      </c>
      <c r="D5" s="581"/>
      <c r="E5" s="581" t="s">
        <v>6</v>
      </c>
      <c r="F5" s="581"/>
      <c r="G5" s="582" t="s">
        <v>7</v>
      </c>
      <c r="H5" s="583"/>
      <c r="I5" s="583"/>
      <c r="J5" s="583"/>
      <c r="K5" s="584"/>
      <c r="L5" s="582" t="s">
        <v>9</v>
      </c>
      <c r="M5" s="583"/>
      <c r="N5" s="583"/>
      <c r="O5" s="584"/>
      <c r="P5" s="582" t="s">
        <v>10</v>
      </c>
      <c r="Q5" s="583"/>
      <c r="R5" s="583"/>
      <c r="S5" s="584"/>
      <c r="T5" s="582" t="s">
        <v>1207</v>
      </c>
      <c r="U5" s="583"/>
      <c r="V5" s="583"/>
      <c r="W5" s="583"/>
      <c r="X5" s="584"/>
      <c r="Y5" s="581" t="s">
        <v>11</v>
      </c>
      <c r="Z5" s="581"/>
      <c r="AA5" s="581"/>
      <c r="AB5" s="566" t="s">
        <v>1187</v>
      </c>
      <c r="AC5" s="567"/>
      <c r="AD5" s="567"/>
      <c r="AE5" s="567"/>
      <c r="AF5" s="567"/>
      <c r="AG5" s="567"/>
      <c r="AH5" s="567"/>
      <c r="AI5" s="567"/>
      <c r="AJ5" s="567"/>
      <c r="AK5" s="567"/>
      <c r="AL5" s="567"/>
      <c r="AM5" s="567"/>
      <c r="AN5" s="567"/>
      <c r="AO5" s="567"/>
      <c r="AP5" s="567"/>
      <c r="AQ5" s="567"/>
      <c r="AR5" s="567"/>
      <c r="AS5" s="567"/>
      <c r="AT5" s="567"/>
      <c r="AU5" s="567"/>
      <c r="AV5" s="567"/>
      <c r="AW5" s="567"/>
      <c r="AX5" s="567"/>
      <c r="AY5" s="567"/>
      <c r="AZ5" s="567"/>
      <c r="BA5" s="567"/>
      <c r="BB5" s="567"/>
      <c r="BC5" s="567"/>
      <c r="BD5" s="567"/>
      <c r="BE5" s="567"/>
      <c r="BF5" s="567"/>
      <c r="BG5" s="567"/>
      <c r="BH5" s="568"/>
      <c r="BI5" s="554" t="s">
        <v>1471</v>
      </c>
    </row>
    <row r="6" spans="1:64" s="289" customFormat="1" ht="76.5" customHeight="1" x14ac:dyDescent="0.25">
      <c r="A6" s="573" t="s">
        <v>12</v>
      </c>
      <c r="B6" s="564" t="s">
        <v>13</v>
      </c>
      <c r="C6" s="564" t="s">
        <v>12</v>
      </c>
      <c r="D6" s="564" t="s">
        <v>13</v>
      </c>
      <c r="E6" s="564" t="s">
        <v>12</v>
      </c>
      <c r="F6" s="564" t="s">
        <v>13</v>
      </c>
      <c r="G6" s="564" t="s">
        <v>1211</v>
      </c>
      <c r="H6" s="564" t="s">
        <v>1212</v>
      </c>
      <c r="I6" s="564" t="s">
        <v>1218</v>
      </c>
      <c r="J6" s="564" t="s">
        <v>1213</v>
      </c>
      <c r="K6" s="575" t="s">
        <v>8</v>
      </c>
      <c r="L6" s="564" t="s">
        <v>14</v>
      </c>
      <c r="M6" s="564" t="s">
        <v>15</v>
      </c>
      <c r="N6" s="564" t="s">
        <v>16</v>
      </c>
      <c r="O6" s="564" t="s">
        <v>17</v>
      </c>
      <c r="P6" s="290" t="s">
        <v>14</v>
      </c>
      <c r="Q6" s="575" t="s">
        <v>18</v>
      </c>
      <c r="R6" s="575" t="s">
        <v>19</v>
      </c>
      <c r="S6" s="290" t="s">
        <v>20</v>
      </c>
      <c r="T6" s="564" t="s">
        <v>1468</v>
      </c>
      <c r="U6" s="564" t="s">
        <v>1208</v>
      </c>
      <c r="V6" s="564" t="s">
        <v>1466</v>
      </c>
      <c r="W6" s="564" t="s">
        <v>1508</v>
      </c>
      <c r="X6" s="352" t="s">
        <v>1459</v>
      </c>
      <c r="Y6" s="564" t="s">
        <v>21</v>
      </c>
      <c r="Z6" s="575" t="s">
        <v>22</v>
      </c>
      <c r="AA6" s="575" t="s">
        <v>23</v>
      </c>
      <c r="AB6" s="557" t="s">
        <v>1270</v>
      </c>
      <c r="AC6" s="558"/>
      <c r="AD6" s="559"/>
      <c r="AE6" s="557" t="s">
        <v>1188</v>
      </c>
      <c r="AF6" s="558"/>
      <c r="AG6" s="559"/>
      <c r="AH6" s="557" t="s">
        <v>24</v>
      </c>
      <c r="AI6" s="558"/>
      <c r="AJ6" s="559"/>
      <c r="AK6" s="557" t="s">
        <v>1269</v>
      </c>
      <c r="AL6" s="558"/>
      <c r="AM6" s="559"/>
      <c r="AN6" s="557" t="s">
        <v>1267</v>
      </c>
      <c r="AO6" s="558"/>
      <c r="AP6" s="559"/>
      <c r="AQ6" s="557" t="s">
        <v>25</v>
      </c>
      <c r="AR6" s="558"/>
      <c r="AS6" s="559"/>
      <c r="AT6" s="557" t="s">
        <v>26</v>
      </c>
      <c r="AU6" s="558"/>
      <c r="AV6" s="559"/>
      <c r="AW6" s="557" t="s">
        <v>1268</v>
      </c>
      <c r="AX6" s="558"/>
      <c r="AY6" s="559"/>
      <c r="AZ6" s="557" t="s">
        <v>1463</v>
      </c>
      <c r="BA6" s="558"/>
      <c r="BB6" s="559"/>
      <c r="BC6" s="557" t="s">
        <v>1189</v>
      </c>
      <c r="BD6" s="558"/>
      <c r="BE6" s="559"/>
      <c r="BF6" s="557" t="s">
        <v>1462</v>
      </c>
      <c r="BG6" s="558"/>
      <c r="BH6" s="559"/>
      <c r="BI6" s="555"/>
    </row>
    <row r="7" spans="1:64" s="289" customFormat="1" ht="29.25" customHeight="1" x14ac:dyDescent="0.25">
      <c r="A7" s="574"/>
      <c r="B7" s="565"/>
      <c r="C7" s="565"/>
      <c r="D7" s="565"/>
      <c r="E7" s="565"/>
      <c r="F7" s="565"/>
      <c r="G7" s="565"/>
      <c r="H7" s="565"/>
      <c r="I7" s="565"/>
      <c r="J7" s="565"/>
      <c r="K7" s="576"/>
      <c r="L7" s="565"/>
      <c r="M7" s="565"/>
      <c r="N7" s="565"/>
      <c r="O7" s="565"/>
      <c r="P7" s="290"/>
      <c r="Q7" s="576"/>
      <c r="R7" s="576"/>
      <c r="S7" s="290"/>
      <c r="T7" s="565"/>
      <c r="U7" s="565"/>
      <c r="V7" s="565"/>
      <c r="W7" s="565"/>
      <c r="X7" s="352" t="s">
        <v>1467</v>
      </c>
      <c r="Y7" s="565"/>
      <c r="Z7" s="576"/>
      <c r="AA7" s="576"/>
      <c r="AB7" s="292" t="s">
        <v>1333</v>
      </c>
      <c r="AC7" s="417" t="s">
        <v>1426</v>
      </c>
      <c r="AD7" s="292" t="s">
        <v>1460</v>
      </c>
      <c r="AE7" s="292" t="s">
        <v>1333</v>
      </c>
      <c r="AF7" s="417" t="s">
        <v>1426</v>
      </c>
      <c r="AG7" s="291" t="s">
        <v>1460</v>
      </c>
      <c r="AH7" s="292" t="s">
        <v>1333</v>
      </c>
      <c r="AI7" s="417" t="s">
        <v>1426</v>
      </c>
      <c r="AJ7" s="292" t="s">
        <v>1460</v>
      </c>
      <c r="AK7" s="292" t="s">
        <v>1333</v>
      </c>
      <c r="AL7" s="417" t="s">
        <v>1426</v>
      </c>
      <c r="AM7" s="292" t="s">
        <v>1460</v>
      </c>
      <c r="AN7" s="292" t="s">
        <v>1333</v>
      </c>
      <c r="AO7" s="292" t="s">
        <v>1426</v>
      </c>
      <c r="AP7" s="292" t="s">
        <v>1460</v>
      </c>
      <c r="AQ7" s="292" t="s">
        <v>1333</v>
      </c>
      <c r="AR7" s="417" t="s">
        <v>1426</v>
      </c>
      <c r="AS7" s="292" t="s">
        <v>1460</v>
      </c>
      <c r="AT7" s="292" t="s">
        <v>1333</v>
      </c>
      <c r="AU7" s="417" t="s">
        <v>1426</v>
      </c>
      <c r="AV7" s="292" t="s">
        <v>1460</v>
      </c>
      <c r="AW7" s="292" t="s">
        <v>1333</v>
      </c>
      <c r="AX7" s="417" t="s">
        <v>1426</v>
      </c>
      <c r="AY7" s="292" t="s">
        <v>1460</v>
      </c>
      <c r="AZ7" s="292" t="s">
        <v>1333</v>
      </c>
      <c r="BA7" s="417" t="s">
        <v>1426</v>
      </c>
      <c r="BB7" s="292" t="s">
        <v>1460</v>
      </c>
      <c r="BC7" s="292" t="s">
        <v>1333</v>
      </c>
      <c r="BD7" s="417" t="s">
        <v>1426</v>
      </c>
      <c r="BE7" s="292" t="s">
        <v>1460</v>
      </c>
      <c r="BF7" s="292" t="s">
        <v>1333</v>
      </c>
      <c r="BG7" s="417" t="s">
        <v>1426</v>
      </c>
      <c r="BH7" s="292" t="s">
        <v>1460</v>
      </c>
      <c r="BI7" s="556"/>
    </row>
    <row r="8" spans="1:64" s="16" customFormat="1" ht="117" customHeight="1" x14ac:dyDescent="0.2">
      <c r="A8" s="29">
        <v>304</v>
      </c>
      <c r="B8" s="105" t="s">
        <v>1191</v>
      </c>
      <c r="C8" s="29">
        <v>4</v>
      </c>
      <c r="D8" s="325" t="s">
        <v>1192</v>
      </c>
      <c r="E8" s="29">
        <v>45</v>
      </c>
      <c r="F8" s="325" t="s">
        <v>28</v>
      </c>
      <c r="G8" s="29" t="s">
        <v>31</v>
      </c>
      <c r="H8" s="325" t="s">
        <v>1227</v>
      </c>
      <c r="I8" s="29">
        <v>4599</v>
      </c>
      <c r="J8" s="30" t="s">
        <v>1228</v>
      </c>
      <c r="K8" s="30" t="s">
        <v>30</v>
      </c>
      <c r="L8" s="29" t="s">
        <v>31</v>
      </c>
      <c r="M8" s="30" t="s">
        <v>32</v>
      </c>
      <c r="N8" s="29">
        <v>4599023</v>
      </c>
      <c r="O8" s="30" t="s">
        <v>33</v>
      </c>
      <c r="P8" s="29" t="s">
        <v>31</v>
      </c>
      <c r="Q8" s="295" t="s">
        <v>34</v>
      </c>
      <c r="R8" s="29">
        <v>459902300</v>
      </c>
      <c r="S8" s="295" t="s">
        <v>35</v>
      </c>
      <c r="T8" s="299" t="s">
        <v>1469</v>
      </c>
      <c r="U8" s="328">
        <v>5</v>
      </c>
      <c r="V8" s="328"/>
      <c r="W8" s="328">
        <f>U8+V8</f>
        <v>5</v>
      </c>
      <c r="X8" s="192">
        <v>5</v>
      </c>
      <c r="Y8" s="296">
        <v>2020003630006</v>
      </c>
      <c r="Z8" s="30" t="s">
        <v>36</v>
      </c>
      <c r="AA8" s="297" t="s">
        <v>37</v>
      </c>
      <c r="AB8" s="44"/>
      <c r="AC8" s="44"/>
      <c r="AD8" s="44"/>
      <c r="AE8" s="44"/>
      <c r="AF8" s="44"/>
      <c r="AG8" s="44"/>
      <c r="AH8" s="44"/>
      <c r="AI8" s="44"/>
      <c r="AJ8" s="44"/>
      <c r="AK8" s="44"/>
      <c r="AL8" s="44"/>
      <c r="AM8" s="44"/>
      <c r="AN8" s="44"/>
      <c r="AO8" s="44"/>
      <c r="AP8" s="44"/>
      <c r="AQ8" s="44"/>
      <c r="AR8" s="44"/>
      <c r="AS8" s="44"/>
      <c r="AT8" s="353">
        <f>36000000+11320000+3745644+30620000+36835000</f>
        <v>118520644</v>
      </c>
      <c r="AU8" s="133">
        <v>68895000</v>
      </c>
      <c r="AV8" s="133">
        <v>51700000</v>
      </c>
      <c r="AW8" s="361"/>
      <c r="AX8" s="44"/>
      <c r="AY8" s="44"/>
      <c r="AZ8" s="358"/>
      <c r="BA8" s="44"/>
      <c r="BB8" s="44"/>
      <c r="BC8" s="361"/>
      <c r="BD8" s="44"/>
      <c r="BE8" s="44"/>
      <c r="BF8" s="298">
        <f t="shared" ref="BF8:BF34" si="0">AB8+AE8+AH8+AK8+AN8+AQ8+AT8+AW8+BC8</f>
        <v>118520644</v>
      </c>
      <c r="BG8" s="298">
        <f>AC8+AF8+AI8+AL8+AO8+AR8+AU8+AX8+BD8</f>
        <v>68895000</v>
      </c>
      <c r="BH8" s="298">
        <f>AD8+AG8+AJ8+AM8+AP8+AS8+AV8+AY8+BE8</f>
        <v>51700000</v>
      </c>
      <c r="BI8" s="385" t="s">
        <v>1474</v>
      </c>
      <c r="BK8" s="34"/>
      <c r="BL8" s="34"/>
    </row>
    <row r="9" spans="1:64" s="16" customFormat="1" ht="117" customHeight="1" x14ac:dyDescent="0.2">
      <c r="A9" s="29">
        <v>304</v>
      </c>
      <c r="B9" s="105" t="s">
        <v>1191</v>
      </c>
      <c r="C9" s="29">
        <v>4</v>
      </c>
      <c r="D9" s="325" t="s">
        <v>1192</v>
      </c>
      <c r="E9" s="29">
        <v>45</v>
      </c>
      <c r="F9" s="325" t="s">
        <v>28</v>
      </c>
      <c r="G9" s="29" t="s">
        <v>31</v>
      </c>
      <c r="H9" s="325" t="s">
        <v>1227</v>
      </c>
      <c r="I9" s="29">
        <v>4599</v>
      </c>
      <c r="J9" s="30" t="s">
        <v>1228</v>
      </c>
      <c r="K9" s="30" t="s">
        <v>30</v>
      </c>
      <c r="L9" s="29" t="s">
        <v>31</v>
      </c>
      <c r="M9" s="30" t="s">
        <v>38</v>
      </c>
      <c r="N9" s="29">
        <v>4599002</v>
      </c>
      <c r="O9" s="30" t="s">
        <v>39</v>
      </c>
      <c r="P9" s="29" t="s">
        <v>31</v>
      </c>
      <c r="Q9" s="295" t="s">
        <v>40</v>
      </c>
      <c r="R9" s="29">
        <v>459900200</v>
      </c>
      <c r="S9" s="295" t="s">
        <v>1125</v>
      </c>
      <c r="T9" s="299" t="s">
        <v>1469</v>
      </c>
      <c r="U9" s="328">
        <v>4</v>
      </c>
      <c r="V9" s="328"/>
      <c r="W9" s="328">
        <f t="shared" ref="W9:W72" si="1">U9+V9</f>
        <v>4</v>
      </c>
      <c r="X9" s="192">
        <v>4</v>
      </c>
      <c r="Y9" s="296">
        <v>2020003630007</v>
      </c>
      <c r="Z9" s="30" t="s">
        <v>41</v>
      </c>
      <c r="AA9" s="297" t="s">
        <v>42</v>
      </c>
      <c r="AB9" s="44"/>
      <c r="AC9" s="44"/>
      <c r="AD9" s="44"/>
      <c r="AE9" s="44"/>
      <c r="AF9" s="44"/>
      <c r="AG9" s="44"/>
      <c r="AH9" s="44"/>
      <c r="AI9" s="44"/>
      <c r="AJ9" s="44"/>
      <c r="AK9" s="44"/>
      <c r="AL9" s="44"/>
      <c r="AM9" s="44"/>
      <c r="AN9" s="44"/>
      <c r="AO9" s="44"/>
      <c r="AP9" s="44"/>
      <c r="AQ9" s="44"/>
      <c r="AR9" s="44"/>
      <c r="AS9" s="44"/>
      <c r="AT9" s="354">
        <f>50000000-6450000+27980000+24280000+50000000</f>
        <v>145810000</v>
      </c>
      <c r="AU9" s="108">
        <v>102766664</v>
      </c>
      <c r="AV9" s="108">
        <v>41970000</v>
      </c>
      <c r="AW9" s="361"/>
      <c r="AX9" s="44"/>
      <c r="AY9" s="44"/>
      <c r="AZ9" s="358"/>
      <c r="BA9" s="44"/>
      <c r="BB9" s="44"/>
      <c r="BC9" s="361"/>
      <c r="BD9" s="44"/>
      <c r="BE9" s="44"/>
      <c r="BF9" s="298">
        <f t="shared" si="0"/>
        <v>145810000</v>
      </c>
      <c r="BG9" s="298">
        <f t="shared" ref="BG9:BG34" si="2">AC9+AF9+AI9+AL9+AO9+AR9+AU9+AX9+BD9</f>
        <v>102766664</v>
      </c>
      <c r="BH9" s="298">
        <f t="shared" ref="BH9:BH34" si="3">AD9+AG9+AJ9+AM9+AP9+AS9+AV9+AY9+BE9</f>
        <v>41970000</v>
      </c>
      <c r="BI9" s="385" t="s">
        <v>1474</v>
      </c>
      <c r="BK9" s="34"/>
      <c r="BL9" s="34"/>
    </row>
    <row r="10" spans="1:64" s="16" customFormat="1" ht="117" customHeight="1" x14ac:dyDescent="0.2">
      <c r="A10" s="29">
        <v>304</v>
      </c>
      <c r="B10" s="105" t="s">
        <v>1191</v>
      </c>
      <c r="C10" s="29">
        <v>4</v>
      </c>
      <c r="D10" s="325" t="s">
        <v>1192</v>
      </c>
      <c r="E10" s="29">
        <v>45</v>
      </c>
      <c r="F10" s="325" t="s">
        <v>28</v>
      </c>
      <c r="G10" s="29" t="s">
        <v>31</v>
      </c>
      <c r="H10" s="325" t="s">
        <v>1227</v>
      </c>
      <c r="I10" s="29">
        <v>4599</v>
      </c>
      <c r="J10" s="30" t="s">
        <v>1228</v>
      </c>
      <c r="K10" s="30" t="s">
        <v>30</v>
      </c>
      <c r="L10" s="29" t="s">
        <v>31</v>
      </c>
      <c r="M10" s="30" t="s">
        <v>43</v>
      </c>
      <c r="N10" s="29">
        <v>4599023</v>
      </c>
      <c r="O10" s="30" t="s">
        <v>33</v>
      </c>
      <c r="P10" s="29" t="s">
        <v>31</v>
      </c>
      <c r="Q10" s="295" t="s">
        <v>44</v>
      </c>
      <c r="R10" s="29">
        <v>459902301</v>
      </c>
      <c r="S10" s="295" t="s">
        <v>45</v>
      </c>
      <c r="T10" s="299" t="s">
        <v>1469</v>
      </c>
      <c r="U10" s="328">
        <v>1</v>
      </c>
      <c r="V10" s="328"/>
      <c r="W10" s="328">
        <f t="shared" si="1"/>
        <v>1</v>
      </c>
      <c r="X10" s="192">
        <v>0.75</v>
      </c>
      <c r="Y10" s="296">
        <v>2020003630041</v>
      </c>
      <c r="Z10" s="30" t="s">
        <v>46</v>
      </c>
      <c r="AA10" s="297" t="s">
        <v>1190</v>
      </c>
      <c r="AB10" s="44"/>
      <c r="AC10" s="44"/>
      <c r="AD10" s="44"/>
      <c r="AE10" s="44"/>
      <c r="AF10" s="44"/>
      <c r="AG10" s="44"/>
      <c r="AH10" s="44"/>
      <c r="AI10" s="44"/>
      <c r="AJ10" s="44"/>
      <c r="AK10" s="44"/>
      <c r="AL10" s="44"/>
      <c r="AM10" s="44"/>
      <c r="AN10" s="44"/>
      <c r="AO10" s="44"/>
      <c r="AP10" s="44"/>
      <c r="AQ10" s="44"/>
      <c r="AR10" s="44"/>
      <c r="AS10" s="44"/>
      <c r="AT10" s="354">
        <f>30000000-5260000+6000000</f>
        <v>30740000</v>
      </c>
      <c r="AU10" s="108">
        <v>24700000</v>
      </c>
      <c r="AV10" s="108">
        <v>21000000</v>
      </c>
      <c r="AW10" s="361"/>
      <c r="AX10" s="44"/>
      <c r="AY10" s="44"/>
      <c r="AZ10" s="358"/>
      <c r="BA10" s="44"/>
      <c r="BB10" s="44"/>
      <c r="BC10" s="361"/>
      <c r="BD10" s="44"/>
      <c r="BE10" s="44"/>
      <c r="BF10" s="298">
        <f t="shared" si="0"/>
        <v>30740000</v>
      </c>
      <c r="BG10" s="298">
        <f t="shared" si="2"/>
        <v>24700000</v>
      </c>
      <c r="BH10" s="298">
        <f t="shared" si="3"/>
        <v>21000000</v>
      </c>
      <c r="BI10" s="385" t="s">
        <v>1474</v>
      </c>
      <c r="BK10" s="34"/>
      <c r="BL10" s="34"/>
    </row>
    <row r="11" spans="1:64" s="16" customFormat="1" ht="117" customHeight="1" x14ac:dyDescent="0.2">
      <c r="A11" s="29">
        <v>304</v>
      </c>
      <c r="B11" s="105" t="s">
        <v>1191</v>
      </c>
      <c r="C11" s="29">
        <v>4</v>
      </c>
      <c r="D11" s="325" t="s">
        <v>1192</v>
      </c>
      <c r="E11" s="29">
        <v>45</v>
      </c>
      <c r="F11" s="325" t="s">
        <v>28</v>
      </c>
      <c r="G11" s="29">
        <v>4502</v>
      </c>
      <c r="H11" s="325" t="s">
        <v>1224</v>
      </c>
      <c r="I11" s="29">
        <v>4502</v>
      </c>
      <c r="J11" s="30" t="s">
        <v>1223</v>
      </c>
      <c r="K11" s="30" t="s">
        <v>48</v>
      </c>
      <c r="L11" s="29" t="s">
        <v>31</v>
      </c>
      <c r="M11" s="30" t="s">
        <v>49</v>
      </c>
      <c r="N11" s="29">
        <v>4502033</v>
      </c>
      <c r="O11" s="30" t="s">
        <v>50</v>
      </c>
      <c r="P11" s="29" t="s">
        <v>31</v>
      </c>
      <c r="Q11" s="295" t="s">
        <v>51</v>
      </c>
      <c r="R11" s="300">
        <v>450203300</v>
      </c>
      <c r="S11" s="295" t="s">
        <v>52</v>
      </c>
      <c r="T11" s="299" t="s">
        <v>1469</v>
      </c>
      <c r="U11" s="328">
        <v>1</v>
      </c>
      <c r="V11" s="328"/>
      <c r="W11" s="328">
        <f t="shared" si="1"/>
        <v>1</v>
      </c>
      <c r="X11" s="192">
        <v>0.75</v>
      </c>
      <c r="Y11" s="296">
        <v>2020003630005</v>
      </c>
      <c r="Z11" s="30" t="s">
        <v>53</v>
      </c>
      <c r="AA11" s="297" t="s">
        <v>54</v>
      </c>
      <c r="AB11" s="44"/>
      <c r="AC11" s="44"/>
      <c r="AD11" s="44"/>
      <c r="AE11" s="44"/>
      <c r="AF11" s="44"/>
      <c r="AG11" s="44"/>
      <c r="AH11" s="44"/>
      <c r="AI11" s="44"/>
      <c r="AJ11" s="44"/>
      <c r="AK11" s="44"/>
      <c r="AL11" s="44"/>
      <c r="AM11" s="44"/>
      <c r="AN11" s="44"/>
      <c r="AO11" s="44"/>
      <c r="AP11" s="44"/>
      <c r="AQ11" s="44"/>
      <c r="AR11" s="44"/>
      <c r="AS11" s="44"/>
      <c r="AT11" s="355">
        <f>40000000+390000+11743158+24740000+2885000</f>
        <v>79758158</v>
      </c>
      <c r="AU11" s="134">
        <v>55665000</v>
      </c>
      <c r="AV11" s="134">
        <v>43295000</v>
      </c>
      <c r="AW11" s="361"/>
      <c r="AX11" s="44"/>
      <c r="AY11" s="44"/>
      <c r="AZ11" s="358"/>
      <c r="BA11" s="44"/>
      <c r="BB11" s="44"/>
      <c r="BC11" s="361"/>
      <c r="BD11" s="44"/>
      <c r="BE11" s="44"/>
      <c r="BF11" s="298">
        <f t="shared" si="0"/>
        <v>79758158</v>
      </c>
      <c r="BG11" s="298">
        <f t="shared" si="2"/>
        <v>55665000</v>
      </c>
      <c r="BH11" s="298">
        <f t="shared" si="3"/>
        <v>43295000</v>
      </c>
      <c r="BI11" s="385" t="s">
        <v>1474</v>
      </c>
      <c r="BK11" s="34"/>
      <c r="BL11" s="34"/>
    </row>
    <row r="12" spans="1:64" s="16" customFormat="1" ht="117" customHeight="1" x14ac:dyDescent="0.2">
      <c r="A12" s="29">
        <v>305</v>
      </c>
      <c r="B12" s="325" t="s">
        <v>1193</v>
      </c>
      <c r="C12" s="29">
        <v>4</v>
      </c>
      <c r="D12" s="325" t="s">
        <v>1192</v>
      </c>
      <c r="E12" s="29">
        <v>45</v>
      </c>
      <c r="F12" s="325" t="s">
        <v>28</v>
      </c>
      <c r="G12" s="29">
        <v>4502</v>
      </c>
      <c r="H12" s="325" t="s">
        <v>1224</v>
      </c>
      <c r="I12" s="29">
        <v>4502</v>
      </c>
      <c r="J12" s="30" t="s">
        <v>1223</v>
      </c>
      <c r="K12" s="30" t="s">
        <v>56</v>
      </c>
      <c r="L12" s="29" t="s">
        <v>31</v>
      </c>
      <c r="M12" s="30" t="s">
        <v>57</v>
      </c>
      <c r="N12" s="29">
        <v>4502001</v>
      </c>
      <c r="O12" s="30" t="s">
        <v>58</v>
      </c>
      <c r="P12" s="29" t="s">
        <v>31</v>
      </c>
      <c r="Q12" s="295" t="s">
        <v>59</v>
      </c>
      <c r="R12" s="300">
        <v>450200100</v>
      </c>
      <c r="S12" s="295" t="s">
        <v>60</v>
      </c>
      <c r="T12" s="299" t="s">
        <v>1469</v>
      </c>
      <c r="U12" s="328">
        <v>1</v>
      </c>
      <c r="V12" s="328"/>
      <c r="W12" s="328">
        <f t="shared" si="1"/>
        <v>1</v>
      </c>
      <c r="X12" s="192">
        <v>0.7</v>
      </c>
      <c r="Y12" s="296">
        <v>2020003630042</v>
      </c>
      <c r="Z12" s="30" t="s">
        <v>61</v>
      </c>
      <c r="AA12" s="297" t="s">
        <v>62</v>
      </c>
      <c r="AB12" s="44"/>
      <c r="AC12" s="44"/>
      <c r="AD12" s="44"/>
      <c r="AE12" s="44"/>
      <c r="AF12" s="44"/>
      <c r="AG12" s="44"/>
      <c r="AH12" s="44"/>
      <c r="AI12" s="44"/>
      <c r="AJ12" s="44"/>
      <c r="AK12" s="44"/>
      <c r="AL12" s="44"/>
      <c r="AM12" s="44"/>
      <c r="AN12" s="44"/>
      <c r="AO12" s="44"/>
      <c r="AP12" s="44"/>
      <c r="AQ12" s="44"/>
      <c r="AR12" s="44"/>
      <c r="AS12" s="44"/>
      <c r="AT12" s="356">
        <f>140000000+5495777+15787082</f>
        <v>161282859</v>
      </c>
      <c r="AU12" s="42">
        <v>134277407</v>
      </c>
      <c r="AV12" s="42">
        <v>37086643</v>
      </c>
      <c r="AW12" s="361"/>
      <c r="AX12" s="44"/>
      <c r="AY12" s="44"/>
      <c r="AZ12" s="358"/>
      <c r="BA12" s="44"/>
      <c r="BB12" s="44"/>
      <c r="BC12" s="361"/>
      <c r="BD12" s="44"/>
      <c r="BE12" s="44"/>
      <c r="BF12" s="298">
        <f t="shared" si="0"/>
        <v>161282859</v>
      </c>
      <c r="BG12" s="298">
        <f t="shared" si="2"/>
        <v>134277407</v>
      </c>
      <c r="BH12" s="298">
        <f t="shared" si="3"/>
        <v>37086643</v>
      </c>
      <c r="BI12" s="386" t="s">
        <v>1475</v>
      </c>
      <c r="BK12" s="34"/>
      <c r="BL12" s="34"/>
    </row>
    <row r="13" spans="1:64" s="16" customFormat="1" ht="117" customHeight="1" x14ac:dyDescent="0.2">
      <c r="A13" s="29">
        <v>305</v>
      </c>
      <c r="B13" s="325" t="s">
        <v>1193</v>
      </c>
      <c r="C13" s="29">
        <v>4</v>
      </c>
      <c r="D13" s="325" t="s">
        <v>1192</v>
      </c>
      <c r="E13" s="29">
        <v>45</v>
      </c>
      <c r="F13" s="325" t="s">
        <v>28</v>
      </c>
      <c r="G13" s="29">
        <v>4502</v>
      </c>
      <c r="H13" s="325" t="s">
        <v>1224</v>
      </c>
      <c r="I13" s="29">
        <v>4502</v>
      </c>
      <c r="J13" s="30" t="s">
        <v>1223</v>
      </c>
      <c r="K13" s="30" t="s">
        <v>48</v>
      </c>
      <c r="L13" s="29" t="s">
        <v>31</v>
      </c>
      <c r="M13" s="302" t="s">
        <v>63</v>
      </c>
      <c r="N13" s="300">
        <v>4502001</v>
      </c>
      <c r="O13" s="302" t="s">
        <v>58</v>
      </c>
      <c r="P13" s="29" t="s">
        <v>31</v>
      </c>
      <c r="Q13" s="295" t="s">
        <v>64</v>
      </c>
      <c r="R13" s="300">
        <v>450200101</v>
      </c>
      <c r="S13" s="295" t="s">
        <v>1126</v>
      </c>
      <c r="T13" s="299" t="s">
        <v>1469</v>
      </c>
      <c r="U13" s="328">
        <v>12</v>
      </c>
      <c r="V13" s="328"/>
      <c r="W13" s="328">
        <f t="shared" si="1"/>
        <v>12</v>
      </c>
      <c r="X13" s="192">
        <v>12</v>
      </c>
      <c r="Y13" s="296">
        <v>2020003630043</v>
      </c>
      <c r="Z13" s="30" t="s">
        <v>1338</v>
      </c>
      <c r="AA13" s="297" t="s">
        <v>66</v>
      </c>
      <c r="AB13" s="44"/>
      <c r="AC13" s="44"/>
      <c r="AD13" s="44"/>
      <c r="AE13" s="44"/>
      <c r="AF13" s="44"/>
      <c r="AG13" s="44"/>
      <c r="AH13" s="44"/>
      <c r="AI13" s="44"/>
      <c r="AJ13" s="44"/>
      <c r="AK13" s="44"/>
      <c r="AL13" s="44"/>
      <c r="AM13" s="44"/>
      <c r="AN13" s="44"/>
      <c r="AO13" s="44"/>
      <c r="AP13" s="44"/>
      <c r="AQ13" s="44"/>
      <c r="AR13" s="44"/>
      <c r="AS13" s="44"/>
      <c r="AT13" s="356">
        <v>35000000</v>
      </c>
      <c r="AU13" s="42">
        <v>28388000</v>
      </c>
      <c r="AV13" s="42">
        <v>17310000</v>
      </c>
      <c r="AW13" s="361"/>
      <c r="AX13" s="44"/>
      <c r="AY13" s="44"/>
      <c r="AZ13" s="358"/>
      <c r="BA13" s="44"/>
      <c r="BB13" s="44"/>
      <c r="BC13" s="361"/>
      <c r="BD13" s="44"/>
      <c r="BE13" s="44"/>
      <c r="BF13" s="298">
        <f t="shared" si="0"/>
        <v>35000000</v>
      </c>
      <c r="BG13" s="298">
        <f t="shared" si="2"/>
        <v>28388000</v>
      </c>
      <c r="BH13" s="298">
        <f t="shared" si="3"/>
        <v>17310000</v>
      </c>
      <c r="BI13" s="386" t="s">
        <v>1475</v>
      </c>
      <c r="BK13" s="34"/>
      <c r="BL13" s="34"/>
    </row>
    <row r="14" spans="1:64" s="16" customFormat="1" ht="117" customHeight="1" x14ac:dyDescent="0.2">
      <c r="A14" s="29">
        <v>305</v>
      </c>
      <c r="B14" s="325" t="s">
        <v>1193</v>
      </c>
      <c r="C14" s="29">
        <v>4</v>
      </c>
      <c r="D14" s="325" t="s">
        <v>1192</v>
      </c>
      <c r="E14" s="29">
        <v>45</v>
      </c>
      <c r="F14" s="325" t="s">
        <v>28</v>
      </c>
      <c r="G14" s="29" t="s">
        <v>31</v>
      </c>
      <c r="H14" s="325" t="s">
        <v>1227</v>
      </c>
      <c r="I14" s="29">
        <v>4599</v>
      </c>
      <c r="J14" s="30" t="s">
        <v>1228</v>
      </c>
      <c r="K14" s="30" t="s">
        <v>30</v>
      </c>
      <c r="L14" s="29" t="s">
        <v>31</v>
      </c>
      <c r="M14" s="30" t="s">
        <v>67</v>
      </c>
      <c r="N14" s="29">
        <v>4599018</v>
      </c>
      <c r="O14" s="30" t="s">
        <v>68</v>
      </c>
      <c r="P14" s="29" t="s">
        <v>31</v>
      </c>
      <c r="Q14" s="30" t="s">
        <v>69</v>
      </c>
      <c r="R14" s="29">
        <v>459901800</v>
      </c>
      <c r="S14" s="295" t="s">
        <v>70</v>
      </c>
      <c r="T14" s="299" t="s">
        <v>1469</v>
      </c>
      <c r="U14" s="296">
        <v>5</v>
      </c>
      <c r="V14" s="296"/>
      <c r="W14" s="328">
        <f t="shared" si="1"/>
        <v>5</v>
      </c>
      <c r="X14" s="29">
        <v>5</v>
      </c>
      <c r="Y14" s="296">
        <v>2020003630044</v>
      </c>
      <c r="Z14" s="30" t="s">
        <v>1339</v>
      </c>
      <c r="AA14" s="297" t="s">
        <v>72</v>
      </c>
      <c r="AB14" s="44"/>
      <c r="AC14" s="44"/>
      <c r="AD14" s="44"/>
      <c r="AE14" s="44"/>
      <c r="AF14" s="44"/>
      <c r="AG14" s="44"/>
      <c r="AH14" s="44"/>
      <c r="AI14" s="44"/>
      <c r="AJ14" s="44"/>
      <c r="AK14" s="44"/>
      <c r="AL14" s="44"/>
      <c r="AM14" s="44"/>
      <c r="AN14" s="44"/>
      <c r="AO14" s="44"/>
      <c r="AP14" s="44"/>
      <c r="AQ14" s="44"/>
      <c r="AR14" s="44"/>
      <c r="AS14" s="44"/>
      <c r="AT14" s="356">
        <f>144000000+71000000</f>
        <v>215000000</v>
      </c>
      <c r="AU14" s="42">
        <v>148300000</v>
      </c>
      <c r="AV14" s="42">
        <v>98050000</v>
      </c>
      <c r="AW14" s="361"/>
      <c r="AX14" s="44"/>
      <c r="AY14" s="44"/>
      <c r="AZ14" s="358"/>
      <c r="BA14" s="44"/>
      <c r="BB14" s="44"/>
      <c r="BC14" s="361"/>
      <c r="BD14" s="44"/>
      <c r="BE14" s="44"/>
      <c r="BF14" s="298">
        <f t="shared" si="0"/>
        <v>215000000</v>
      </c>
      <c r="BG14" s="298">
        <f t="shared" si="2"/>
        <v>148300000</v>
      </c>
      <c r="BH14" s="298">
        <f t="shared" si="3"/>
        <v>98050000</v>
      </c>
      <c r="BI14" s="386" t="s">
        <v>1475</v>
      </c>
      <c r="BK14" s="34"/>
      <c r="BL14" s="34"/>
    </row>
    <row r="15" spans="1:64" s="16" customFormat="1" ht="117" customHeight="1" x14ac:dyDescent="0.2">
      <c r="A15" s="29">
        <v>305</v>
      </c>
      <c r="B15" s="325" t="s">
        <v>1193</v>
      </c>
      <c r="C15" s="29">
        <v>4</v>
      </c>
      <c r="D15" s="325" t="s">
        <v>1192</v>
      </c>
      <c r="E15" s="29">
        <v>45</v>
      </c>
      <c r="F15" s="325" t="s">
        <v>28</v>
      </c>
      <c r="G15" s="29" t="s">
        <v>31</v>
      </c>
      <c r="H15" s="325" t="s">
        <v>1227</v>
      </c>
      <c r="I15" s="29">
        <v>4599</v>
      </c>
      <c r="J15" s="30" t="s">
        <v>1228</v>
      </c>
      <c r="K15" s="30" t="s">
        <v>30</v>
      </c>
      <c r="L15" s="29" t="s">
        <v>31</v>
      </c>
      <c r="M15" s="30" t="s">
        <v>73</v>
      </c>
      <c r="N15" s="29">
        <v>4599025</v>
      </c>
      <c r="O15" s="30" t="s">
        <v>74</v>
      </c>
      <c r="P15" s="29" t="s">
        <v>31</v>
      </c>
      <c r="Q15" s="295" t="s">
        <v>75</v>
      </c>
      <c r="R15" s="29">
        <v>459902500</v>
      </c>
      <c r="S15" s="295" t="s">
        <v>76</v>
      </c>
      <c r="T15" s="299" t="s">
        <v>1469</v>
      </c>
      <c r="U15" s="296">
        <v>1</v>
      </c>
      <c r="V15" s="296"/>
      <c r="W15" s="328">
        <f t="shared" si="1"/>
        <v>1</v>
      </c>
      <c r="X15" s="29">
        <v>0.75</v>
      </c>
      <c r="Y15" s="296">
        <v>2020003630045</v>
      </c>
      <c r="Z15" s="30" t="s">
        <v>1340</v>
      </c>
      <c r="AA15" s="297" t="s">
        <v>78</v>
      </c>
      <c r="AB15" s="44"/>
      <c r="AC15" s="44"/>
      <c r="AD15" s="44"/>
      <c r="AE15" s="44"/>
      <c r="AF15" s="44"/>
      <c r="AG15" s="44"/>
      <c r="AH15" s="44"/>
      <c r="AI15" s="44"/>
      <c r="AJ15" s="44"/>
      <c r="AK15" s="44"/>
      <c r="AL15" s="44"/>
      <c r="AM15" s="44"/>
      <c r="AN15" s="44"/>
      <c r="AO15" s="44"/>
      <c r="AP15" s="44"/>
      <c r="AQ15" s="44"/>
      <c r="AR15" s="44"/>
      <c r="AS15" s="44"/>
      <c r="AT15" s="356">
        <f>76000000+23000000</f>
        <v>99000000</v>
      </c>
      <c r="AU15" s="42">
        <v>86550000</v>
      </c>
      <c r="AV15" s="42">
        <v>63470000</v>
      </c>
      <c r="AW15" s="361"/>
      <c r="AX15" s="44"/>
      <c r="AY15" s="44"/>
      <c r="AZ15" s="358"/>
      <c r="BA15" s="44"/>
      <c r="BB15" s="44"/>
      <c r="BC15" s="361"/>
      <c r="BD15" s="44"/>
      <c r="BE15" s="44"/>
      <c r="BF15" s="298">
        <f t="shared" si="0"/>
        <v>99000000</v>
      </c>
      <c r="BG15" s="298">
        <f t="shared" si="2"/>
        <v>86550000</v>
      </c>
      <c r="BH15" s="298">
        <f t="shared" si="3"/>
        <v>63470000</v>
      </c>
      <c r="BI15" s="386" t="s">
        <v>1475</v>
      </c>
      <c r="BK15" s="34"/>
      <c r="BL15" s="34"/>
    </row>
    <row r="16" spans="1:64" s="16" customFormat="1" ht="117" customHeight="1" x14ac:dyDescent="0.2">
      <c r="A16" s="29">
        <v>305</v>
      </c>
      <c r="B16" s="325" t="s">
        <v>1193</v>
      </c>
      <c r="C16" s="29">
        <v>4</v>
      </c>
      <c r="D16" s="325" t="s">
        <v>1192</v>
      </c>
      <c r="E16" s="29">
        <v>45</v>
      </c>
      <c r="F16" s="325" t="s">
        <v>28</v>
      </c>
      <c r="G16" s="29" t="s">
        <v>31</v>
      </c>
      <c r="H16" s="325" t="s">
        <v>1227</v>
      </c>
      <c r="I16" s="29">
        <v>4599</v>
      </c>
      <c r="J16" s="30" t="s">
        <v>1228</v>
      </c>
      <c r="K16" s="30" t="s">
        <v>30</v>
      </c>
      <c r="L16" s="29" t="s">
        <v>31</v>
      </c>
      <c r="M16" s="30" t="s">
        <v>1144</v>
      </c>
      <c r="N16" s="29">
        <v>4599025</v>
      </c>
      <c r="O16" s="30" t="s">
        <v>74</v>
      </c>
      <c r="P16" s="29" t="s">
        <v>31</v>
      </c>
      <c r="Q16" s="295" t="s">
        <v>79</v>
      </c>
      <c r="R16" s="29">
        <v>459902500</v>
      </c>
      <c r="S16" s="295" t="s">
        <v>76</v>
      </c>
      <c r="T16" s="299" t="s">
        <v>1469</v>
      </c>
      <c r="U16" s="296">
        <v>1</v>
      </c>
      <c r="V16" s="296"/>
      <c r="W16" s="328">
        <f t="shared" si="1"/>
        <v>1</v>
      </c>
      <c r="X16" s="29">
        <v>0.75</v>
      </c>
      <c r="Y16" s="296">
        <v>2020003630046</v>
      </c>
      <c r="Z16" s="30" t="s">
        <v>80</v>
      </c>
      <c r="AA16" s="297" t="s">
        <v>81</v>
      </c>
      <c r="AB16" s="44"/>
      <c r="AC16" s="44"/>
      <c r="AD16" s="44"/>
      <c r="AE16" s="44"/>
      <c r="AF16" s="44"/>
      <c r="AG16" s="44"/>
      <c r="AH16" s="44"/>
      <c r="AI16" s="44"/>
      <c r="AJ16" s="44"/>
      <c r="AK16" s="44"/>
      <c r="AL16" s="44"/>
      <c r="AM16" s="44"/>
      <c r="AN16" s="44"/>
      <c r="AO16" s="44"/>
      <c r="AP16" s="44"/>
      <c r="AQ16" s="44"/>
      <c r="AR16" s="44"/>
      <c r="AS16" s="44"/>
      <c r="AT16" s="356">
        <f>300000000+100000000</f>
        <v>400000000</v>
      </c>
      <c r="AU16" s="42">
        <v>335066666</v>
      </c>
      <c r="AV16" s="42">
        <v>226900000</v>
      </c>
      <c r="AW16" s="361"/>
      <c r="AX16" s="44"/>
      <c r="AY16" s="44"/>
      <c r="AZ16" s="358"/>
      <c r="BA16" s="44"/>
      <c r="BB16" s="44"/>
      <c r="BC16" s="361"/>
      <c r="BD16" s="44"/>
      <c r="BE16" s="44"/>
      <c r="BF16" s="298">
        <f t="shared" si="0"/>
        <v>400000000</v>
      </c>
      <c r="BG16" s="298">
        <f t="shared" si="2"/>
        <v>335066666</v>
      </c>
      <c r="BH16" s="298">
        <f t="shared" si="3"/>
        <v>226900000</v>
      </c>
      <c r="BI16" s="386" t="s">
        <v>1475</v>
      </c>
      <c r="BK16" s="34"/>
      <c r="BL16" s="34"/>
    </row>
    <row r="17" spans="1:64" s="16" customFormat="1" ht="117" customHeight="1" x14ac:dyDescent="0.2">
      <c r="A17" s="29">
        <v>305</v>
      </c>
      <c r="B17" s="325" t="s">
        <v>1193</v>
      </c>
      <c r="C17" s="29">
        <v>4</v>
      </c>
      <c r="D17" s="325" t="s">
        <v>1192</v>
      </c>
      <c r="E17" s="29">
        <v>45</v>
      </c>
      <c r="F17" s="325" t="s">
        <v>28</v>
      </c>
      <c r="G17" s="29" t="s">
        <v>31</v>
      </c>
      <c r="H17" s="325" t="s">
        <v>1227</v>
      </c>
      <c r="I17" s="29">
        <v>4599</v>
      </c>
      <c r="J17" s="30" t="s">
        <v>1228</v>
      </c>
      <c r="K17" s="30" t="s">
        <v>82</v>
      </c>
      <c r="L17" s="29" t="s">
        <v>31</v>
      </c>
      <c r="M17" s="30" t="s">
        <v>83</v>
      </c>
      <c r="N17" s="29">
        <v>4599031</v>
      </c>
      <c r="O17" s="30" t="s">
        <v>84</v>
      </c>
      <c r="P17" s="29" t="s">
        <v>31</v>
      </c>
      <c r="Q17" s="295" t="s">
        <v>85</v>
      </c>
      <c r="R17" s="29">
        <v>459903101</v>
      </c>
      <c r="S17" s="295" t="s">
        <v>86</v>
      </c>
      <c r="T17" s="299" t="s">
        <v>1469</v>
      </c>
      <c r="U17" s="296">
        <v>12</v>
      </c>
      <c r="V17" s="296"/>
      <c r="W17" s="328">
        <f t="shared" si="1"/>
        <v>12</v>
      </c>
      <c r="X17" s="29">
        <v>12</v>
      </c>
      <c r="Y17" s="296">
        <v>2020003630047</v>
      </c>
      <c r="Z17" s="30" t="s">
        <v>87</v>
      </c>
      <c r="AA17" s="297" t="s">
        <v>88</v>
      </c>
      <c r="AB17" s="44"/>
      <c r="AC17" s="44"/>
      <c r="AD17" s="44"/>
      <c r="AE17" s="44"/>
      <c r="AF17" s="44"/>
      <c r="AG17" s="44"/>
      <c r="AH17" s="44"/>
      <c r="AI17" s="44"/>
      <c r="AJ17" s="44"/>
      <c r="AK17" s="44"/>
      <c r="AL17" s="44"/>
      <c r="AM17" s="44"/>
      <c r="AN17" s="44"/>
      <c r="AO17" s="44"/>
      <c r="AP17" s="44"/>
      <c r="AQ17" s="44"/>
      <c r="AR17" s="44"/>
      <c r="AS17" s="44"/>
      <c r="AT17" s="356">
        <f>36000000-200000</f>
        <v>35800000</v>
      </c>
      <c r="AU17" s="42">
        <v>16000000</v>
      </c>
      <c r="AV17" s="42">
        <v>0</v>
      </c>
      <c r="AW17" s="361"/>
      <c r="AX17" s="44"/>
      <c r="AY17" s="44"/>
      <c r="AZ17" s="358"/>
      <c r="BA17" s="44"/>
      <c r="BB17" s="44"/>
      <c r="BC17" s="361"/>
      <c r="BD17" s="44"/>
      <c r="BE17" s="44"/>
      <c r="BF17" s="298">
        <f t="shared" si="0"/>
        <v>35800000</v>
      </c>
      <c r="BG17" s="298">
        <f t="shared" si="2"/>
        <v>16000000</v>
      </c>
      <c r="BH17" s="298">
        <f t="shared" si="3"/>
        <v>0</v>
      </c>
      <c r="BI17" s="386" t="s">
        <v>1475</v>
      </c>
      <c r="BK17" s="34"/>
      <c r="BL17" s="34"/>
    </row>
    <row r="18" spans="1:64" s="16" customFormat="1" ht="117" customHeight="1" x14ac:dyDescent="0.2">
      <c r="A18" s="29">
        <v>305</v>
      </c>
      <c r="B18" s="325" t="s">
        <v>1193</v>
      </c>
      <c r="C18" s="29">
        <v>4</v>
      </c>
      <c r="D18" s="325" t="s">
        <v>1192</v>
      </c>
      <c r="E18" s="29">
        <v>45</v>
      </c>
      <c r="F18" s="325" t="s">
        <v>28</v>
      </c>
      <c r="G18" s="29" t="s">
        <v>31</v>
      </c>
      <c r="H18" s="325" t="s">
        <v>1227</v>
      </c>
      <c r="I18" s="29">
        <v>4599</v>
      </c>
      <c r="J18" s="30" t="s">
        <v>1228</v>
      </c>
      <c r="K18" s="30" t="s">
        <v>82</v>
      </c>
      <c r="L18" s="29" t="s">
        <v>31</v>
      </c>
      <c r="M18" s="30" t="s">
        <v>89</v>
      </c>
      <c r="N18" s="29">
        <v>4599031</v>
      </c>
      <c r="O18" s="30" t="s">
        <v>84</v>
      </c>
      <c r="P18" s="29" t="s">
        <v>31</v>
      </c>
      <c r="Q18" s="295" t="s">
        <v>90</v>
      </c>
      <c r="R18" s="29">
        <v>459903101</v>
      </c>
      <c r="S18" s="295" t="s">
        <v>86</v>
      </c>
      <c r="T18" s="299" t="s">
        <v>1469</v>
      </c>
      <c r="U18" s="296">
        <v>12</v>
      </c>
      <c r="V18" s="296"/>
      <c r="W18" s="328">
        <f t="shared" si="1"/>
        <v>12</v>
      </c>
      <c r="X18" s="29">
        <v>12</v>
      </c>
      <c r="Y18" s="296">
        <v>2020003630047</v>
      </c>
      <c r="Z18" s="30" t="s">
        <v>87</v>
      </c>
      <c r="AA18" s="297" t="s">
        <v>88</v>
      </c>
      <c r="AB18" s="44"/>
      <c r="AC18" s="44"/>
      <c r="AD18" s="44"/>
      <c r="AE18" s="44"/>
      <c r="AF18" s="44"/>
      <c r="AG18" s="44"/>
      <c r="AH18" s="44"/>
      <c r="AI18" s="44"/>
      <c r="AJ18" s="44"/>
      <c r="AK18" s="44"/>
      <c r="AL18" s="44"/>
      <c r="AM18" s="44"/>
      <c r="AN18" s="44"/>
      <c r="AO18" s="44"/>
      <c r="AP18" s="44"/>
      <c r="AQ18" s="44"/>
      <c r="AR18" s="44"/>
      <c r="AS18" s="44"/>
      <c r="AT18" s="356">
        <v>36000000</v>
      </c>
      <c r="AU18" s="42">
        <v>27810000</v>
      </c>
      <c r="AV18" s="42">
        <v>17310000</v>
      </c>
      <c r="AW18" s="361"/>
      <c r="AX18" s="44"/>
      <c r="AY18" s="44"/>
      <c r="AZ18" s="358"/>
      <c r="BA18" s="44"/>
      <c r="BB18" s="44"/>
      <c r="BC18" s="361"/>
      <c r="BD18" s="44"/>
      <c r="BE18" s="44"/>
      <c r="BF18" s="298">
        <f t="shared" si="0"/>
        <v>36000000</v>
      </c>
      <c r="BG18" s="298">
        <f t="shared" si="2"/>
        <v>27810000</v>
      </c>
      <c r="BH18" s="298">
        <f t="shared" si="3"/>
        <v>17310000</v>
      </c>
      <c r="BI18" s="386" t="s">
        <v>1475</v>
      </c>
      <c r="BK18" s="34"/>
      <c r="BL18" s="34"/>
    </row>
    <row r="19" spans="1:64" s="16" customFormat="1" ht="117" customHeight="1" x14ac:dyDescent="0.2">
      <c r="A19" s="29">
        <v>305</v>
      </c>
      <c r="B19" s="325" t="s">
        <v>1193</v>
      </c>
      <c r="C19" s="29">
        <v>4</v>
      </c>
      <c r="D19" s="325" t="s">
        <v>1192</v>
      </c>
      <c r="E19" s="29">
        <v>45</v>
      </c>
      <c r="F19" s="325" t="s">
        <v>28</v>
      </c>
      <c r="G19" s="29" t="s">
        <v>31</v>
      </c>
      <c r="H19" s="325" t="s">
        <v>1227</v>
      </c>
      <c r="I19" s="29">
        <v>4599</v>
      </c>
      <c r="J19" s="30" t="s">
        <v>1228</v>
      </c>
      <c r="K19" s="30" t="s">
        <v>82</v>
      </c>
      <c r="L19" s="29" t="s">
        <v>31</v>
      </c>
      <c r="M19" s="30" t="s">
        <v>91</v>
      </c>
      <c r="N19" s="29">
        <v>4599031</v>
      </c>
      <c r="O19" s="30" t="s">
        <v>84</v>
      </c>
      <c r="P19" s="29" t="s">
        <v>31</v>
      </c>
      <c r="Q19" s="295" t="s">
        <v>92</v>
      </c>
      <c r="R19" s="29">
        <v>459903101</v>
      </c>
      <c r="S19" s="295" t="s">
        <v>86</v>
      </c>
      <c r="T19" s="299" t="s">
        <v>1469</v>
      </c>
      <c r="U19" s="296">
        <v>12</v>
      </c>
      <c r="V19" s="296"/>
      <c r="W19" s="328">
        <f t="shared" si="1"/>
        <v>12</v>
      </c>
      <c r="X19" s="29">
        <v>12</v>
      </c>
      <c r="Y19" s="296">
        <v>2020003630047</v>
      </c>
      <c r="Z19" s="30" t="s">
        <v>87</v>
      </c>
      <c r="AA19" s="297" t="s">
        <v>88</v>
      </c>
      <c r="AB19" s="44"/>
      <c r="AC19" s="44"/>
      <c r="AD19" s="44"/>
      <c r="AE19" s="44"/>
      <c r="AF19" s="44"/>
      <c r="AG19" s="44"/>
      <c r="AH19" s="44"/>
      <c r="AI19" s="44"/>
      <c r="AJ19" s="44"/>
      <c r="AK19" s="44"/>
      <c r="AL19" s="44"/>
      <c r="AM19" s="44"/>
      <c r="AN19" s="44"/>
      <c r="AO19" s="44"/>
      <c r="AP19" s="44"/>
      <c r="AQ19" s="44"/>
      <c r="AR19" s="44"/>
      <c r="AS19" s="44"/>
      <c r="AT19" s="356">
        <f>36000000+36000000+200000</f>
        <v>72200000</v>
      </c>
      <c r="AU19" s="42">
        <v>61505000</v>
      </c>
      <c r="AV19" s="42">
        <v>52850000</v>
      </c>
      <c r="AW19" s="361"/>
      <c r="AX19" s="44"/>
      <c r="AY19" s="44"/>
      <c r="AZ19" s="358"/>
      <c r="BA19" s="44"/>
      <c r="BB19" s="44"/>
      <c r="BC19" s="361"/>
      <c r="BD19" s="44"/>
      <c r="BE19" s="44"/>
      <c r="BF19" s="298">
        <f t="shared" si="0"/>
        <v>72200000</v>
      </c>
      <c r="BG19" s="298">
        <f t="shared" si="2"/>
        <v>61505000</v>
      </c>
      <c r="BH19" s="298">
        <f t="shared" si="3"/>
        <v>52850000</v>
      </c>
      <c r="BI19" s="386" t="s">
        <v>1475</v>
      </c>
      <c r="BK19" s="34"/>
      <c r="BL19" s="34"/>
    </row>
    <row r="20" spans="1:64" s="16" customFormat="1" ht="117" customHeight="1" x14ac:dyDescent="0.2">
      <c r="A20" s="29">
        <v>305</v>
      </c>
      <c r="B20" s="325" t="s">
        <v>1193</v>
      </c>
      <c r="C20" s="29">
        <v>4</v>
      </c>
      <c r="D20" s="325" t="s">
        <v>1192</v>
      </c>
      <c r="E20" s="29">
        <v>45</v>
      </c>
      <c r="F20" s="325" t="s">
        <v>28</v>
      </c>
      <c r="G20" s="29" t="s">
        <v>31</v>
      </c>
      <c r="H20" s="325" t="s">
        <v>1227</v>
      </c>
      <c r="I20" s="29">
        <v>4599</v>
      </c>
      <c r="J20" s="30" t="s">
        <v>1228</v>
      </c>
      <c r="K20" s="30" t="s">
        <v>82</v>
      </c>
      <c r="L20" s="29" t="s">
        <v>31</v>
      </c>
      <c r="M20" s="30" t="s">
        <v>93</v>
      </c>
      <c r="N20" s="29">
        <v>4599031</v>
      </c>
      <c r="O20" s="30" t="s">
        <v>84</v>
      </c>
      <c r="P20" s="29" t="s">
        <v>31</v>
      </c>
      <c r="Q20" s="295" t="s">
        <v>92</v>
      </c>
      <c r="R20" s="29">
        <v>459903101</v>
      </c>
      <c r="S20" s="295" t="s">
        <v>86</v>
      </c>
      <c r="T20" s="299" t="s">
        <v>1469</v>
      </c>
      <c r="U20" s="296">
        <v>12</v>
      </c>
      <c r="V20" s="296"/>
      <c r="W20" s="328">
        <f t="shared" si="1"/>
        <v>12</v>
      </c>
      <c r="X20" s="29">
        <v>12</v>
      </c>
      <c r="Y20" s="296">
        <v>2020003630047</v>
      </c>
      <c r="Z20" s="30" t="s">
        <v>87</v>
      </c>
      <c r="AA20" s="297" t="s">
        <v>88</v>
      </c>
      <c r="AB20" s="44"/>
      <c r="AC20" s="44"/>
      <c r="AD20" s="44"/>
      <c r="AE20" s="44"/>
      <c r="AF20" s="44"/>
      <c r="AG20" s="44"/>
      <c r="AH20" s="44"/>
      <c r="AI20" s="44"/>
      <c r="AJ20" s="44"/>
      <c r="AK20" s="44"/>
      <c r="AL20" s="44"/>
      <c r="AM20" s="44"/>
      <c r="AN20" s="44"/>
      <c r="AO20" s="44"/>
      <c r="AP20" s="44"/>
      <c r="AQ20" s="44"/>
      <c r="AR20" s="44"/>
      <c r="AS20" s="44"/>
      <c r="AT20" s="356">
        <v>36000000</v>
      </c>
      <c r="AU20" s="42">
        <v>29310000</v>
      </c>
      <c r="AV20" s="42">
        <v>20310000</v>
      </c>
      <c r="AW20" s="361"/>
      <c r="AX20" s="44"/>
      <c r="AY20" s="44"/>
      <c r="AZ20" s="358"/>
      <c r="BA20" s="44"/>
      <c r="BB20" s="44"/>
      <c r="BC20" s="361"/>
      <c r="BD20" s="44"/>
      <c r="BE20" s="44"/>
      <c r="BF20" s="298">
        <f t="shared" si="0"/>
        <v>36000000</v>
      </c>
      <c r="BG20" s="298">
        <f t="shared" si="2"/>
        <v>29310000</v>
      </c>
      <c r="BH20" s="298">
        <f t="shared" si="3"/>
        <v>20310000</v>
      </c>
      <c r="BI20" s="386" t="s">
        <v>1475</v>
      </c>
      <c r="BK20" s="34"/>
      <c r="BL20" s="34"/>
    </row>
    <row r="21" spans="1:64" s="16" customFormat="1" ht="117" customHeight="1" x14ac:dyDescent="0.2">
      <c r="A21" s="29">
        <v>305</v>
      </c>
      <c r="B21" s="325" t="s">
        <v>1193</v>
      </c>
      <c r="C21" s="29">
        <v>4</v>
      </c>
      <c r="D21" s="325" t="s">
        <v>1192</v>
      </c>
      <c r="E21" s="29">
        <v>45</v>
      </c>
      <c r="F21" s="325" t="s">
        <v>28</v>
      </c>
      <c r="G21" s="29" t="s">
        <v>31</v>
      </c>
      <c r="H21" s="325" t="s">
        <v>1227</v>
      </c>
      <c r="I21" s="29">
        <v>4599</v>
      </c>
      <c r="J21" s="30" t="s">
        <v>1228</v>
      </c>
      <c r="K21" s="30" t="s">
        <v>82</v>
      </c>
      <c r="L21" s="29" t="s">
        <v>31</v>
      </c>
      <c r="M21" s="30" t="s">
        <v>94</v>
      </c>
      <c r="N21" s="29">
        <v>4599031</v>
      </c>
      <c r="O21" s="30" t="s">
        <v>84</v>
      </c>
      <c r="P21" s="29" t="s">
        <v>31</v>
      </c>
      <c r="Q21" s="295" t="s">
        <v>92</v>
      </c>
      <c r="R21" s="29">
        <v>459903101</v>
      </c>
      <c r="S21" s="295" t="s">
        <v>86</v>
      </c>
      <c r="T21" s="299" t="s">
        <v>1469</v>
      </c>
      <c r="U21" s="296">
        <v>12</v>
      </c>
      <c r="V21" s="296"/>
      <c r="W21" s="328">
        <f t="shared" si="1"/>
        <v>12</v>
      </c>
      <c r="X21" s="29">
        <v>12</v>
      </c>
      <c r="Y21" s="296">
        <v>2020003630047</v>
      </c>
      <c r="Z21" s="30" t="s">
        <v>87</v>
      </c>
      <c r="AA21" s="297" t="s">
        <v>88</v>
      </c>
      <c r="AB21" s="44"/>
      <c r="AC21" s="44"/>
      <c r="AD21" s="44"/>
      <c r="AE21" s="44"/>
      <c r="AF21" s="44"/>
      <c r="AG21" s="44"/>
      <c r="AH21" s="44"/>
      <c r="AI21" s="44"/>
      <c r="AJ21" s="44"/>
      <c r="AK21" s="44"/>
      <c r="AL21" s="44"/>
      <c r="AM21" s="44"/>
      <c r="AN21" s="44"/>
      <c r="AO21" s="44"/>
      <c r="AP21" s="44"/>
      <c r="AQ21" s="44"/>
      <c r="AR21" s="44"/>
      <c r="AS21" s="44"/>
      <c r="AT21" s="356">
        <v>36000000</v>
      </c>
      <c r="AU21" s="42">
        <v>28890000</v>
      </c>
      <c r="AV21" s="42">
        <v>18000000</v>
      </c>
      <c r="AW21" s="361"/>
      <c r="AX21" s="44"/>
      <c r="AY21" s="44"/>
      <c r="AZ21" s="358"/>
      <c r="BA21" s="44"/>
      <c r="BB21" s="44"/>
      <c r="BC21" s="361"/>
      <c r="BD21" s="44"/>
      <c r="BE21" s="44"/>
      <c r="BF21" s="298">
        <f t="shared" si="0"/>
        <v>36000000</v>
      </c>
      <c r="BG21" s="298">
        <f t="shared" si="2"/>
        <v>28890000</v>
      </c>
      <c r="BH21" s="298">
        <f t="shared" si="3"/>
        <v>18000000</v>
      </c>
      <c r="BI21" s="386" t="s">
        <v>1475</v>
      </c>
      <c r="BK21" s="34"/>
      <c r="BL21" s="34"/>
    </row>
    <row r="22" spans="1:64" s="16" customFormat="1" ht="117" customHeight="1" x14ac:dyDescent="0.2">
      <c r="A22" s="29">
        <v>305</v>
      </c>
      <c r="B22" s="325" t="s">
        <v>1193</v>
      </c>
      <c r="C22" s="29">
        <v>4</v>
      </c>
      <c r="D22" s="325" t="s">
        <v>1192</v>
      </c>
      <c r="E22" s="29">
        <v>45</v>
      </c>
      <c r="F22" s="325" t="s">
        <v>28</v>
      </c>
      <c r="G22" s="29" t="s">
        <v>31</v>
      </c>
      <c r="H22" s="325" t="s">
        <v>1227</v>
      </c>
      <c r="I22" s="29">
        <v>4599</v>
      </c>
      <c r="J22" s="30" t="s">
        <v>1228</v>
      </c>
      <c r="K22" s="30" t="s">
        <v>82</v>
      </c>
      <c r="L22" s="29" t="s">
        <v>31</v>
      </c>
      <c r="M22" s="30" t="s">
        <v>95</v>
      </c>
      <c r="N22" s="29">
        <v>4599031</v>
      </c>
      <c r="O22" s="30" t="s">
        <v>84</v>
      </c>
      <c r="P22" s="29" t="s">
        <v>31</v>
      </c>
      <c r="Q22" s="295" t="s">
        <v>92</v>
      </c>
      <c r="R22" s="29">
        <v>459903101</v>
      </c>
      <c r="S22" s="295" t="s">
        <v>86</v>
      </c>
      <c r="T22" s="299" t="s">
        <v>1469</v>
      </c>
      <c r="U22" s="296">
        <v>12</v>
      </c>
      <c r="V22" s="296"/>
      <c r="W22" s="328">
        <f t="shared" si="1"/>
        <v>12</v>
      </c>
      <c r="X22" s="29">
        <v>12</v>
      </c>
      <c r="Y22" s="296">
        <v>2020003630047</v>
      </c>
      <c r="Z22" s="30" t="s">
        <v>87</v>
      </c>
      <c r="AA22" s="297" t="s">
        <v>88</v>
      </c>
      <c r="AB22" s="44"/>
      <c r="AC22" s="44"/>
      <c r="AD22" s="44"/>
      <c r="AE22" s="44"/>
      <c r="AF22" s="44"/>
      <c r="AG22" s="44"/>
      <c r="AH22" s="44"/>
      <c r="AI22" s="44"/>
      <c r="AJ22" s="44"/>
      <c r="AK22" s="44"/>
      <c r="AL22" s="44"/>
      <c r="AM22" s="44"/>
      <c r="AN22" s="44"/>
      <c r="AO22" s="44"/>
      <c r="AP22" s="44"/>
      <c r="AQ22" s="44"/>
      <c r="AR22" s="44"/>
      <c r="AS22" s="44"/>
      <c r="AT22" s="356">
        <v>36000000</v>
      </c>
      <c r="AU22" s="42">
        <v>26926666</v>
      </c>
      <c r="AV22" s="42">
        <v>17310000</v>
      </c>
      <c r="AW22" s="361"/>
      <c r="AX22" s="44"/>
      <c r="AY22" s="44"/>
      <c r="AZ22" s="358"/>
      <c r="BA22" s="44"/>
      <c r="BB22" s="44"/>
      <c r="BC22" s="361"/>
      <c r="BD22" s="44"/>
      <c r="BE22" s="44"/>
      <c r="BF22" s="298">
        <f t="shared" si="0"/>
        <v>36000000</v>
      </c>
      <c r="BG22" s="298">
        <f t="shared" si="2"/>
        <v>26926666</v>
      </c>
      <c r="BH22" s="298">
        <f t="shared" si="3"/>
        <v>17310000</v>
      </c>
      <c r="BI22" s="386" t="s">
        <v>1475</v>
      </c>
      <c r="BK22" s="34"/>
      <c r="BL22" s="34"/>
    </row>
    <row r="23" spans="1:64" s="16" customFormat="1" ht="117" customHeight="1" x14ac:dyDescent="0.2">
      <c r="A23" s="29">
        <v>305</v>
      </c>
      <c r="B23" s="325" t="s">
        <v>1193</v>
      </c>
      <c r="C23" s="29">
        <v>4</v>
      </c>
      <c r="D23" s="325" t="s">
        <v>1192</v>
      </c>
      <c r="E23" s="29">
        <v>45</v>
      </c>
      <c r="F23" s="325" t="s">
        <v>28</v>
      </c>
      <c r="G23" s="29" t="s">
        <v>31</v>
      </c>
      <c r="H23" s="325" t="s">
        <v>1227</v>
      </c>
      <c r="I23" s="29">
        <v>4599</v>
      </c>
      <c r="J23" s="30" t="s">
        <v>1228</v>
      </c>
      <c r="K23" s="30" t="s">
        <v>30</v>
      </c>
      <c r="L23" s="29" t="s">
        <v>31</v>
      </c>
      <c r="M23" s="30" t="s">
        <v>32</v>
      </c>
      <c r="N23" s="29">
        <v>4599023</v>
      </c>
      <c r="O23" s="30" t="s">
        <v>96</v>
      </c>
      <c r="P23" s="29" t="s">
        <v>31</v>
      </c>
      <c r="Q23" s="295" t="s">
        <v>97</v>
      </c>
      <c r="R23" s="29">
        <v>459902300</v>
      </c>
      <c r="S23" s="295" t="s">
        <v>35</v>
      </c>
      <c r="T23" s="299" t="s">
        <v>1469</v>
      </c>
      <c r="U23" s="296">
        <v>18</v>
      </c>
      <c r="V23" s="296"/>
      <c r="W23" s="328">
        <f t="shared" si="1"/>
        <v>18</v>
      </c>
      <c r="X23" s="29">
        <v>18</v>
      </c>
      <c r="Y23" s="296">
        <v>2020003630008</v>
      </c>
      <c r="Z23" s="30" t="s">
        <v>1341</v>
      </c>
      <c r="AA23" s="297" t="s">
        <v>99</v>
      </c>
      <c r="AB23" s="40"/>
      <c r="AC23" s="40"/>
      <c r="AD23" s="40"/>
      <c r="AE23" s="40"/>
      <c r="AF23" s="40"/>
      <c r="AG23" s="40"/>
      <c r="AH23" s="40"/>
      <c r="AI23" s="40"/>
      <c r="AJ23" s="40"/>
      <c r="AK23" s="40"/>
      <c r="AL23" s="40"/>
      <c r="AM23" s="40"/>
      <c r="AN23" s="40"/>
      <c r="AO23" s="40"/>
      <c r="AP23" s="40"/>
      <c r="AQ23" s="40"/>
      <c r="AR23" s="40"/>
      <c r="AS23" s="40"/>
      <c r="AT23" s="356">
        <v>72000000</v>
      </c>
      <c r="AU23" s="42">
        <v>66000000</v>
      </c>
      <c r="AV23" s="42">
        <v>46200000</v>
      </c>
      <c r="AW23" s="362"/>
      <c r="AX23" s="40"/>
      <c r="AY23" s="40"/>
      <c r="AZ23" s="401"/>
      <c r="BA23" s="40"/>
      <c r="BB23" s="40"/>
      <c r="BC23" s="362"/>
      <c r="BD23" s="40"/>
      <c r="BE23" s="40"/>
      <c r="BF23" s="298">
        <f t="shared" si="0"/>
        <v>72000000</v>
      </c>
      <c r="BG23" s="298">
        <f t="shared" si="2"/>
        <v>66000000</v>
      </c>
      <c r="BH23" s="298">
        <f t="shared" si="3"/>
        <v>46200000</v>
      </c>
      <c r="BI23" s="386" t="s">
        <v>1475</v>
      </c>
      <c r="BK23" s="34"/>
      <c r="BL23" s="34"/>
    </row>
    <row r="24" spans="1:64" s="16" customFormat="1" ht="117" customHeight="1" x14ac:dyDescent="0.2">
      <c r="A24" s="29">
        <v>307</v>
      </c>
      <c r="B24" s="325" t="s">
        <v>1194</v>
      </c>
      <c r="C24" s="29">
        <v>4</v>
      </c>
      <c r="D24" s="325" t="s">
        <v>1192</v>
      </c>
      <c r="E24" s="29">
        <v>45</v>
      </c>
      <c r="F24" s="325" t="s">
        <v>28</v>
      </c>
      <c r="G24" s="29" t="s">
        <v>31</v>
      </c>
      <c r="H24" s="325" t="s">
        <v>1227</v>
      </c>
      <c r="I24" s="29">
        <v>4599</v>
      </c>
      <c r="J24" s="30" t="s">
        <v>1228</v>
      </c>
      <c r="K24" s="30" t="s">
        <v>100</v>
      </c>
      <c r="L24" s="29" t="s">
        <v>31</v>
      </c>
      <c r="M24" s="303" t="s">
        <v>101</v>
      </c>
      <c r="N24" s="29">
        <v>4599002</v>
      </c>
      <c r="O24" s="303" t="s">
        <v>39</v>
      </c>
      <c r="P24" s="29" t="s">
        <v>31</v>
      </c>
      <c r="Q24" s="295" t="s">
        <v>102</v>
      </c>
      <c r="R24" s="29">
        <v>459900201</v>
      </c>
      <c r="S24" s="295" t="s">
        <v>103</v>
      </c>
      <c r="T24" s="299" t="s">
        <v>1469</v>
      </c>
      <c r="U24" s="340">
        <v>1</v>
      </c>
      <c r="V24" s="340"/>
      <c r="W24" s="328">
        <f t="shared" si="1"/>
        <v>1</v>
      </c>
      <c r="X24" s="304">
        <v>0.6</v>
      </c>
      <c r="Y24" s="296">
        <v>2020003630048</v>
      </c>
      <c r="Z24" s="30" t="s">
        <v>104</v>
      </c>
      <c r="AA24" s="297" t="s">
        <v>105</v>
      </c>
      <c r="AB24" s="135"/>
      <c r="AC24" s="135"/>
      <c r="AD24" s="135"/>
      <c r="AE24" s="135"/>
      <c r="AF24" s="135"/>
      <c r="AG24" s="135"/>
      <c r="AH24" s="135"/>
      <c r="AI24" s="135"/>
      <c r="AJ24" s="135"/>
      <c r="AK24" s="135"/>
      <c r="AL24" s="135"/>
      <c r="AM24" s="135"/>
      <c r="AN24" s="135"/>
      <c r="AO24" s="135"/>
      <c r="AP24" s="135"/>
      <c r="AQ24" s="135"/>
      <c r="AR24" s="135"/>
      <c r="AS24" s="135"/>
      <c r="AT24" s="356">
        <f>1570000000-189210826-280789174+280789174+435650586+1000000000-40000000-163000000</f>
        <v>2613439760</v>
      </c>
      <c r="AU24" s="42">
        <v>2354954410</v>
      </c>
      <c r="AV24" s="42">
        <v>1284534435.5</v>
      </c>
      <c r="AW24" s="363"/>
      <c r="AX24" s="42"/>
      <c r="AY24" s="42"/>
      <c r="AZ24" s="356"/>
      <c r="BA24" s="42"/>
      <c r="BB24" s="42"/>
      <c r="BC24" s="405">
        <f>250000000+138533774.16+228382640-25000000</f>
        <v>591916414.15999997</v>
      </c>
      <c r="BD24" s="89">
        <v>440240767</v>
      </c>
      <c r="BE24" s="89">
        <v>271191295</v>
      </c>
      <c r="BF24" s="298">
        <f t="shared" si="0"/>
        <v>3205356174.1599998</v>
      </c>
      <c r="BG24" s="298">
        <f t="shared" si="2"/>
        <v>2795195177</v>
      </c>
      <c r="BH24" s="298">
        <f t="shared" si="3"/>
        <v>1555725730.5</v>
      </c>
      <c r="BI24" s="30" t="s">
        <v>1477</v>
      </c>
      <c r="BK24" s="34"/>
      <c r="BL24" s="34"/>
    </row>
    <row r="25" spans="1:64" s="16" customFormat="1" ht="117" customHeight="1" x14ac:dyDescent="0.2">
      <c r="A25" s="29">
        <v>307</v>
      </c>
      <c r="B25" s="325" t="s">
        <v>1194</v>
      </c>
      <c r="C25" s="29">
        <v>4</v>
      </c>
      <c r="D25" s="325" t="s">
        <v>1192</v>
      </c>
      <c r="E25" s="29">
        <v>45</v>
      </c>
      <c r="F25" s="325" t="s">
        <v>28</v>
      </c>
      <c r="G25" s="29" t="s">
        <v>31</v>
      </c>
      <c r="H25" s="325" t="s">
        <v>1227</v>
      </c>
      <c r="I25" s="29">
        <v>4599</v>
      </c>
      <c r="J25" s="30" t="s">
        <v>1228</v>
      </c>
      <c r="K25" s="30" t="s">
        <v>100</v>
      </c>
      <c r="L25" s="29" t="s">
        <v>31</v>
      </c>
      <c r="M25" s="303" t="s">
        <v>106</v>
      </c>
      <c r="N25" s="29">
        <v>4599002</v>
      </c>
      <c r="O25" s="303" t="s">
        <v>107</v>
      </c>
      <c r="P25" s="29" t="s">
        <v>31</v>
      </c>
      <c r="Q25" s="295" t="s">
        <v>108</v>
      </c>
      <c r="R25" s="29">
        <v>459900200</v>
      </c>
      <c r="S25" s="295" t="s">
        <v>1127</v>
      </c>
      <c r="T25" s="299" t="s">
        <v>1469</v>
      </c>
      <c r="U25" s="340">
        <v>1</v>
      </c>
      <c r="V25" s="340"/>
      <c r="W25" s="328">
        <f t="shared" si="1"/>
        <v>1</v>
      </c>
      <c r="X25" s="304">
        <v>0.68</v>
      </c>
      <c r="Y25" s="296">
        <v>2020003630049</v>
      </c>
      <c r="Z25" s="30" t="s">
        <v>109</v>
      </c>
      <c r="AA25" s="297" t="s">
        <v>110</v>
      </c>
      <c r="AB25" s="44"/>
      <c r="AC25" s="44"/>
      <c r="AD25" s="44"/>
      <c r="AE25" s="44"/>
      <c r="AF25" s="44"/>
      <c r="AG25" s="44"/>
      <c r="AH25" s="44"/>
      <c r="AI25" s="44"/>
      <c r="AJ25" s="44"/>
      <c r="AK25" s="44"/>
      <c r="AL25" s="44"/>
      <c r="AM25" s="44"/>
      <c r="AN25" s="44"/>
      <c r="AO25" s="44"/>
      <c r="AP25" s="44"/>
      <c r="AQ25" s="44"/>
      <c r="AR25" s="44"/>
      <c r="AS25" s="44"/>
      <c r="AT25" s="356">
        <f>270000000-40000000+300000000+40000000+63000000</f>
        <v>633000000</v>
      </c>
      <c r="AU25" s="42">
        <v>557978333</v>
      </c>
      <c r="AV25" s="42">
        <v>356220000</v>
      </c>
      <c r="AW25" s="361"/>
      <c r="AX25" s="44"/>
      <c r="AY25" s="44"/>
      <c r="AZ25" s="358"/>
      <c r="BA25" s="44"/>
      <c r="BB25" s="44"/>
      <c r="BC25" s="361"/>
      <c r="BD25" s="44"/>
      <c r="BE25" s="44"/>
      <c r="BF25" s="298">
        <f t="shared" si="0"/>
        <v>633000000</v>
      </c>
      <c r="BG25" s="298">
        <f t="shared" si="2"/>
        <v>557978333</v>
      </c>
      <c r="BH25" s="298">
        <f t="shared" si="3"/>
        <v>356220000</v>
      </c>
      <c r="BI25" s="30" t="s">
        <v>1477</v>
      </c>
      <c r="BK25" s="34"/>
      <c r="BL25" s="34"/>
    </row>
    <row r="26" spans="1:64" s="16" customFormat="1" ht="117" customHeight="1" x14ac:dyDescent="0.2">
      <c r="A26" s="29">
        <v>308</v>
      </c>
      <c r="B26" s="325" t="s">
        <v>1195</v>
      </c>
      <c r="C26" s="29">
        <v>1</v>
      </c>
      <c r="D26" s="325" t="s">
        <v>1196</v>
      </c>
      <c r="E26" s="29">
        <v>12</v>
      </c>
      <c r="F26" s="325" t="s">
        <v>113</v>
      </c>
      <c r="G26" s="29">
        <v>1202</v>
      </c>
      <c r="H26" s="325" t="s">
        <v>114</v>
      </c>
      <c r="I26" s="29">
        <v>1202</v>
      </c>
      <c r="J26" s="30" t="s">
        <v>1230</v>
      </c>
      <c r="K26" s="297" t="s">
        <v>115</v>
      </c>
      <c r="L26" s="29" t="s">
        <v>31</v>
      </c>
      <c r="M26" s="28" t="s">
        <v>116</v>
      </c>
      <c r="N26" s="29">
        <v>1202019</v>
      </c>
      <c r="O26" s="28" t="s">
        <v>117</v>
      </c>
      <c r="P26" s="29" t="s">
        <v>31</v>
      </c>
      <c r="Q26" s="28" t="s">
        <v>118</v>
      </c>
      <c r="R26" s="192">
        <v>120201900</v>
      </c>
      <c r="S26" s="28" t="s">
        <v>119</v>
      </c>
      <c r="T26" s="299" t="s">
        <v>1470</v>
      </c>
      <c r="U26" s="311">
        <v>4</v>
      </c>
      <c r="V26" s="311"/>
      <c r="W26" s="328">
        <f t="shared" si="1"/>
        <v>4</v>
      </c>
      <c r="X26" s="300">
        <v>1</v>
      </c>
      <c r="Y26" s="296">
        <v>2020003630017</v>
      </c>
      <c r="Z26" s="30" t="s">
        <v>120</v>
      </c>
      <c r="AA26" s="297" t="s">
        <v>121</v>
      </c>
      <c r="AB26" s="134"/>
      <c r="AC26" s="134"/>
      <c r="AD26" s="134"/>
      <c r="AE26" s="44"/>
      <c r="AF26" s="44"/>
      <c r="AG26" s="44"/>
      <c r="AH26" s="44"/>
      <c r="AI26" s="44"/>
      <c r="AJ26" s="44"/>
      <c r="AK26" s="44"/>
      <c r="AL26" s="44"/>
      <c r="AM26" s="44"/>
      <c r="AN26" s="44"/>
      <c r="AO26" s="44"/>
      <c r="AP26" s="44"/>
      <c r="AQ26" s="44"/>
      <c r="AR26" s="44"/>
      <c r="AS26" s="44"/>
      <c r="AT26" s="356">
        <f>23750000+20500000+20000000</f>
        <v>64250000</v>
      </c>
      <c r="AU26" s="42">
        <v>47250000</v>
      </c>
      <c r="AV26" s="42">
        <v>2100000</v>
      </c>
      <c r="AW26" s="361"/>
      <c r="AX26" s="44"/>
      <c r="AY26" s="44"/>
      <c r="AZ26" s="358"/>
      <c r="BA26" s="44"/>
      <c r="BB26" s="44"/>
      <c r="BC26" s="362"/>
      <c r="BD26" s="40"/>
      <c r="BE26" s="40"/>
      <c r="BF26" s="298">
        <f t="shared" si="0"/>
        <v>64250000</v>
      </c>
      <c r="BG26" s="298">
        <f t="shared" si="2"/>
        <v>47250000</v>
      </c>
      <c r="BH26" s="298">
        <f t="shared" si="3"/>
        <v>2100000</v>
      </c>
      <c r="BI26" s="30" t="s">
        <v>1484</v>
      </c>
      <c r="BK26" s="34"/>
      <c r="BL26" s="34"/>
    </row>
    <row r="27" spans="1:64" s="16" customFormat="1" ht="117" customHeight="1" x14ac:dyDescent="0.2">
      <c r="A27" s="29">
        <v>308</v>
      </c>
      <c r="B27" s="321" t="s">
        <v>1195</v>
      </c>
      <c r="C27" s="322">
        <v>1</v>
      </c>
      <c r="D27" s="323" t="s">
        <v>1196</v>
      </c>
      <c r="E27" s="322">
        <v>19</v>
      </c>
      <c r="F27" s="324" t="s">
        <v>122</v>
      </c>
      <c r="G27" s="29">
        <v>1906</v>
      </c>
      <c r="H27" s="325" t="s">
        <v>1216</v>
      </c>
      <c r="I27" s="29">
        <v>1906</v>
      </c>
      <c r="J27" s="30" t="s">
        <v>1217</v>
      </c>
      <c r="K27" s="326" t="s">
        <v>1391</v>
      </c>
      <c r="L27" s="327" t="s">
        <v>31</v>
      </c>
      <c r="M27" s="389" t="s">
        <v>1392</v>
      </c>
      <c r="N27" s="327">
        <v>1906015</v>
      </c>
      <c r="O27" s="195" t="s">
        <v>1393</v>
      </c>
      <c r="P27" s="327" t="s">
        <v>31</v>
      </c>
      <c r="Q27" s="373" t="s">
        <v>1394</v>
      </c>
      <c r="R27" s="374">
        <v>190601500</v>
      </c>
      <c r="S27" s="196" t="s">
        <v>1393</v>
      </c>
      <c r="T27" s="299" t="s">
        <v>1472</v>
      </c>
      <c r="U27" s="375">
        <v>1</v>
      </c>
      <c r="V27" s="375"/>
      <c r="W27" s="328">
        <f t="shared" si="1"/>
        <v>1</v>
      </c>
      <c r="X27" s="527">
        <v>0</v>
      </c>
      <c r="Y27" s="376">
        <v>2020003630018</v>
      </c>
      <c r="Z27" s="30" t="s">
        <v>1395</v>
      </c>
      <c r="AA27" s="377" t="s">
        <v>1396</v>
      </c>
      <c r="AB27" s="134"/>
      <c r="AC27" s="134"/>
      <c r="AD27" s="134"/>
      <c r="AE27" s="44"/>
      <c r="AF27" s="44"/>
      <c r="AG27" s="44"/>
      <c r="AH27" s="44"/>
      <c r="AI27" s="44"/>
      <c r="AJ27" s="44"/>
      <c r="AK27" s="44"/>
      <c r="AL27" s="44"/>
      <c r="AM27" s="44"/>
      <c r="AN27" s="44"/>
      <c r="AO27" s="44"/>
      <c r="AP27" s="44"/>
      <c r="AQ27" s="44"/>
      <c r="AR27" s="44"/>
      <c r="AS27" s="44"/>
      <c r="AT27" s="356">
        <f>391811948+100000000+25000000</f>
        <v>516811948</v>
      </c>
      <c r="AU27" s="42">
        <v>516811948</v>
      </c>
      <c r="AV27" s="42">
        <v>147543584</v>
      </c>
      <c r="AW27" s="361"/>
      <c r="AX27" s="44"/>
      <c r="AY27" s="44"/>
      <c r="AZ27" s="358"/>
      <c r="BA27" s="44"/>
      <c r="BB27" s="44"/>
      <c r="BC27" s="362"/>
      <c r="BD27" s="40"/>
      <c r="BE27" s="40"/>
      <c r="BF27" s="298">
        <f t="shared" si="0"/>
        <v>516811948</v>
      </c>
      <c r="BG27" s="298">
        <f t="shared" si="2"/>
        <v>516811948</v>
      </c>
      <c r="BH27" s="298">
        <f t="shared" si="3"/>
        <v>147543584</v>
      </c>
      <c r="BI27" s="30" t="s">
        <v>1484</v>
      </c>
      <c r="BK27" s="34"/>
      <c r="BL27" s="34"/>
    </row>
    <row r="28" spans="1:64" s="16" customFormat="1" ht="117" customHeight="1" x14ac:dyDescent="0.2">
      <c r="A28" s="29">
        <v>308</v>
      </c>
      <c r="B28" s="325" t="s">
        <v>1195</v>
      </c>
      <c r="C28" s="29">
        <v>1</v>
      </c>
      <c r="D28" s="325" t="s">
        <v>1196</v>
      </c>
      <c r="E28" s="29">
        <v>22</v>
      </c>
      <c r="F28" s="325" t="s">
        <v>124</v>
      </c>
      <c r="G28" s="29">
        <v>2201</v>
      </c>
      <c r="H28" s="325" t="s">
        <v>125</v>
      </c>
      <c r="I28" s="29">
        <v>2201</v>
      </c>
      <c r="J28" s="30" t="s">
        <v>1242</v>
      </c>
      <c r="K28" s="30" t="s">
        <v>126</v>
      </c>
      <c r="L28" s="29" t="s">
        <v>31</v>
      </c>
      <c r="M28" s="30" t="s">
        <v>127</v>
      </c>
      <c r="N28" s="29">
        <v>2201062</v>
      </c>
      <c r="O28" s="30" t="s">
        <v>128</v>
      </c>
      <c r="P28" s="29" t="s">
        <v>31</v>
      </c>
      <c r="Q28" s="295" t="s">
        <v>129</v>
      </c>
      <c r="R28" s="29">
        <v>220106200</v>
      </c>
      <c r="S28" s="295" t="s">
        <v>130</v>
      </c>
      <c r="T28" s="299" t="s">
        <v>1470</v>
      </c>
      <c r="U28" s="311">
        <v>15</v>
      </c>
      <c r="V28" s="311">
        <v>6</v>
      </c>
      <c r="W28" s="328">
        <f t="shared" si="1"/>
        <v>21</v>
      </c>
      <c r="X28" s="300">
        <v>9</v>
      </c>
      <c r="Y28" s="296">
        <v>2020003630050</v>
      </c>
      <c r="Z28" s="30" t="s">
        <v>1342</v>
      </c>
      <c r="AA28" s="297" t="s">
        <v>131</v>
      </c>
      <c r="AB28" s="134">
        <f>1500000000+1160848790.23+150000000+1091428109.65</f>
        <v>3902276899.8800001</v>
      </c>
      <c r="AC28" s="134">
        <v>1115149000</v>
      </c>
      <c r="AD28" s="134">
        <v>837839233</v>
      </c>
      <c r="AE28" s="44"/>
      <c r="AF28" s="44"/>
      <c r="AG28" s="44"/>
      <c r="AH28" s="44"/>
      <c r="AI28" s="44"/>
      <c r="AJ28" s="44"/>
      <c r="AK28" s="44"/>
      <c r="AL28" s="44"/>
      <c r="AM28" s="44"/>
      <c r="AN28" s="44"/>
      <c r="AO28" s="44"/>
      <c r="AP28" s="44"/>
      <c r="AQ28" s="44"/>
      <c r="AR28" s="44"/>
      <c r="AS28" s="44"/>
      <c r="AT28" s="356"/>
      <c r="AU28" s="42"/>
      <c r="AV28" s="42"/>
      <c r="AW28" s="361"/>
      <c r="AX28" s="44"/>
      <c r="AY28" s="44"/>
      <c r="AZ28" s="358"/>
      <c r="BA28" s="44"/>
      <c r="BB28" s="44"/>
      <c r="BC28" s="362"/>
      <c r="BD28" s="40"/>
      <c r="BE28" s="40"/>
      <c r="BF28" s="298">
        <f t="shared" si="0"/>
        <v>3902276899.8800001</v>
      </c>
      <c r="BG28" s="298">
        <f t="shared" si="2"/>
        <v>1115149000</v>
      </c>
      <c r="BH28" s="298">
        <f t="shared" si="3"/>
        <v>837839233</v>
      </c>
      <c r="BI28" s="30" t="s">
        <v>1484</v>
      </c>
      <c r="BK28" s="34"/>
      <c r="BL28" s="34"/>
    </row>
    <row r="29" spans="1:64" s="16" customFormat="1" ht="117" customHeight="1" x14ac:dyDescent="0.2">
      <c r="A29" s="29">
        <v>308</v>
      </c>
      <c r="B29" s="325" t="s">
        <v>1195</v>
      </c>
      <c r="C29" s="29">
        <v>1</v>
      </c>
      <c r="D29" s="325" t="s">
        <v>1196</v>
      </c>
      <c r="E29" s="29">
        <v>33</v>
      </c>
      <c r="F29" s="325" t="s">
        <v>132</v>
      </c>
      <c r="G29" s="29">
        <v>3301</v>
      </c>
      <c r="H29" s="325" t="s">
        <v>133</v>
      </c>
      <c r="I29" s="29">
        <v>3301</v>
      </c>
      <c r="J29" s="30" t="s">
        <v>1251</v>
      </c>
      <c r="K29" s="30" t="s">
        <v>134</v>
      </c>
      <c r="L29" s="29" t="s">
        <v>135</v>
      </c>
      <c r="M29" s="30" t="s">
        <v>136</v>
      </c>
      <c r="N29" s="29" t="s">
        <v>135</v>
      </c>
      <c r="O29" s="30" t="s">
        <v>136</v>
      </c>
      <c r="P29" s="192" t="s">
        <v>137</v>
      </c>
      <c r="Q29" s="28" t="s">
        <v>138</v>
      </c>
      <c r="R29" s="192">
        <v>330106800</v>
      </c>
      <c r="S29" s="28" t="s">
        <v>138</v>
      </c>
      <c r="T29" s="299" t="s">
        <v>1470</v>
      </c>
      <c r="U29" s="311">
        <v>4</v>
      </c>
      <c r="V29" s="311"/>
      <c r="W29" s="328">
        <f t="shared" si="1"/>
        <v>4</v>
      </c>
      <c r="X29" s="300">
        <v>1</v>
      </c>
      <c r="Y29" s="305">
        <v>2021003630001</v>
      </c>
      <c r="Z29" s="30" t="s">
        <v>1343</v>
      </c>
      <c r="AA29" s="297" t="s">
        <v>140</v>
      </c>
      <c r="AB29" s="44"/>
      <c r="AC29" s="44"/>
      <c r="AD29" s="44"/>
      <c r="AE29" s="44"/>
      <c r="AF29" s="44"/>
      <c r="AG29" s="44"/>
      <c r="AH29" s="44"/>
      <c r="AI29" s="44"/>
      <c r="AJ29" s="44"/>
      <c r="AK29" s="44"/>
      <c r="AL29" s="44"/>
      <c r="AM29" s="44"/>
      <c r="AN29" s="44"/>
      <c r="AO29" s="44"/>
      <c r="AP29" s="44"/>
      <c r="AQ29" s="44"/>
      <c r="AR29" s="44"/>
      <c r="AS29" s="44"/>
      <c r="AT29" s="357">
        <f>50000000+17500000</f>
        <v>67500000</v>
      </c>
      <c r="AU29" s="41">
        <v>26600000</v>
      </c>
      <c r="AV29" s="41">
        <v>11500000</v>
      </c>
      <c r="AW29" s="361"/>
      <c r="AX29" s="44"/>
      <c r="AY29" s="44"/>
      <c r="AZ29" s="358"/>
      <c r="BA29" s="44"/>
      <c r="BB29" s="44"/>
      <c r="BC29" s="361"/>
      <c r="BD29" s="44"/>
      <c r="BE29" s="44"/>
      <c r="BF29" s="298">
        <f t="shared" si="0"/>
        <v>67500000</v>
      </c>
      <c r="BG29" s="298">
        <f t="shared" si="2"/>
        <v>26600000</v>
      </c>
      <c r="BH29" s="298">
        <f t="shared" si="3"/>
        <v>11500000</v>
      </c>
      <c r="BI29" s="30" t="s">
        <v>1484</v>
      </c>
      <c r="BK29" s="34"/>
      <c r="BL29" s="34"/>
    </row>
    <row r="30" spans="1:64" s="16" customFormat="1" ht="117" customHeight="1" x14ac:dyDescent="0.2">
      <c r="A30" s="29">
        <v>308</v>
      </c>
      <c r="B30" s="325" t="s">
        <v>1195</v>
      </c>
      <c r="C30" s="29">
        <v>1</v>
      </c>
      <c r="D30" s="325" t="s">
        <v>1196</v>
      </c>
      <c r="E30" s="29">
        <v>41</v>
      </c>
      <c r="F30" s="325" t="s">
        <v>1146</v>
      </c>
      <c r="G30" s="29">
        <v>4104</v>
      </c>
      <c r="H30" s="325" t="s">
        <v>1147</v>
      </c>
      <c r="I30" s="29">
        <v>4104</v>
      </c>
      <c r="J30" s="30" t="s">
        <v>1260</v>
      </c>
      <c r="K30" s="30" t="s">
        <v>1148</v>
      </c>
      <c r="L30" s="287">
        <v>4104036</v>
      </c>
      <c r="M30" s="295" t="s">
        <v>1149</v>
      </c>
      <c r="N30" s="287">
        <v>4104036</v>
      </c>
      <c r="O30" s="30" t="s">
        <v>1150</v>
      </c>
      <c r="P30" s="300">
        <v>410403600</v>
      </c>
      <c r="Q30" s="295" t="s">
        <v>1151</v>
      </c>
      <c r="R30" s="300">
        <v>410403600</v>
      </c>
      <c r="S30" s="28" t="s">
        <v>1152</v>
      </c>
      <c r="T30" s="299" t="s">
        <v>1470</v>
      </c>
      <c r="U30" s="341">
        <v>0.6</v>
      </c>
      <c r="V30" s="341"/>
      <c r="W30" s="370">
        <f t="shared" si="1"/>
        <v>0.6</v>
      </c>
      <c r="X30" s="300">
        <v>0</v>
      </c>
      <c r="Y30" s="296">
        <v>2021003630017</v>
      </c>
      <c r="Z30" s="30" t="s">
        <v>1285</v>
      </c>
      <c r="AA30" s="297" t="s">
        <v>1288</v>
      </c>
      <c r="AB30" s="44"/>
      <c r="AC30" s="44"/>
      <c r="AD30" s="44"/>
      <c r="AE30" s="44"/>
      <c r="AF30" s="44"/>
      <c r="AG30" s="44"/>
      <c r="AH30" s="44"/>
      <c r="AI30" s="44"/>
      <c r="AJ30" s="44"/>
      <c r="AK30" s="44"/>
      <c r="AL30" s="44"/>
      <c r="AM30" s="44"/>
      <c r="AN30" s="44"/>
      <c r="AO30" s="44"/>
      <c r="AP30" s="44"/>
      <c r="AQ30" s="44"/>
      <c r="AR30" s="44"/>
      <c r="AS30" s="44"/>
      <c r="AT30" s="356">
        <f>50000000-10000000+10000000</f>
        <v>50000000</v>
      </c>
      <c r="AU30" s="42">
        <v>0</v>
      </c>
      <c r="AV30" s="42">
        <v>0</v>
      </c>
      <c r="AW30" s="361"/>
      <c r="AX30" s="44"/>
      <c r="AY30" s="44"/>
      <c r="AZ30" s="358"/>
      <c r="BA30" s="44"/>
      <c r="BB30" s="44"/>
      <c r="BC30" s="361"/>
      <c r="BD30" s="44"/>
      <c r="BE30" s="44"/>
      <c r="BF30" s="298">
        <f t="shared" si="0"/>
        <v>50000000</v>
      </c>
      <c r="BG30" s="298">
        <f t="shared" si="2"/>
        <v>0</v>
      </c>
      <c r="BH30" s="298">
        <f t="shared" si="3"/>
        <v>0</v>
      </c>
      <c r="BI30" s="30" t="s">
        <v>1484</v>
      </c>
      <c r="BK30" s="34"/>
      <c r="BL30" s="34"/>
    </row>
    <row r="31" spans="1:64" s="16" customFormat="1" ht="165.75" customHeight="1" x14ac:dyDescent="0.2">
      <c r="A31" s="29">
        <v>308</v>
      </c>
      <c r="B31" s="325" t="s">
        <v>1195</v>
      </c>
      <c r="C31" s="29">
        <v>1</v>
      </c>
      <c r="D31" s="325" t="s">
        <v>1196</v>
      </c>
      <c r="E31" s="29">
        <v>43</v>
      </c>
      <c r="F31" s="325" t="s">
        <v>141</v>
      </c>
      <c r="G31" s="29">
        <v>4301</v>
      </c>
      <c r="H31" s="325" t="s">
        <v>1365</v>
      </c>
      <c r="I31" s="29">
        <v>4301</v>
      </c>
      <c r="J31" s="30" t="s">
        <v>1262</v>
      </c>
      <c r="K31" s="297" t="s">
        <v>143</v>
      </c>
      <c r="L31" s="29" t="s">
        <v>31</v>
      </c>
      <c r="M31" s="28" t="s">
        <v>144</v>
      </c>
      <c r="N31" s="29">
        <v>4301004</v>
      </c>
      <c r="O31" s="28" t="s">
        <v>145</v>
      </c>
      <c r="P31" s="29" t="s">
        <v>31</v>
      </c>
      <c r="Q31" s="28" t="s">
        <v>146</v>
      </c>
      <c r="R31" s="29">
        <v>430100401</v>
      </c>
      <c r="S31" s="28" t="s">
        <v>147</v>
      </c>
      <c r="T31" s="299" t="s">
        <v>1470</v>
      </c>
      <c r="U31" s="311">
        <v>3</v>
      </c>
      <c r="V31" s="311"/>
      <c r="W31" s="328">
        <f t="shared" si="1"/>
        <v>3</v>
      </c>
      <c r="X31" s="300">
        <v>2</v>
      </c>
      <c r="Y31" s="296">
        <v>2020003630052</v>
      </c>
      <c r="Z31" s="30" t="s">
        <v>148</v>
      </c>
      <c r="AA31" s="297" t="s">
        <v>149</v>
      </c>
      <c r="AB31" s="108">
        <f>768349952+1664967+130000000+3034000000</f>
        <v>3934014919</v>
      </c>
      <c r="AC31" s="108">
        <v>1063540100</v>
      </c>
      <c r="AD31" s="108">
        <v>496180100</v>
      </c>
      <c r="AE31" s="44"/>
      <c r="AF31" s="44"/>
      <c r="AG31" s="44"/>
      <c r="AH31" s="44"/>
      <c r="AI31" s="44"/>
      <c r="AJ31" s="44"/>
      <c r="AK31" s="44"/>
      <c r="AL31" s="44"/>
      <c r="AM31" s="44"/>
      <c r="AN31" s="44"/>
      <c r="AO31" s="44"/>
      <c r="AP31" s="44"/>
      <c r="AQ31" s="44"/>
      <c r="AR31" s="44"/>
      <c r="AS31" s="44"/>
      <c r="AT31" s="356"/>
      <c r="AU31" s="42"/>
      <c r="AV31" s="42"/>
      <c r="AW31" s="361"/>
      <c r="AX31" s="44"/>
      <c r="AY31" s="44"/>
      <c r="AZ31" s="358"/>
      <c r="BA31" s="44"/>
      <c r="BB31" s="44"/>
      <c r="BC31" s="361"/>
      <c r="BD31" s="44"/>
      <c r="BE31" s="44"/>
      <c r="BF31" s="298">
        <f t="shared" si="0"/>
        <v>3934014919</v>
      </c>
      <c r="BG31" s="298">
        <f t="shared" si="2"/>
        <v>1063540100</v>
      </c>
      <c r="BH31" s="298">
        <f t="shared" si="3"/>
        <v>496180100</v>
      </c>
      <c r="BI31" s="30" t="s">
        <v>1484</v>
      </c>
      <c r="BK31" s="34"/>
      <c r="BL31" s="34"/>
    </row>
    <row r="32" spans="1:64" s="16" customFormat="1" ht="117" customHeight="1" x14ac:dyDescent="0.2">
      <c r="A32" s="29">
        <v>308</v>
      </c>
      <c r="B32" s="325" t="s">
        <v>1195</v>
      </c>
      <c r="C32" s="29">
        <v>2</v>
      </c>
      <c r="D32" s="325" t="s">
        <v>1197</v>
      </c>
      <c r="E32" s="29">
        <v>17</v>
      </c>
      <c r="F32" s="325" t="s">
        <v>375</v>
      </c>
      <c r="G32" s="29">
        <v>1709</v>
      </c>
      <c r="H32" s="325" t="s">
        <v>450</v>
      </c>
      <c r="I32" s="29">
        <v>1709</v>
      </c>
      <c r="J32" s="30" t="s">
        <v>1239</v>
      </c>
      <c r="K32" s="130" t="s">
        <v>377</v>
      </c>
      <c r="L32" s="287">
        <v>1709065</v>
      </c>
      <c r="M32" s="130" t="s">
        <v>1153</v>
      </c>
      <c r="N32" s="287">
        <v>1709065</v>
      </c>
      <c r="O32" s="130" t="s">
        <v>1153</v>
      </c>
      <c r="P32" s="287">
        <v>170906500</v>
      </c>
      <c r="Q32" s="130" t="s">
        <v>1153</v>
      </c>
      <c r="R32" s="287">
        <v>170906500</v>
      </c>
      <c r="S32" s="130" t="s">
        <v>1155</v>
      </c>
      <c r="T32" s="299" t="s">
        <v>1469</v>
      </c>
      <c r="U32" s="296">
        <v>1</v>
      </c>
      <c r="V32" s="296"/>
      <c r="W32" s="328">
        <f t="shared" si="1"/>
        <v>1</v>
      </c>
      <c r="X32" s="29">
        <v>0</v>
      </c>
      <c r="Y32" s="296">
        <v>2021003630018</v>
      </c>
      <c r="Z32" s="130" t="s">
        <v>1286</v>
      </c>
      <c r="AA32" s="297" t="s">
        <v>1292</v>
      </c>
      <c r="AB32" s="108"/>
      <c r="AC32" s="108"/>
      <c r="AD32" s="108"/>
      <c r="AE32" s="136"/>
      <c r="AF32" s="136"/>
      <c r="AG32" s="136"/>
      <c r="AH32" s="136"/>
      <c r="AI32" s="136"/>
      <c r="AJ32" s="136"/>
      <c r="AK32" s="136"/>
      <c r="AL32" s="136"/>
      <c r="AM32" s="136"/>
      <c r="AN32" s="136"/>
      <c r="AO32" s="136"/>
      <c r="AP32" s="136"/>
      <c r="AQ32" s="136"/>
      <c r="AR32" s="136"/>
      <c r="AS32" s="136"/>
      <c r="AT32" s="356">
        <f>50000000-10000000-36600000</f>
        <v>3400000</v>
      </c>
      <c r="AU32" s="42">
        <v>3400000</v>
      </c>
      <c r="AV32" s="42">
        <v>3400000</v>
      </c>
      <c r="AW32" s="364"/>
      <c r="AX32" s="136"/>
      <c r="AY32" s="136"/>
      <c r="AZ32" s="402"/>
      <c r="BA32" s="136"/>
      <c r="BB32" s="136"/>
      <c r="BC32" s="364"/>
      <c r="BD32" s="136"/>
      <c r="BE32" s="136"/>
      <c r="BF32" s="298">
        <f t="shared" si="0"/>
        <v>3400000</v>
      </c>
      <c r="BG32" s="298">
        <f t="shared" si="2"/>
        <v>3400000</v>
      </c>
      <c r="BH32" s="298">
        <f t="shared" si="3"/>
        <v>3400000</v>
      </c>
      <c r="BI32" s="30" t="s">
        <v>1484</v>
      </c>
      <c r="BK32" s="34"/>
      <c r="BL32" s="34"/>
    </row>
    <row r="33" spans="1:67" s="16" customFormat="1" ht="117" customHeight="1" x14ac:dyDescent="0.2">
      <c r="A33" s="29">
        <v>308</v>
      </c>
      <c r="B33" s="325" t="s">
        <v>1195</v>
      </c>
      <c r="C33" s="29">
        <v>2</v>
      </c>
      <c r="D33" s="325" t="s">
        <v>1197</v>
      </c>
      <c r="E33" s="29">
        <v>17</v>
      </c>
      <c r="F33" s="325" t="s">
        <v>375</v>
      </c>
      <c r="G33" s="29">
        <v>1709</v>
      </c>
      <c r="H33" s="325" t="s">
        <v>450</v>
      </c>
      <c r="I33" s="29">
        <v>1709</v>
      </c>
      <c r="J33" s="30" t="s">
        <v>1239</v>
      </c>
      <c r="K33" s="130" t="s">
        <v>377</v>
      </c>
      <c r="L33" s="287">
        <v>1709078</v>
      </c>
      <c r="M33" s="130" t="s">
        <v>1154</v>
      </c>
      <c r="N33" s="287">
        <v>1709078</v>
      </c>
      <c r="O33" s="130" t="s">
        <v>1154</v>
      </c>
      <c r="P33" s="287">
        <v>170907800</v>
      </c>
      <c r="Q33" s="130" t="s">
        <v>1154</v>
      </c>
      <c r="R33" s="287">
        <v>170907800</v>
      </c>
      <c r="S33" s="130" t="s">
        <v>1154</v>
      </c>
      <c r="T33" s="299" t="s">
        <v>1469</v>
      </c>
      <c r="U33" s="296">
        <v>1</v>
      </c>
      <c r="V33" s="296"/>
      <c r="W33" s="328">
        <f t="shared" si="1"/>
        <v>1</v>
      </c>
      <c r="X33" s="29">
        <v>0</v>
      </c>
      <c r="Y33" s="296">
        <v>2021003630019</v>
      </c>
      <c r="Z33" s="130" t="s">
        <v>1287</v>
      </c>
      <c r="AA33" s="297" t="s">
        <v>1293</v>
      </c>
      <c r="AB33" s="108"/>
      <c r="AC33" s="108"/>
      <c r="AD33" s="108"/>
      <c r="AE33" s="136"/>
      <c r="AF33" s="136"/>
      <c r="AG33" s="136"/>
      <c r="AH33" s="136"/>
      <c r="AI33" s="136"/>
      <c r="AJ33" s="136"/>
      <c r="AK33" s="136"/>
      <c r="AL33" s="136"/>
      <c r="AM33" s="136"/>
      <c r="AN33" s="136"/>
      <c r="AO33" s="136"/>
      <c r="AP33" s="136"/>
      <c r="AQ33" s="136"/>
      <c r="AR33" s="136"/>
      <c r="AS33" s="136"/>
      <c r="AT33" s="356">
        <f>50000000-10000000</f>
        <v>40000000</v>
      </c>
      <c r="AU33" s="42">
        <v>35200000</v>
      </c>
      <c r="AV33" s="42">
        <v>8400000</v>
      </c>
      <c r="AW33" s="364"/>
      <c r="AX33" s="136"/>
      <c r="AY33" s="136"/>
      <c r="AZ33" s="402"/>
      <c r="BA33" s="136"/>
      <c r="BB33" s="136"/>
      <c r="BC33" s="364"/>
      <c r="BD33" s="136"/>
      <c r="BE33" s="136"/>
      <c r="BF33" s="298">
        <f t="shared" si="0"/>
        <v>40000000</v>
      </c>
      <c r="BG33" s="298">
        <f t="shared" si="2"/>
        <v>35200000</v>
      </c>
      <c r="BH33" s="298">
        <f t="shared" si="3"/>
        <v>8400000</v>
      </c>
      <c r="BI33" s="30" t="s">
        <v>1484</v>
      </c>
      <c r="BK33" s="34"/>
      <c r="BL33" s="34"/>
    </row>
    <row r="34" spans="1:67" s="16" customFormat="1" ht="117" customHeight="1" x14ac:dyDescent="0.2">
      <c r="A34" s="29">
        <v>308</v>
      </c>
      <c r="B34" s="325" t="s">
        <v>1195</v>
      </c>
      <c r="C34" s="29">
        <v>3</v>
      </c>
      <c r="D34" s="325" t="s">
        <v>1198</v>
      </c>
      <c r="E34" s="29">
        <v>24</v>
      </c>
      <c r="F34" s="325" t="s">
        <v>151</v>
      </c>
      <c r="G34" s="29">
        <v>2402</v>
      </c>
      <c r="H34" s="325" t="s">
        <v>152</v>
      </c>
      <c r="I34" s="29">
        <v>2402</v>
      </c>
      <c r="J34" s="30" t="s">
        <v>1244</v>
      </c>
      <c r="K34" s="30" t="s">
        <v>153</v>
      </c>
      <c r="L34" s="29" t="s">
        <v>31</v>
      </c>
      <c r="M34" s="28" t="s">
        <v>154</v>
      </c>
      <c r="N34" s="29">
        <v>2402022</v>
      </c>
      <c r="O34" s="28" t="s">
        <v>155</v>
      </c>
      <c r="P34" s="29" t="s">
        <v>31</v>
      </c>
      <c r="Q34" s="28" t="s">
        <v>156</v>
      </c>
      <c r="R34" s="29">
        <v>240202200</v>
      </c>
      <c r="S34" s="28" t="s">
        <v>157</v>
      </c>
      <c r="T34" s="299" t="s">
        <v>1469</v>
      </c>
      <c r="U34" s="342">
        <v>1</v>
      </c>
      <c r="V34" s="342"/>
      <c r="W34" s="328">
        <f t="shared" si="1"/>
        <v>1</v>
      </c>
      <c r="X34" s="287">
        <v>0</v>
      </c>
      <c r="Y34" s="296">
        <v>2020003630053</v>
      </c>
      <c r="Z34" s="30" t="s">
        <v>158</v>
      </c>
      <c r="AA34" s="297" t="s">
        <v>159</v>
      </c>
      <c r="AB34" s="44"/>
      <c r="AC34" s="44"/>
      <c r="AD34" s="44"/>
      <c r="AE34" s="44"/>
      <c r="AF34" s="44"/>
      <c r="AG34" s="44"/>
      <c r="AH34" s="44"/>
      <c r="AI34" s="44"/>
      <c r="AJ34" s="44"/>
      <c r="AK34" s="44"/>
      <c r="AL34" s="44"/>
      <c r="AM34" s="44"/>
      <c r="AN34" s="44"/>
      <c r="AO34" s="44"/>
      <c r="AP34" s="44"/>
      <c r="AQ34" s="44"/>
      <c r="AR34" s="44"/>
      <c r="AS34" s="44"/>
      <c r="AT34" s="356">
        <v>50000000</v>
      </c>
      <c r="AU34" s="42">
        <v>10000000</v>
      </c>
      <c r="AV34" s="42">
        <v>6000000</v>
      </c>
      <c r="AW34" s="365">
        <f>50000000+50000000</f>
        <v>100000000</v>
      </c>
      <c r="AX34" s="41">
        <v>0</v>
      </c>
      <c r="AY34" s="41">
        <v>0</v>
      </c>
      <c r="AZ34" s="357"/>
      <c r="BA34" s="41"/>
      <c r="BB34" s="41"/>
      <c r="BC34" s="361"/>
      <c r="BD34" s="44"/>
      <c r="BE34" s="44"/>
      <c r="BF34" s="298">
        <f t="shared" si="0"/>
        <v>150000000</v>
      </c>
      <c r="BG34" s="298">
        <f t="shared" si="2"/>
        <v>10000000</v>
      </c>
      <c r="BH34" s="298">
        <f t="shared" si="3"/>
        <v>6000000</v>
      </c>
      <c r="BI34" s="30" t="s">
        <v>1484</v>
      </c>
      <c r="BK34" s="34"/>
      <c r="BL34" s="34"/>
    </row>
    <row r="35" spans="1:67" s="16" customFormat="1" ht="117" customHeight="1" x14ac:dyDescent="0.2">
      <c r="A35" s="29">
        <v>308</v>
      </c>
      <c r="B35" s="325" t="s">
        <v>1195</v>
      </c>
      <c r="C35" s="29">
        <v>3</v>
      </c>
      <c r="D35" s="325" t="s">
        <v>1198</v>
      </c>
      <c r="E35" s="29">
        <v>24</v>
      </c>
      <c r="F35" s="325" t="s">
        <v>151</v>
      </c>
      <c r="G35" s="29">
        <v>2402</v>
      </c>
      <c r="H35" s="325" t="s">
        <v>152</v>
      </c>
      <c r="I35" s="29">
        <v>2402</v>
      </c>
      <c r="J35" s="30" t="s">
        <v>1244</v>
      </c>
      <c r="K35" s="28" t="s">
        <v>153</v>
      </c>
      <c r="L35" s="29" t="s">
        <v>31</v>
      </c>
      <c r="M35" s="28" t="s">
        <v>160</v>
      </c>
      <c r="N35" s="106">
        <v>2402041</v>
      </c>
      <c r="O35" s="28" t="s">
        <v>161</v>
      </c>
      <c r="P35" s="29" t="s">
        <v>31</v>
      </c>
      <c r="Q35" s="28" t="s">
        <v>162</v>
      </c>
      <c r="R35" s="192">
        <v>240204100</v>
      </c>
      <c r="S35" s="28" t="s">
        <v>163</v>
      </c>
      <c r="T35" s="299" t="s">
        <v>1469</v>
      </c>
      <c r="U35" s="343">
        <v>70.379000000000005</v>
      </c>
      <c r="V35" s="343"/>
      <c r="W35" s="372">
        <f t="shared" si="1"/>
        <v>70.379000000000005</v>
      </c>
      <c r="X35" s="287">
        <v>264</v>
      </c>
      <c r="Y35" s="296">
        <v>2020003630053</v>
      </c>
      <c r="Z35" s="30" t="s">
        <v>158</v>
      </c>
      <c r="AA35" s="297" t="s">
        <v>159</v>
      </c>
      <c r="AB35" s="44"/>
      <c r="AC35" s="44"/>
      <c r="AD35" s="44"/>
      <c r="AE35" s="44"/>
      <c r="AF35" s="44"/>
      <c r="AG35" s="44"/>
      <c r="AH35" s="44"/>
      <c r="AI35" s="44"/>
      <c r="AJ35" s="44"/>
      <c r="AK35" s="44"/>
      <c r="AL35" s="44"/>
      <c r="AM35" s="44"/>
      <c r="AN35" s="44"/>
      <c r="AO35" s="44"/>
      <c r="AP35" s="44"/>
      <c r="AQ35" s="44"/>
      <c r="AR35" s="44"/>
      <c r="AS35" s="44"/>
      <c r="AT35" s="356">
        <f>300000000-250000000+7297411+210829+20000000</f>
        <v>77508240</v>
      </c>
      <c r="AU35" s="42">
        <v>42500000</v>
      </c>
      <c r="AV35" s="42">
        <v>42499278.769999996</v>
      </c>
      <c r="AW35" s="532">
        <f>1495430273-50000000-426000000</f>
        <v>1019430273</v>
      </c>
      <c r="AX35" s="134">
        <v>752600000</v>
      </c>
      <c r="AY35" s="134">
        <v>365766666.67000002</v>
      </c>
      <c r="AZ35" s="355"/>
      <c r="BA35" s="134"/>
      <c r="BB35" s="134"/>
      <c r="BC35" s="361">
        <f>1609419084+1945093560+401080689+13798323517</f>
        <v>17753916850</v>
      </c>
      <c r="BD35" s="44">
        <v>8452884126</v>
      </c>
      <c r="BE35" s="44">
        <v>2738014430.9899998</v>
      </c>
      <c r="BF35" s="298">
        <f>AB35+AE35+AH35+AK35+AN35+AQ35+AT35+AW35+BC35</f>
        <v>18850855363</v>
      </c>
      <c r="BG35" s="298">
        <f>AC35+AF35+AI35+AL35+AO35+AR35+AU35+AX35+BD35</f>
        <v>9247984126</v>
      </c>
      <c r="BH35" s="298">
        <f>AD35+AG35+AJ35+AM35+AP35+AS35+AV35+AY35+BE35</f>
        <v>3146280376.4299998</v>
      </c>
      <c r="BI35" s="30" t="s">
        <v>1484</v>
      </c>
      <c r="BK35" s="379"/>
      <c r="BL35" s="34"/>
      <c r="BM35" s="379"/>
      <c r="BN35" s="379"/>
      <c r="BO35" s="379"/>
    </row>
    <row r="36" spans="1:67" s="16" customFormat="1" ht="117" customHeight="1" x14ac:dyDescent="0.2">
      <c r="A36" s="29">
        <v>308</v>
      </c>
      <c r="B36" s="325" t="s">
        <v>1195</v>
      </c>
      <c r="C36" s="29">
        <v>3</v>
      </c>
      <c r="D36" s="325" t="s">
        <v>1198</v>
      </c>
      <c r="E36" s="29">
        <v>24</v>
      </c>
      <c r="F36" s="325" t="s">
        <v>151</v>
      </c>
      <c r="G36" s="29">
        <v>2402</v>
      </c>
      <c r="H36" s="325" t="s">
        <v>152</v>
      </c>
      <c r="I36" s="29">
        <v>2402</v>
      </c>
      <c r="J36" s="30" t="s">
        <v>1244</v>
      </c>
      <c r="K36" s="28" t="s">
        <v>153</v>
      </c>
      <c r="L36" s="29" t="s">
        <v>31</v>
      </c>
      <c r="M36" s="30" t="s">
        <v>164</v>
      </c>
      <c r="N36" s="29">
        <v>2402118</v>
      </c>
      <c r="O36" s="30" t="s">
        <v>165</v>
      </c>
      <c r="P36" s="29" t="s">
        <v>31</v>
      </c>
      <c r="Q36" s="295" t="s">
        <v>166</v>
      </c>
      <c r="R36" s="29">
        <v>240211800</v>
      </c>
      <c r="S36" s="295" t="s">
        <v>167</v>
      </c>
      <c r="T36" s="299" t="s">
        <v>1470</v>
      </c>
      <c r="U36" s="311">
        <v>1</v>
      </c>
      <c r="V36" s="311">
        <v>4</v>
      </c>
      <c r="W36" s="328">
        <f t="shared" si="1"/>
        <v>5</v>
      </c>
      <c r="X36" s="300">
        <v>1</v>
      </c>
      <c r="Y36" s="296">
        <v>2020003630054</v>
      </c>
      <c r="Z36" s="295" t="s">
        <v>1344</v>
      </c>
      <c r="AA36" s="297" t="s">
        <v>169</v>
      </c>
      <c r="AB36" s="44"/>
      <c r="AC36" s="44"/>
      <c r="AD36" s="44"/>
      <c r="AE36" s="44"/>
      <c r="AF36" s="44"/>
      <c r="AG36" s="44"/>
      <c r="AH36" s="44"/>
      <c r="AI36" s="44"/>
      <c r="AJ36" s="44"/>
      <c r="AK36" s="44"/>
      <c r="AL36" s="44"/>
      <c r="AM36" s="44"/>
      <c r="AN36" s="44"/>
      <c r="AO36" s="44"/>
      <c r="AP36" s="44"/>
      <c r="AQ36" s="44"/>
      <c r="AR36" s="44"/>
      <c r="AS36" s="44"/>
      <c r="AT36" s="356">
        <f>50000000-10000000+115000000</f>
        <v>155000000</v>
      </c>
      <c r="AU36" s="42">
        <v>86000000</v>
      </c>
      <c r="AV36" s="42">
        <v>0</v>
      </c>
      <c r="AW36" s="365">
        <f>150000000-150000000</f>
        <v>0</v>
      </c>
      <c r="AX36" s="41"/>
      <c r="AY36" s="41"/>
      <c r="AZ36" s="357"/>
      <c r="BA36" s="41"/>
      <c r="BB36" s="41"/>
      <c r="BC36" s="361"/>
      <c r="BD36" s="44"/>
      <c r="BE36" s="44"/>
      <c r="BF36" s="298">
        <f t="shared" ref="BF36:BF99" si="4">AB36+AE36+AH36+AK36+AN36+AQ36+AT36+AW36+BC36</f>
        <v>155000000</v>
      </c>
      <c r="BG36" s="298">
        <f t="shared" ref="BG36:BG99" si="5">AC36+AF36+AI36+AL36+AO36+AR36+AU36+AX36+BD36</f>
        <v>86000000</v>
      </c>
      <c r="BH36" s="298">
        <f t="shared" ref="BH36:BH99" si="6">AD36+AG36+AJ36+AM36+AP36+AS36+AV36+AY36+BE36</f>
        <v>0</v>
      </c>
      <c r="BI36" s="30" t="s">
        <v>1484</v>
      </c>
      <c r="BK36" s="34"/>
      <c r="BL36" s="34"/>
    </row>
    <row r="37" spans="1:67" s="16" customFormat="1" ht="117" customHeight="1" x14ac:dyDescent="0.2">
      <c r="A37" s="29">
        <v>308</v>
      </c>
      <c r="B37" s="325" t="s">
        <v>1195</v>
      </c>
      <c r="C37" s="29">
        <v>3</v>
      </c>
      <c r="D37" s="325" t="s">
        <v>1198</v>
      </c>
      <c r="E37" s="29">
        <v>32</v>
      </c>
      <c r="F37" s="325" t="s">
        <v>170</v>
      </c>
      <c r="G37" s="29">
        <v>3205</v>
      </c>
      <c r="H37" s="325" t="s">
        <v>171</v>
      </c>
      <c r="I37" s="29">
        <v>3205</v>
      </c>
      <c r="J37" s="30" t="s">
        <v>1249</v>
      </c>
      <c r="K37" s="30" t="s">
        <v>172</v>
      </c>
      <c r="L37" s="192">
        <v>3205010</v>
      </c>
      <c r="M37" s="30" t="s">
        <v>173</v>
      </c>
      <c r="N37" s="192">
        <v>3205010</v>
      </c>
      <c r="O37" s="30" t="s">
        <v>173</v>
      </c>
      <c r="P37" s="192" t="s">
        <v>174</v>
      </c>
      <c r="Q37" s="295" t="s">
        <v>175</v>
      </c>
      <c r="R37" s="192">
        <v>320501000</v>
      </c>
      <c r="S37" s="295" t="s">
        <v>175</v>
      </c>
      <c r="T37" s="299" t="s">
        <v>1470</v>
      </c>
      <c r="U37" s="311">
        <v>3</v>
      </c>
      <c r="V37" s="311">
        <v>1</v>
      </c>
      <c r="W37" s="328">
        <f t="shared" si="1"/>
        <v>4</v>
      </c>
      <c r="X37" s="300">
        <v>1</v>
      </c>
      <c r="Y37" s="39">
        <v>2021003630004</v>
      </c>
      <c r="Z37" s="295" t="s">
        <v>176</v>
      </c>
      <c r="AA37" s="297" t="s">
        <v>177</v>
      </c>
      <c r="AB37" s="44"/>
      <c r="AC37" s="44"/>
      <c r="AD37" s="44"/>
      <c r="AE37" s="44"/>
      <c r="AF37" s="44"/>
      <c r="AG37" s="44"/>
      <c r="AH37" s="44"/>
      <c r="AI37" s="44"/>
      <c r="AJ37" s="44"/>
      <c r="AK37" s="44"/>
      <c r="AL37" s="44"/>
      <c r="AM37" s="44"/>
      <c r="AN37" s="44"/>
      <c r="AO37" s="44"/>
      <c r="AP37" s="44"/>
      <c r="AQ37" s="44"/>
      <c r="AR37" s="44"/>
      <c r="AS37" s="44"/>
      <c r="AT37" s="356">
        <f>60000000+980696869.44+373588130.56</f>
        <v>1414285000</v>
      </c>
      <c r="AU37" s="42">
        <v>1040696869.4400001</v>
      </c>
      <c r="AV37" s="42">
        <v>758109597.78999996</v>
      </c>
      <c r="AW37" s="365">
        <f>1000000000-400000000</f>
        <v>600000000</v>
      </c>
      <c r="AX37" s="41">
        <v>9900000</v>
      </c>
      <c r="AY37" s="41">
        <v>8800000</v>
      </c>
      <c r="AZ37" s="357"/>
      <c r="BA37" s="41"/>
      <c r="BB37" s="41"/>
      <c r="BC37" s="361"/>
      <c r="BD37" s="44"/>
      <c r="BE37" s="44"/>
      <c r="BF37" s="298">
        <f t="shared" si="4"/>
        <v>2014285000</v>
      </c>
      <c r="BG37" s="298">
        <f t="shared" si="5"/>
        <v>1050596869.4400001</v>
      </c>
      <c r="BH37" s="298">
        <f t="shared" si="6"/>
        <v>766909597.78999996</v>
      </c>
      <c r="BI37" s="30" t="s">
        <v>1484</v>
      </c>
      <c r="BK37" s="34"/>
      <c r="BL37" s="34"/>
    </row>
    <row r="38" spans="1:67" s="16" customFormat="1" ht="117" customHeight="1" x14ac:dyDescent="0.2">
      <c r="A38" s="29">
        <v>308</v>
      </c>
      <c r="B38" s="325" t="s">
        <v>1195</v>
      </c>
      <c r="C38" s="29">
        <v>3</v>
      </c>
      <c r="D38" s="325" t="s">
        <v>1198</v>
      </c>
      <c r="E38" s="29">
        <v>32</v>
      </c>
      <c r="F38" s="325" t="s">
        <v>170</v>
      </c>
      <c r="G38" s="29">
        <v>3205</v>
      </c>
      <c r="H38" s="325" t="s">
        <v>171</v>
      </c>
      <c r="I38" s="29">
        <v>3205</v>
      </c>
      <c r="J38" s="30" t="s">
        <v>1249</v>
      </c>
      <c r="K38" s="30" t="s">
        <v>1145</v>
      </c>
      <c r="L38" s="192">
        <v>3205021</v>
      </c>
      <c r="M38" s="30" t="s">
        <v>178</v>
      </c>
      <c r="N38" s="192">
        <v>3205021</v>
      </c>
      <c r="O38" s="30" t="s">
        <v>178</v>
      </c>
      <c r="P38" s="192">
        <v>320502100</v>
      </c>
      <c r="Q38" s="295" t="s">
        <v>179</v>
      </c>
      <c r="R38" s="192">
        <v>320502100</v>
      </c>
      <c r="S38" s="295" t="s">
        <v>179</v>
      </c>
      <c r="T38" s="299" t="s">
        <v>1470</v>
      </c>
      <c r="U38" s="311">
        <v>3</v>
      </c>
      <c r="V38" s="311">
        <v>1</v>
      </c>
      <c r="W38" s="328">
        <f t="shared" si="1"/>
        <v>4</v>
      </c>
      <c r="X38" s="300">
        <v>0</v>
      </c>
      <c r="Y38" s="39">
        <v>2021003630002</v>
      </c>
      <c r="Z38" s="295" t="s">
        <v>1345</v>
      </c>
      <c r="AA38" s="297" t="s">
        <v>181</v>
      </c>
      <c r="AB38" s="44"/>
      <c r="AC38" s="44"/>
      <c r="AD38" s="44"/>
      <c r="AE38" s="44"/>
      <c r="AF38" s="44"/>
      <c r="AG38" s="44"/>
      <c r="AH38" s="44"/>
      <c r="AI38" s="44"/>
      <c r="AJ38" s="44"/>
      <c r="AK38" s="44"/>
      <c r="AL38" s="44"/>
      <c r="AM38" s="44"/>
      <c r="AN38" s="44"/>
      <c r="AO38" s="44"/>
      <c r="AP38" s="44"/>
      <c r="AQ38" s="44"/>
      <c r="AR38" s="44"/>
      <c r="AS38" s="44"/>
      <c r="AT38" s="356">
        <f>100000000+58000000+5000000+788472133.72</f>
        <v>951472133.72000003</v>
      </c>
      <c r="AU38" s="42">
        <v>53103979</v>
      </c>
      <c r="AV38" s="42">
        <v>40826000</v>
      </c>
      <c r="AW38" s="365">
        <v>300000000</v>
      </c>
      <c r="AX38" s="41">
        <v>143900000</v>
      </c>
      <c r="AY38" s="41">
        <v>119549280.38</v>
      </c>
      <c r="AZ38" s="357"/>
      <c r="BA38" s="41"/>
      <c r="BB38" s="41"/>
      <c r="BC38" s="361"/>
      <c r="BD38" s="44"/>
      <c r="BE38" s="44"/>
      <c r="BF38" s="298">
        <f t="shared" si="4"/>
        <v>1251472133.72</v>
      </c>
      <c r="BG38" s="298">
        <f t="shared" si="5"/>
        <v>197003979</v>
      </c>
      <c r="BH38" s="298">
        <f t="shared" si="6"/>
        <v>160375280.38</v>
      </c>
      <c r="BI38" s="30" t="s">
        <v>1484</v>
      </c>
      <c r="BK38" s="34"/>
      <c r="BL38" s="34"/>
    </row>
    <row r="39" spans="1:67" s="16" customFormat="1" ht="117" customHeight="1" x14ac:dyDescent="0.2">
      <c r="A39" s="29">
        <v>308</v>
      </c>
      <c r="B39" s="325" t="s">
        <v>1195</v>
      </c>
      <c r="C39" s="29">
        <v>3</v>
      </c>
      <c r="D39" s="325" t="s">
        <v>1198</v>
      </c>
      <c r="E39" s="29">
        <v>40</v>
      </c>
      <c r="F39" s="325" t="s">
        <v>1215</v>
      </c>
      <c r="G39" s="29">
        <v>4001</v>
      </c>
      <c r="H39" s="325" t="s">
        <v>183</v>
      </c>
      <c r="I39" s="29">
        <v>4001</v>
      </c>
      <c r="J39" s="30" t="s">
        <v>1256</v>
      </c>
      <c r="K39" s="30" t="s">
        <v>184</v>
      </c>
      <c r="L39" s="106">
        <v>4001015</v>
      </c>
      <c r="M39" s="30" t="s">
        <v>185</v>
      </c>
      <c r="N39" s="106">
        <v>4001015</v>
      </c>
      <c r="O39" s="30" t="s">
        <v>185</v>
      </c>
      <c r="P39" s="300" t="s">
        <v>186</v>
      </c>
      <c r="Q39" s="295" t="s">
        <v>187</v>
      </c>
      <c r="R39" s="300">
        <v>400101500</v>
      </c>
      <c r="S39" s="295" t="s">
        <v>187</v>
      </c>
      <c r="T39" s="299" t="s">
        <v>1470</v>
      </c>
      <c r="U39" s="311">
        <v>120</v>
      </c>
      <c r="V39" s="311">
        <v>46</v>
      </c>
      <c r="W39" s="328">
        <f t="shared" si="1"/>
        <v>166</v>
      </c>
      <c r="X39" s="300">
        <v>0</v>
      </c>
      <c r="Y39" s="296">
        <v>2020003630057</v>
      </c>
      <c r="Z39" s="295" t="s">
        <v>188</v>
      </c>
      <c r="AA39" s="297" t="s">
        <v>189</v>
      </c>
      <c r="AB39" s="44">
        <v>360000000</v>
      </c>
      <c r="AC39" s="44">
        <v>0</v>
      </c>
      <c r="AD39" s="44">
        <v>0</v>
      </c>
      <c r="AE39" s="44"/>
      <c r="AF39" s="44"/>
      <c r="AG39" s="44"/>
      <c r="AH39" s="44"/>
      <c r="AI39" s="44"/>
      <c r="AJ39" s="44"/>
      <c r="AK39" s="44"/>
      <c r="AL39" s="44"/>
      <c r="AM39" s="44"/>
      <c r="AN39" s="44"/>
      <c r="AO39" s="44"/>
      <c r="AP39" s="44"/>
      <c r="AQ39" s="44"/>
      <c r="AR39" s="44"/>
      <c r="AS39" s="44"/>
      <c r="AT39" s="356">
        <v>20000000</v>
      </c>
      <c r="AU39" s="42">
        <v>0</v>
      </c>
      <c r="AV39" s="42">
        <v>0</v>
      </c>
      <c r="AW39" s="365"/>
      <c r="AX39" s="41"/>
      <c r="AY39" s="41"/>
      <c r="AZ39" s="357"/>
      <c r="BA39" s="41"/>
      <c r="BB39" s="41"/>
      <c r="BC39" s="361"/>
      <c r="BD39" s="44"/>
      <c r="BE39" s="44"/>
      <c r="BF39" s="298">
        <f t="shared" si="4"/>
        <v>380000000</v>
      </c>
      <c r="BG39" s="298">
        <f t="shared" si="5"/>
        <v>0</v>
      </c>
      <c r="BH39" s="298">
        <f t="shared" si="6"/>
        <v>0</v>
      </c>
      <c r="BI39" s="30" t="s">
        <v>1484</v>
      </c>
      <c r="BK39" s="34"/>
      <c r="BL39" s="34"/>
    </row>
    <row r="40" spans="1:67" s="16" customFormat="1" ht="117" customHeight="1" x14ac:dyDescent="0.2">
      <c r="A40" s="29">
        <v>308</v>
      </c>
      <c r="B40" s="325" t="s">
        <v>1195</v>
      </c>
      <c r="C40" s="29">
        <v>3</v>
      </c>
      <c r="D40" s="325" t="s">
        <v>1198</v>
      </c>
      <c r="E40" s="29">
        <v>40</v>
      </c>
      <c r="F40" s="325" t="s">
        <v>1215</v>
      </c>
      <c r="G40" s="29">
        <v>4003</v>
      </c>
      <c r="H40" s="325" t="s">
        <v>190</v>
      </c>
      <c r="I40" s="29">
        <v>4003</v>
      </c>
      <c r="J40" s="30" t="s">
        <v>1257</v>
      </c>
      <c r="K40" s="28" t="s">
        <v>191</v>
      </c>
      <c r="L40" s="192" t="s">
        <v>31</v>
      </c>
      <c r="M40" s="30" t="s">
        <v>192</v>
      </c>
      <c r="N40" s="29">
        <v>4003006</v>
      </c>
      <c r="O40" s="30" t="s">
        <v>193</v>
      </c>
      <c r="P40" s="192" t="s">
        <v>31</v>
      </c>
      <c r="Q40" s="295" t="s">
        <v>194</v>
      </c>
      <c r="R40" s="29">
        <v>400300600</v>
      </c>
      <c r="S40" s="295" t="s">
        <v>195</v>
      </c>
      <c r="T40" s="299" t="s">
        <v>1469</v>
      </c>
      <c r="U40" s="342">
        <v>0</v>
      </c>
      <c r="V40" s="342">
        <v>1</v>
      </c>
      <c r="W40" s="328">
        <f t="shared" si="1"/>
        <v>1</v>
      </c>
      <c r="X40" s="287">
        <v>0</v>
      </c>
      <c r="Y40" s="296">
        <v>2020003630014</v>
      </c>
      <c r="Z40" s="295" t="s">
        <v>1167</v>
      </c>
      <c r="AA40" s="297" t="s">
        <v>196</v>
      </c>
      <c r="AB40" s="44"/>
      <c r="AC40" s="44"/>
      <c r="AD40" s="44"/>
      <c r="AE40" s="44"/>
      <c r="AF40" s="44"/>
      <c r="AG40" s="44"/>
      <c r="AH40" s="44"/>
      <c r="AI40" s="44"/>
      <c r="AJ40" s="44"/>
      <c r="AK40" s="44"/>
      <c r="AL40" s="44"/>
      <c r="AM40" s="44"/>
      <c r="AN40" s="44"/>
      <c r="AO40" s="44"/>
      <c r="AP40" s="44"/>
      <c r="AQ40" s="44">
        <v>100000000</v>
      </c>
      <c r="AR40" s="44">
        <v>100000000</v>
      </c>
      <c r="AS40" s="44">
        <v>0</v>
      </c>
      <c r="AT40" s="356"/>
      <c r="AU40" s="42"/>
      <c r="AV40" s="42"/>
      <c r="AW40" s="365"/>
      <c r="AX40" s="41"/>
      <c r="AY40" s="41"/>
      <c r="AZ40" s="357"/>
      <c r="BA40" s="41"/>
      <c r="BB40" s="41"/>
      <c r="BC40" s="361"/>
      <c r="BD40" s="44"/>
      <c r="BE40" s="44"/>
      <c r="BF40" s="298">
        <f t="shared" si="4"/>
        <v>100000000</v>
      </c>
      <c r="BG40" s="298">
        <f t="shared" si="5"/>
        <v>100000000</v>
      </c>
      <c r="BH40" s="298">
        <f t="shared" si="6"/>
        <v>0</v>
      </c>
      <c r="BI40" s="30" t="s">
        <v>1484</v>
      </c>
      <c r="BK40" s="34"/>
      <c r="BL40" s="34"/>
    </row>
    <row r="41" spans="1:67" s="16" customFormat="1" ht="117" customHeight="1" x14ac:dyDescent="0.2">
      <c r="A41" s="29">
        <v>308</v>
      </c>
      <c r="B41" s="325" t="s">
        <v>1195</v>
      </c>
      <c r="C41" s="29">
        <v>3</v>
      </c>
      <c r="D41" s="325" t="s">
        <v>1198</v>
      </c>
      <c r="E41" s="29">
        <v>40</v>
      </c>
      <c r="F41" s="325" t="s">
        <v>1215</v>
      </c>
      <c r="G41" s="29">
        <v>4003</v>
      </c>
      <c r="H41" s="325" t="s">
        <v>190</v>
      </c>
      <c r="I41" s="29">
        <v>4003</v>
      </c>
      <c r="J41" s="30" t="s">
        <v>1257</v>
      </c>
      <c r="K41" s="28" t="s">
        <v>197</v>
      </c>
      <c r="L41" s="192">
        <v>4003018</v>
      </c>
      <c r="M41" s="28" t="s">
        <v>198</v>
      </c>
      <c r="N41" s="192">
        <v>4003018</v>
      </c>
      <c r="O41" s="28" t="s">
        <v>198</v>
      </c>
      <c r="P41" s="192">
        <v>400301802</v>
      </c>
      <c r="Q41" s="295" t="s">
        <v>199</v>
      </c>
      <c r="R41" s="192">
        <v>400301802</v>
      </c>
      <c r="S41" s="295" t="s">
        <v>199</v>
      </c>
      <c r="T41" s="299" t="s">
        <v>1470</v>
      </c>
      <c r="U41" s="342">
        <v>0</v>
      </c>
      <c r="V41" s="342">
        <v>1</v>
      </c>
      <c r="W41" s="328">
        <f>U41+V41</f>
        <v>1</v>
      </c>
      <c r="X41" s="287">
        <v>0</v>
      </c>
      <c r="Y41" s="296">
        <v>2020003630014</v>
      </c>
      <c r="Z41" s="295" t="s">
        <v>1167</v>
      </c>
      <c r="AA41" s="297" t="s">
        <v>196</v>
      </c>
      <c r="AB41" s="44"/>
      <c r="AC41" s="44"/>
      <c r="AD41" s="44"/>
      <c r="AE41" s="44"/>
      <c r="AF41" s="44"/>
      <c r="AG41" s="44"/>
      <c r="AH41" s="44"/>
      <c r="AI41" s="44"/>
      <c r="AJ41" s="44"/>
      <c r="AK41" s="44"/>
      <c r="AL41" s="44"/>
      <c r="AM41" s="44"/>
      <c r="AN41" s="44"/>
      <c r="AO41" s="44"/>
      <c r="AP41" s="44"/>
      <c r="AQ41" s="44">
        <f>514799289+311522</f>
        <v>515110811</v>
      </c>
      <c r="AR41" s="44">
        <v>515110811</v>
      </c>
      <c r="AS41" s="44">
        <v>515110811</v>
      </c>
      <c r="AT41" s="356"/>
      <c r="AU41" s="42"/>
      <c r="AV41" s="42"/>
      <c r="AW41" s="365"/>
      <c r="AX41" s="41"/>
      <c r="AY41" s="41"/>
      <c r="AZ41" s="357"/>
      <c r="BA41" s="41"/>
      <c r="BB41" s="41"/>
      <c r="BC41" s="361"/>
      <c r="BD41" s="44"/>
      <c r="BE41" s="44"/>
      <c r="BF41" s="298">
        <f t="shared" si="4"/>
        <v>515110811</v>
      </c>
      <c r="BG41" s="298">
        <f t="shared" si="5"/>
        <v>515110811</v>
      </c>
      <c r="BH41" s="298">
        <f t="shared" si="6"/>
        <v>515110811</v>
      </c>
      <c r="BI41" s="30" t="s">
        <v>1484</v>
      </c>
      <c r="BK41" s="34"/>
      <c r="BL41" s="34"/>
    </row>
    <row r="42" spans="1:67" s="16" customFormat="1" ht="117" customHeight="1" x14ac:dyDescent="0.2">
      <c r="A42" s="29">
        <v>308</v>
      </c>
      <c r="B42" s="325" t="s">
        <v>1195</v>
      </c>
      <c r="C42" s="29">
        <v>3</v>
      </c>
      <c r="D42" s="325" t="s">
        <v>1198</v>
      </c>
      <c r="E42" s="29">
        <v>40</v>
      </c>
      <c r="F42" s="325" t="s">
        <v>1215</v>
      </c>
      <c r="G42" s="29">
        <v>4003</v>
      </c>
      <c r="H42" s="325" t="s">
        <v>190</v>
      </c>
      <c r="I42" s="29">
        <v>4003</v>
      </c>
      <c r="J42" s="30" t="s">
        <v>1257</v>
      </c>
      <c r="K42" s="28" t="s">
        <v>191</v>
      </c>
      <c r="L42" s="192">
        <v>4003025</v>
      </c>
      <c r="M42" s="28" t="s">
        <v>200</v>
      </c>
      <c r="N42" s="192">
        <v>4003025</v>
      </c>
      <c r="O42" s="28" t="s">
        <v>200</v>
      </c>
      <c r="P42" s="287">
        <v>400302500</v>
      </c>
      <c r="Q42" s="130" t="s">
        <v>201</v>
      </c>
      <c r="R42" s="287">
        <v>400302500</v>
      </c>
      <c r="S42" s="130" t="s">
        <v>201</v>
      </c>
      <c r="T42" s="299" t="s">
        <v>1470</v>
      </c>
      <c r="U42" s="342">
        <v>4</v>
      </c>
      <c r="V42" s="342">
        <v>2</v>
      </c>
      <c r="W42" s="328">
        <f t="shared" si="1"/>
        <v>6</v>
      </c>
      <c r="X42" s="287">
        <v>4</v>
      </c>
      <c r="Y42" s="296">
        <v>2020003630014</v>
      </c>
      <c r="Z42" s="295" t="s">
        <v>1167</v>
      </c>
      <c r="AA42" s="297" t="s">
        <v>196</v>
      </c>
      <c r="AB42" s="44">
        <f>900000000+443419128</f>
        <v>1343419128</v>
      </c>
      <c r="AC42" s="44">
        <v>826716401.11000001</v>
      </c>
      <c r="AD42" s="44">
        <v>500937325</v>
      </c>
      <c r="AE42" s="44"/>
      <c r="AF42" s="44"/>
      <c r="AG42" s="44"/>
      <c r="AH42" s="44"/>
      <c r="AI42" s="44"/>
      <c r="AJ42" s="44"/>
      <c r="AK42" s="44"/>
      <c r="AL42" s="44"/>
      <c r="AM42" s="44"/>
      <c r="AN42" s="44"/>
      <c r="AO42" s="44"/>
      <c r="AP42" s="44"/>
      <c r="AQ42" s="44">
        <f>300000000+664789.8</f>
        <v>300664789.80000001</v>
      </c>
      <c r="AR42" s="44">
        <v>300000000</v>
      </c>
      <c r="AS42" s="44">
        <v>300000000</v>
      </c>
      <c r="AT42" s="356"/>
      <c r="AU42" s="42"/>
      <c r="AV42" s="42"/>
      <c r="AW42" s="365"/>
      <c r="AX42" s="41"/>
      <c r="AY42" s="41"/>
      <c r="AZ42" s="357"/>
      <c r="BA42" s="41"/>
      <c r="BB42" s="41"/>
      <c r="BC42" s="361"/>
      <c r="BD42" s="44"/>
      <c r="BE42" s="44"/>
      <c r="BF42" s="298">
        <f>AB42+AE42+AH42+AK42+AN42+AQ42+AT42+AW42+BC42</f>
        <v>1644083917.8</v>
      </c>
      <c r="BG42" s="298">
        <f t="shared" si="5"/>
        <v>1126716401.1100001</v>
      </c>
      <c r="BH42" s="298">
        <f t="shared" si="6"/>
        <v>800937325</v>
      </c>
      <c r="BI42" s="30" t="s">
        <v>1484</v>
      </c>
      <c r="BK42" s="34"/>
      <c r="BL42" s="34"/>
    </row>
    <row r="43" spans="1:67" s="16" customFormat="1" ht="117" customHeight="1" x14ac:dyDescent="0.2">
      <c r="A43" s="29">
        <v>308</v>
      </c>
      <c r="B43" s="325" t="s">
        <v>1195</v>
      </c>
      <c r="C43" s="29">
        <v>3</v>
      </c>
      <c r="D43" s="325" t="s">
        <v>1198</v>
      </c>
      <c r="E43" s="29">
        <v>40</v>
      </c>
      <c r="F43" s="325" t="s">
        <v>1215</v>
      </c>
      <c r="G43" s="29">
        <v>4003</v>
      </c>
      <c r="H43" s="325" t="s">
        <v>190</v>
      </c>
      <c r="I43" s="29">
        <v>4003</v>
      </c>
      <c r="J43" s="30" t="s">
        <v>1257</v>
      </c>
      <c r="K43" s="28" t="s">
        <v>191</v>
      </c>
      <c r="L43" s="192">
        <v>4003028</v>
      </c>
      <c r="M43" s="28" t="s">
        <v>202</v>
      </c>
      <c r="N43" s="192">
        <v>4003028</v>
      </c>
      <c r="O43" s="28" t="s">
        <v>202</v>
      </c>
      <c r="P43" s="192">
        <v>400302801</v>
      </c>
      <c r="Q43" s="295" t="s">
        <v>203</v>
      </c>
      <c r="R43" s="192">
        <v>400302801</v>
      </c>
      <c r="S43" s="295" t="s">
        <v>203</v>
      </c>
      <c r="T43" s="299" t="s">
        <v>1469</v>
      </c>
      <c r="U43" s="342">
        <v>4</v>
      </c>
      <c r="V43" s="342"/>
      <c r="W43" s="328">
        <f t="shared" si="1"/>
        <v>4</v>
      </c>
      <c r="X43" s="287">
        <v>4</v>
      </c>
      <c r="Y43" s="296">
        <v>2020003630014</v>
      </c>
      <c r="Z43" s="295" t="s">
        <v>1167</v>
      </c>
      <c r="AA43" s="297" t="s">
        <v>196</v>
      </c>
      <c r="AB43" s="44"/>
      <c r="AC43" s="44"/>
      <c r="AD43" s="44"/>
      <c r="AE43" s="44"/>
      <c r="AF43" s="44"/>
      <c r="AG43" s="44"/>
      <c r="AH43" s="44"/>
      <c r="AI43" s="44"/>
      <c r="AJ43" s="44"/>
      <c r="AK43" s="44"/>
      <c r="AL43" s="44"/>
      <c r="AM43" s="44"/>
      <c r="AN43" s="44"/>
      <c r="AO43" s="44"/>
      <c r="AP43" s="44"/>
      <c r="AQ43" s="44">
        <v>185000000</v>
      </c>
      <c r="AR43" s="44">
        <v>185000000</v>
      </c>
      <c r="AS43" s="44">
        <v>0</v>
      </c>
      <c r="AT43" s="356"/>
      <c r="AU43" s="42"/>
      <c r="AV43" s="42"/>
      <c r="AW43" s="365"/>
      <c r="AX43" s="41"/>
      <c r="AY43" s="41"/>
      <c r="AZ43" s="357"/>
      <c r="BA43" s="41"/>
      <c r="BB43" s="41"/>
      <c r="BC43" s="361"/>
      <c r="BD43" s="44"/>
      <c r="BE43" s="44"/>
      <c r="BF43" s="298">
        <f t="shared" si="4"/>
        <v>185000000</v>
      </c>
      <c r="BG43" s="298">
        <f t="shared" si="5"/>
        <v>185000000</v>
      </c>
      <c r="BH43" s="298">
        <f t="shared" si="6"/>
        <v>0</v>
      </c>
      <c r="BI43" s="30" t="s">
        <v>1484</v>
      </c>
      <c r="BK43" s="34"/>
      <c r="BL43" s="34"/>
    </row>
    <row r="44" spans="1:67" s="16" customFormat="1" ht="117" customHeight="1" x14ac:dyDescent="0.2">
      <c r="A44" s="29">
        <v>308</v>
      </c>
      <c r="B44" s="325" t="s">
        <v>1195</v>
      </c>
      <c r="C44" s="29">
        <v>3</v>
      </c>
      <c r="D44" s="325" t="s">
        <v>1198</v>
      </c>
      <c r="E44" s="29">
        <v>40</v>
      </c>
      <c r="F44" s="325" t="s">
        <v>1215</v>
      </c>
      <c r="G44" s="29">
        <v>4003</v>
      </c>
      <c r="H44" s="325" t="s">
        <v>190</v>
      </c>
      <c r="I44" s="29">
        <v>4003</v>
      </c>
      <c r="J44" s="30" t="s">
        <v>1257</v>
      </c>
      <c r="K44" s="28" t="s">
        <v>191</v>
      </c>
      <c r="L44" s="192">
        <v>4003042</v>
      </c>
      <c r="M44" s="28" t="s">
        <v>204</v>
      </c>
      <c r="N44" s="192">
        <v>4003042</v>
      </c>
      <c r="O44" s="28" t="s">
        <v>204</v>
      </c>
      <c r="P44" s="192">
        <v>400304200</v>
      </c>
      <c r="Q44" s="295" t="s">
        <v>205</v>
      </c>
      <c r="R44" s="192">
        <v>400304200</v>
      </c>
      <c r="S44" s="344" t="s">
        <v>205</v>
      </c>
      <c r="T44" s="299" t="s">
        <v>1470</v>
      </c>
      <c r="U44" s="342">
        <v>2</v>
      </c>
      <c r="V44" s="342"/>
      <c r="W44" s="328">
        <f t="shared" si="1"/>
        <v>2</v>
      </c>
      <c r="X44" s="287">
        <v>0</v>
      </c>
      <c r="Y44" s="296">
        <v>2020003630014</v>
      </c>
      <c r="Z44" s="295" t="s">
        <v>1167</v>
      </c>
      <c r="AA44" s="297" t="s">
        <v>196</v>
      </c>
      <c r="AB44" s="44"/>
      <c r="AC44" s="44"/>
      <c r="AD44" s="44"/>
      <c r="AE44" s="44"/>
      <c r="AF44" s="44"/>
      <c r="AG44" s="44"/>
      <c r="AH44" s="44"/>
      <c r="AI44" s="44"/>
      <c r="AJ44" s="44"/>
      <c r="AK44" s="44"/>
      <c r="AL44" s="44"/>
      <c r="AM44" s="44"/>
      <c r="AN44" s="44"/>
      <c r="AO44" s="44"/>
      <c r="AP44" s="44"/>
      <c r="AQ44" s="44">
        <v>650000000</v>
      </c>
      <c r="AR44" s="44">
        <v>650000000</v>
      </c>
      <c r="AS44" s="44">
        <v>0</v>
      </c>
      <c r="AT44" s="356"/>
      <c r="AU44" s="42"/>
      <c r="AV44" s="42"/>
      <c r="AW44" s="365"/>
      <c r="AX44" s="41"/>
      <c r="AY44" s="41"/>
      <c r="AZ44" s="357"/>
      <c r="BA44" s="41"/>
      <c r="BB44" s="41"/>
      <c r="BC44" s="361"/>
      <c r="BD44" s="44"/>
      <c r="BE44" s="44"/>
      <c r="BF44" s="298">
        <f t="shared" si="4"/>
        <v>650000000</v>
      </c>
      <c r="BG44" s="298">
        <f t="shared" si="5"/>
        <v>650000000</v>
      </c>
      <c r="BH44" s="298">
        <f t="shared" si="6"/>
        <v>0</v>
      </c>
      <c r="BI44" s="30" t="s">
        <v>1484</v>
      </c>
      <c r="BK44" s="34"/>
      <c r="BL44" s="34"/>
    </row>
    <row r="45" spans="1:67" s="16" customFormat="1" ht="117" customHeight="1" x14ac:dyDescent="0.2">
      <c r="A45" s="29">
        <v>308</v>
      </c>
      <c r="B45" s="325" t="s">
        <v>1195</v>
      </c>
      <c r="C45" s="29">
        <v>3</v>
      </c>
      <c r="D45" s="325" t="s">
        <v>1198</v>
      </c>
      <c r="E45" s="29">
        <v>40</v>
      </c>
      <c r="F45" s="325" t="s">
        <v>1215</v>
      </c>
      <c r="G45" s="29">
        <v>4003</v>
      </c>
      <c r="H45" s="325" t="s">
        <v>190</v>
      </c>
      <c r="I45" s="29">
        <v>4003</v>
      </c>
      <c r="J45" s="30" t="s">
        <v>1257</v>
      </c>
      <c r="K45" s="28" t="s">
        <v>191</v>
      </c>
      <c r="L45" s="192" t="s">
        <v>206</v>
      </c>
      <c r="M45" s="28" t="s">
        <v>207</v>
      </c>
      <c r="N45" s="192" t="s">
        <v>206</v>
      </c>
      <c r="O45" s="28" t="s">
        <v>207</v>
      </c>
      <c r="P45" s="287">
        <v>400302600</v>
      </c>
      <c r="Q45" s="130" t="s">
        <v>208</v>
      </c>
      <c r="R45" s="287">
        <v>400302600</v>
      </c>
      <c r="S45" s="130" t="s">
        <v>208</v>
      </c>
      <c r="T45" s="299" t="s">
        <v>1470</v>
      </c>
      <c r="U45" s="526">
        <v>0.5</v>
      </c>
      <c r="V45" s="345"/>
      <c r="W45" s="370">
        <f t="shared" si="1"/>
        <v>0.5</v>
      </c>
      <c r="X45" s="287">
        <v>0.5</v>
      </c>
      <c r="Y45" s="296">
        <v>2020003630014</v>
      </c>
      <c r="Z45" s="295" t="s">
        <v>1167</v>
      </c>
      <c r="AA45" s="297" t="s">
        <v>1369</v>
      </c>
      <c r="AB45" s="44"/>
      <c r="AC45" s="44"/>
      <c r="AD45" s="44"/>
      <c r="AE45" s="44"/>
      <c r="AF45" s="44"/>
      <c r="AG45" s="44"/>
      <c r="AH45" s="44"/>
      <c r="AI45" s="44"/>
      <c r="AJ45" s="44"/>
      <c r="AK45" s="44"/>
      <c r="AL45" s="44"/>
      <c r="AM45" s="44"/>
      <c r="AN45" s="44"/>
      <c r="AO45" s="44"/>
      <c r="AP45" s="44"/>
      <c r="AQ45" s="44">
        <f>1242000000-125187203</f>
        <v>1116812797</v>
      </c>
      <c r="AR45" s="44">
        <v>1116812797</v>
      </c>
      <c r="AS45" s="44">
        <v>1092225094</v>
      </c>
      <c r="AT45" s="356"/>
      <c r="AU45" s="42"/>
      <c r="AV45" s="42"/>
      <c r="AW45" s="365"/>
      <c r="AX45" s="41"/>
      <c r="AY45" s="41"/>
      <c r="AZ45" s="357"/>
      <c r="BA45" s="41"/>
      <c r="BB45" s="41"/>
      <c r="BC45" s="361"/>
      <c r="BD45" s="44"/>
      <c r="BE45" s="44"/>
      <c r="BF45" s="298">
        <f t="shared" si="4"/>
        <v>1116812797</v>
      </c>
      <c r="BG45" s="298">
        <f t="shared" si="5"/>
        <v>1116812797</v>
      </c>
      <c r="BH45" s="298">
        <f t="shared" si="6"/>
        <v>1092225094</v>
      </c>
      <c r="BI45" s="30" t="s">
        <v>1484</v>
      </c>
      <c r="BK45" s="34"/>
      <c r="BL45" s="34"/>
    </row>
    <row r="46" spans="1:67" s="16" customFormat="1" ht="117" customHeight="1" x14ac:dyDescent="0.2">
      <c r="A46" s="29">
        <v>308</v>
      </c>
      <c r="B46" s="325" t="s">
        <v>1195</v>
      </c>
      <c r="C46" s="29">
        <v>4</v>
      </c>
      <c r="D46" s="325" t="s">
        <v>1192</v>
      </c>
      <c r="E46" s="29">
        <v>45</v>
      </c>
      <c r="F46" s="325" t="s">
        <v>28</v>
      </c>
      <c r="G46" s="29" t="s">
        <v>31</v>
      </c>
      <c r="H46" s="325" t="s">
        <v>1227</v>
      </c>
      <c r="I46" s="29">
        <v>4599</v>
      </c>
      <c r="J46" s="30" t="s">
        <v>1228</v>
      </c>
      <c r="K46" s="30" t="s">
        <v>30</v>
      </c>
      <c r="L46" s="29" t="s">
        <v>31</v>
      </c>
      <c r="M46" s="30" t="s">
        <v>209</v>
      </c>
      <c r="N46" s="192" t="s">
        <v>210</v>
      </c>
      <c r="O46" s="30" t="s">
        <v>130</v>
      </c>
      <c r="P46" s="29" t="s">
        <v>31</v>
      </c>
      <c r="Q46" s="295" t="s">
        <v>211</v>
      </c>
      <c r="R46" s="192">
        <v>459901600</v>
      </c>
      <c r="S46" s="30" t="s">
        <v>130</v>
      </c>
      <c r="T46" s="299" t="s">
        <v>1469</v>
      </c>
      <c r="U46" s="311">
        <v>4</v>
      </c>
      <c r="V46" s="311"/>
      <c r="W46" s="328">
        <f t="shared" si="1"/>
        <v>4</v>
      </c>
      <c r="X46" s="300">
        <v>2</v>
      </c>
      <c r="Y46" s="306">
        <v>2021003630003</v>
      </c>
      <c r="Z46" s="295" t="s">
        <v>1128</v>
      </c>
      <c r="AA46" s="301" t="s">
        <v>212</v>
      </c>
      <c r="AB46" s="108"/>
      <c r="AC46" s="108"/>
      <c r="AD46" s="108"/>
      <c r="AE46" s="44"/>
      <c r="AF46" s="44"/>
      <c r="AG46" s="44"/>
      <c r="AH46" s="44"/>
      <c r="AI46" s="44"/>
      <c r="AJ46" s="44"/>
      <c r="AK46" s="44"/>
      <c r="AL46" s="44"/>
      <c r="AM46" s="44"/>
      <c r="AN46" s="44"/>
      <c r="AO46" s="44"/>
      <c r="AP46" s="44"/>
      <c r="AQ46" s="44"/>
      <c r="AR46" s="44"/>
      <c r="AS46" s="44"/>
      <c r="AT46" s="356">
        <f>40000000+10000000+16000000+60660648</f>
        <v>126660648</v>
      </c>
      <c r="AU46" s="42">
        <v>63186667</v>
      </c>
      <c r="AV46" s="42">
        <v>32800000</v>
      </c>
      <c r="AW46" s="361"/>
      <c r="AX46" s="44"/>
      <c r="AY46" s="44"/>
      <c r="AZ46" s="358"/>
      <c r="BA46" s="44"/>
      <c r="BB46" s="44"/>
      <c r="BC46" s="361"/>
      <c r="BD46" s="44"/>
      <c r="BE46" s="44"/>
      <c r="BF46" s="298">
        <f t="shared" si="4"/>
        <v>126660648</v>
      </c>
      <c r="BG46" s="298">
        <f t="shared" si="5"/>
        <v>63186667</v>
      </c>
      <c r="BH46" s="298">
        <f t="shared" si="6"/>
        <v>32800000</v>
      </c>
      <c r="BI46" s="30" t="s">
        <v>1484</v>
      </c>
      <c r="BK46" s="34"/>
      <c r="BL46" s="34"/>
    </row>
    <row r="47" spans="1:67" s="16" customFormat="1" ht="117" customHeight="1" x14ac:dyDescent="0.2">
      <c r="A47" s="29">
        <v>308</v>
      </c>
      <c r="B47" s="325" t="s">
        <v>1195</v>
      </c>
      <c r="C47" s="29">
        <v>4</v>
      </c>
      <c r="D47" s="325" t="s">
        <v>1192</v>
      </c>
      <c r="E47" s="29">
        <v>45</v>
      </c>
      <c r="F47" s="325" t="s">
        <v>28</v>
      </c>
      <c r="G47" s="29">
        <v>4502</v>
      </c>
      <c r="H47" s="325" t="s">
        <v>1224</v>
      </c>
      <c r="I47" s="29">
        <v>4502</v>
      </c>
      <c r="J47" s="30" t="s">
        <v>1223</v>
      </c>
      <c r="K47" s="30" t="s">
        <v>56</v>
      </c>
      <c r="L47" s="192">
        <v>4502003</v>
      </c>
      <c r="M47" s="28" t="s">
        <v>213</v>
      </c>
      <c r="N47" s="192">
        <v>4502003</v>
      </c>
      <c r="O47" s="28" t="s">
        <v>214</v>
      </c>
      <c r="P47" s="192">
        <v>450200300</v>
      </c>
      <c r="Q47" s="295" t="s">
        <v>213</v>
      </c>
      <c r="R47" s="192">
        <v>450200300</v>
      </c>
      <c r="S47" s="295" t="s">
        <v>213</v>
      </c>
      <c r="T47" s="299" t="s">
        <v>1470</v>
      </c>
      <c r="U47" s="311">
        <v>2</v>
      </c>
      <c r="V47" s="311"/>
      <c r="W47" s="328">
        <f t="shared" si="1"/>
        <v>2</v>
      </c>
      <c r="X47" s="300">
        <v>0</v>
      </c>
      <c r="Y47" s="39">
        <v>2021003630006</v>
      </c>
      <c r="Z47" s="295" t="s">
        <v>215</v>
      </c>
      <c r="AA47" s="301" t="s">
        <v>216</v>
      </c>
      <c r="AB47" s="108"/>
      <c r="AC47" s="108"/>
      <c r="AD47" s="108"/>
      <c r="AE47" s="44"/>
      <c r="AF47" s="44"/>
      <c r="AG47" s="44"/>
      <c r="AH47" s="44"/>
      <c r="AI47" s="44"/>
      <c r="AJ47" s="44"/>
      <c r="AK47" s="44"/>
      <c r="AL47" s="44"/>
      <c r="AM47" s="44"/>
      <c r="AN47" s="44"/>
      <c r="AO47" s="44"/>
      <c r="AP47" s="44"/>
      <c r="AQ47" s="44"/>
      <c r="AR47" s="44"/>
      <c r="AS47" s="44"/>
      <c r="AT47" s="356">
        <f>38000000</f>
        <v>38000000</v>
      </c>
      <c r="AU47" s="42">
        <v>32400000</v>
      </c>
      <c r="AV47" s="42">
        <v>0</v>
      </c>
      <c r="AW47" s="361"/>
      <c r="AX47" s="44"/>
      <c r="AY47" s="44"/>
      <c r="AZ47" s="358"/>
      <c r="BA47" s="44"/>
      <c r="BB47" s="44"/>
      <c r="BC47" s="361"/>
      <c r="BD47" s="44"/>
      <c r="BE47" s="44"/>
      <c r="BF47" s="298">
        <f t="shared" si="4"/>
        <v>38000000</v>
      </c>
      <c r="BG47" s="298">
        <f t="shared" si="5"/>
        <v>32400000</v>
      </c>
      <c r="BH47" s="298">
        <f t="shared" si="6"/>
        <v>0</v>
      </c>
      <c r="BI47" s="30" t="s">
        <v>1484</v>
      </c>
      <c r="BK47" s="34"/>
      <c r="BL47" s="34"/>
    </row>
    <row r="48" spans="1:67" s="16" customFormat="1" ht="185.25" customHeight="1" x14ac:dyDescent="0.2">
      <c r="A48" s="29">
        <v>309</v>
      </c>
      <c r="B48" s="325" t="s">
        <v>1199</v>
      </c>
      <c r="C48" s="29">
        <v>1</v>
      </c>
      <c r="D48" s="325" t="s">
        <v>1196</v>
      </c>
      <c r="E48" s="29">
        <v>12</v>
      </c>
      <c r="F48" s="325" t="s">
        <v>113</v>
      </c>
      <c r="G48" s="29">
        <v>1202</v>
      </c>
      <c r="H48" s="325" t="s">
        <v>114</v>
      </c>
      <c r="I48" s="29">
        <v>1202</v>
      </c>
      <c r="J48" s="30" t="s">
        <v>1230</v>
      </c>
      <c r="K48" s="297" t="s">
        <v>115</v>
      </c>
      <c r="L48" s="29">
        <v>1202004</v>
      </c>
      <c r="M48" s="30" t="s">
        <v>218</v>
      </c>
      <c r="N48" s="29">
        <v>1202004</v>
      </c>
      <c r="O48" s="30" t="s">
        <v>218</v>
      </c>
      <c r="P48" s="192">
        <v>120200400</v>
      </c>
      <c r="Q48" s="295" t="s">
        <v>86</v>
      </c>
      <c r="R48" s="192">
        <v>120200400</v>
      </c>
      <c r="S48" s="295" t="s">
        <v>86</v>
      </c>
      <c r="T48" s="299" t="s">
        <v>1469</v>
      </c>
      <c r="U48" s="311">
        <v>12</v>
      </c>
      <c r="V48" s="311"/>
      <c r="W48" s="328">
        <f t="shared" si="1"/>
        <v>12</v>
      </c>
      <c r="X48" s="530">
        <v>12</v>
      </c>
      <c r="Y48" s="296">
        <v>2020003630060</v>
      </c>
      <c r="Z48" s="295" t="s">
        <v>1346</v>
      </c>
      <c r="AA48" s="301" t="s">
        <v>219</v>
      </c>
      <c r="AB48" s="44"/>
      <c r="AC48" s="44"/>
      <c r="AD48" s="44"/>
      <c r="AE48" s="44"/>
      <c r="AF48" s="44"/>
      <c r="AG48" s="44"/>
      <c r="AH48" s="44"/>
      <c r="AI48" s="44"/>
      <c r="AJ48" s="44"/>
      <c r="AK48" s="44"/>
      <c r="AL48" s="44"/>
      <c r="AM48" s="44"/>
      <c r="AN48" s="44"/>
      <c r="AO48" s="44"/>
      <c r="AP48" s="44"/>
      <c r="AQ48" s="44"/>
      <c r="AR48" s="44"/>
      <c r="AS48" s="44"/>
      <c r="AT48" s="356">
        <f>114000000-30000000+10000000</f>
        <v>94000000</v>
      </c>
      <c r="AU48" s="42">
        <v>93699166</v>
      </c>
      <c r="AV48" s="42">
        <v>70262500</v>
      </c>
      <c r="AW48" s="361"/>
      <c r="AX48" s="44"/>
      <c r="AY48" s="44"/>
      <c r="AZ48" s="358"/>
      <c r="BA48" s="44"/>
      <c r="BB48" s="44"/>
      <c r="BC48" s="361"/>
      <c r="BD48" s="44"/>
      <c r="BE48" s="44"/>
      <c r="BF48" s="298">
        <f t="shared" si="4"/>
        <v>94000000</v>
      </c>
      <c r="BG48" s="298">
        <f t="shared" si="5"/>
        <v>93699166</v>
      </c>
      <c r="BH48" s="298">
        <f t="shared" si="6"/>
        <v>70262500</v>
      </c>
      <c r="BI48" s="30" t="s">
        <v>1476</v>
      </c>
      <c r="BK48" s="34"/>
      <c r="BL48" s="34"/>
    </row>
    <row r="49" spans="1:64" s="16" customFormat="1" ht="185.25" customHeight="1" x14ac:dyDescent="0.2">
      <c r="A49" s="29">
        <v>309</v>
      </c>
      <c r="B49" s="325" t="s">
        <v>1199</v>
      </c>
      <c r="C49" s="29">
        <v>1</v>
      </c>
      <c r="D49" s="325" t="s">
        <v>1196</v>
      </c>
      <c r="E49" s="29">
        <v>12</v>
      </c>
      <c r="F49" s="325" t="s">
        <v>113</v>
      </c>
      <c r="G49" s="29">
        <v>1203</v>
      </c>
      <c r="H49" s="325" t="s">
        <v>220</v>
      </c>
      <c r="I49" s="29">
        <v>1203</v>
      </c>
      <c r="J49" s="30" t="s">
        <v>1231</v>
      </c>
      <c r="K49" s="297" t="s">
        <v>115</v>
      </c>
      <c r="L49" s="29">
        <v>1203002</v>
      </c>
      <c r="M49" s="30" t="s">
        <v>221</v>
      </c>
      <c r="N49" s="29">
        <v>1203002</v>
      </c>
      <c r="O49" s="30" t="s">
        <v>221</v>
      </c>
      <c r="P49" s="29">
        <v>120300200</v>
      </c>
      <c r="Q49" s="295" t="s">
        <v>222</v>
      </c>
      <c r="R49" s="29">
        <v>120300200</v>
      </c>
      <c r="S49" s="295" t="s">
        <v>222</v>
      </c>
      <c r="T49" s="299" t="s">
        <v>1470</v>
      </c>
      <c r="U49" s="311">
        <v>50</v>
      </c>
      <c r="V49" s="311"/>
      <c r="W49" s="328">
        <f t="shared" si="1"/>
        <v>50</v>
      </c>
      <c r="X49" s="530">
        <v>25</v>
      </c>
      <c r="Y49" s="296">
        <v>2020003630061</v>
      </c>
      <c r="Z49" s="295" t="s">
        <v>1347</v>
      </c>
      <c r="AA49" s="301" t="s">
        <v>223</v>
      </c>
      <c r="AB49" s="44"/>
      <c r="AC49" s="44"/>
      <c r="AD49" s="44"/>
      <c r="AE49" s="44"/>
      <c r="AF49" s="44"/>
      <c r="AG49" s="44"/>
      <c r="AH49" s="44"/>
      <c r="AI49" s="44"/>
      <c r="AJ49" s="44"/>
      <c r="AK49" s="44"/>
      <c r="AL49" s="44"/>
      <c r="AM49" s="44"/>
      <c r="AN49" s="44"/>
      <c r="AO49" s="44"/>
      <c r="AP49" s="44"/>
      <c r="AQ49" s="44"/>
      <c r="AR49" s="44"/>
      <c r="AS49" s="44"/>
      <c r="AT49" s="356">
        <f>36000000+4875872</f>
        <v>40875872</v>
      </c>
      <c r="AU49" s="42">
        <v>40580038</v>
      </c>
      <c r="AV49" s="42">
        <v>23433372</v>
      </c>
      <c r="AW49" s="361"/>
      <c r="AX49" s="44"/>
      <c r="AY49" s="44"/>
      <c r="AZ49" s="358"/>
      <c r="BA49" s="44"/>
      <c r="BB49" s="44"/>
      <c r="BC49" s="366"/>
      <c r="BD49" s="108"/>
      <c r="BE49" s="108"/>
      <c r="BF49" s="298">
        <f t="shared" si="4"/>
        <v>40875872</v>
      </c>
      <c r="BG49" s="298">
        <f t="shared" si="5"/>
        <v>40580038</v>
      </c>
      <c r="BH49" s="298">
        <f t="shared" si="6"/>
        <v>23433372</v>
      </c>
      <c r="BI49" s="30" t="s">
        <v>1476</v>
      </c>
      <c r="BK49" s="34"/>
      <c r="BL49" s="34"/>
    </row>
    <row r="50" spans="1:64" s="16" customFormat="1" ht="185.25" customHeight="1" x14ac:dyDescent="0.2">
      <c r="A50" s="29">
        <v>309</v>
      </c>
      <c r="B50" s="325" t="s">
        <v>1199</v>
      </c>
      <c r="C50" s="29">
        <v>1</v>
      </c>
      <c r="D50" s="325" t="s">
        <v>1196</v>
      </c>
      <c r="E50" s="29">
        <v>12</v>
      </c>
      <c r="F50" s="325" t="s">
        <v>113</v>
      </c>
      <c r="G50" s="29">
        <v>1206</v>
      </c>
      <c r="H50" s="325" t="s">
        <v>224</v>
      </c>
      <c r="I50" s="29">
        <v>1206</v>
      </c>
      <c r="J50" s="30" t="s">
        <v>1232</v>
      </c>
      <c r="K50" s="297" t="s">
        <v>115</v>
      </c>
      <c r="L50" s="29">
        <v>1206005</v>
      </c>
      <c r="M50" s="30" t="s">
        <v>225</v>
      </c>
      <c r="N50" s="29">
        <v>1206005</v>
      </c>
      <c r="O50" s="30" t="s">
        <v>225</v>
      </c>
      <c r="P50" s="192">
        <v>120600500</v>
      </c>
      <c r="Q50" s="30" t="s">
        <v>226</v>
      </c>
      <c r="R50" s="192">
        <v>120600500</v>
      </c>
      <c r="S50" s="295" t="s">
        <v>226</v>
      </c>
      <c r="T50" s="299" t="s">
        <v>1470</v>
      </c>
      <c r="U50" s="311">
        <v>30</v>
      </c>
      <c r="V50" s="311">
        <v>30</v>
      </c>
      <c r="W50" s="328">
        <f t="shared" si="1"/>
        <v>60</v>
      </c>
      <c r="X50" s="530">
        <v>27</v>
      </c>
      <c r="Y50" s="296">
        <v>2020003630062</v>
      </c>
      <c r="Z50" s="295" t="s">
        <v>227</v>
      </c>
      <c r="AA50" s="297" t="s">
        <v>228</v>
      </c>
      <c r="AB50" s="44"/>
      <c r="AC50" s="44"/>
      <c r="AD50" s="44"/>
      <c r="AE50" s="44"/>
      <c r="AF50" s="44"/>
      <c r="AG50" s="44"/>
      <c r="AH50" s="44"/>
      <c r="AI50" s="44"/>
      <c r="AJ50" s="44"/>
      <c r="AK50" s="44"/>
      <c r="AL50" s="44"/>
      <c r="AM50" s="44"/>
      <c r="AN50" s="44"/>
      <c r="AO50" s="44"/>
      <c r="AP50" s="44"/>
      <c r="AQ50" s="44"/>
      <c r="AR50" s="44"/>
      <c r="AS50" s="44"/>
      <c r="AT50" s="356">
        <f>36000000+10000000</f>
        <v>46000000</v>
      </c>
      <c r="AU50" s="42">
        <v>46000000</v>
      </c>
      <c r="AV50" s="42">
        <v>30505000</v>
      </c>
      <c r="AW50" s="361"/>
      <c r="AX50" s="44"/>
      <c r="AY50" s="44"/>
      <c r="AZ50" s="358"/>
      <c r="BA50" s="44"/>
      <c r="BB50" s="44"/>
      <c r="BC50" s="361"/>
      <c r="BD50" s="44"/>
      <c r="BE50" s="44"/>
      <c r="BF50" s="298">
        <f t="shared" si="4"/>
        <v>46000000</v>
      </c>
      <c r="BG50" s="298">
        <f t="shared" si="5"/>
        <v>46000000</v>
      </c>
      <c r="BH50" s="298">
        <f t="shared" si="6"/>
        <v>30505000</v>
      </c>
      <c r="BI50" s="30" t="s">
        <v>1476</v>
      </c>
      <c r="BK50" s="34"/>
      <c r="BL50" s="34"/>
    </row>
    <row r="51" spans="1:64" s="16" customFormat="1" ht="117" customHeight="1" x14ac:dyDescent="0.2">
      <c r="A51" s="29">
        <v>309</v>
      </c>
      <c r="B51" s="325" t="s">
        <v>1199</v>
      </c>
      <c r="C51" s="29">
        <v>1</v>
      </c>
      <c r="D51" s="325" t="s">
        <v>1196</v>
      </c>
      <c r="E51" s="29">
        <v>22</v>
      </c>
      <c r="F51" s="325" t="s">
        <v>124</v>
      </c>
      <c r="G51" s="29">
        <v>2201</v>
      </c>
      <c r="H51" s="325" t="s">
        <v>229</v>
      </c>
      <c r="I51" s="29">
        <v>2201</v>
      </c>
      <c r="J51" s="30" t="s">
        <v>1242</v>
      </c>
      <c r="K51" s="297" t="s">
        <v>230</v>
      </c>
      <c r="L51" s="106">
        <v>2201068</v>
      </c>
      <c r="M51" s="30" t="s">
        <v>231</v>
      </c>
      <c r="N51" s="106">
        <v>2201068</v>
      </c>
      <c r="O51" s="30" t="s">
        <v>231</v>
      </c>
      <c r="P51" s="192">
        <v>220106800</v>
      </c>
      <c r="Q51" s="295" t="s">
        <v>232</v>
      </c>
      <c r="R51" s="192">
        <v>220106800</v>
      </c>
      <c r="S51" s="295" t="s">
        <v>232</v>
      </c>
      <c r="T51" s="299" t="s">
        <v>1470</v>
      </c>
      <c r="U51" s="311">
        <v>76</v>
      </c>
      <c r="V51" s="311"/>
      <c r="W51" s="328">
        <f t="shared" si="1"/>
        <v>76</v>
      </c>
      <c r="X51" s="530">
        <v>63</v>
      </c>
      <c r="Y51" s="296">
        <v>2020003630063</v>
      </c>
      <c r="Z51" s="295" t="s">
        <v>1390</v>
      </c>
      <c r="AA51" s="297" t="s">
        <v>234</v>
      </c>
      <c r="AB51" s="44"/>
      <c r="AC51" s="44"/>
      <c r="AD51" s="44"/>
      <c r="AE51" s="44"/>
      <c r="AF51" s="44"/>
      <c r="AG51" s="44"/>
      <c r="AH51" s="44"/>
      <c r="AI51" s="44"/>
      <c r="AJ51" s="44"/>
      <c r="AK51" s="44"/>
      <c r="AL51" s="44"/>
      <c r="AM51" s="44"/>
      <c r="AN51" s="44"/>
      <c r="AO51" s="44"/>
      <c r="AP51" s="44"/>
      <c r="AQ51" s="44"/>
      <c r="AR51" s="44"/>
      <c r="AS51" s="44"/>
      <c r="AT51" s="356">
        <f>30000000+21943002</f>
        <v>51943002</v>
      </c>
      <c r="AU51" s="42">
        <v>48233000</v>
      </c>
      <c r="AV51" s="42">
        <v>36172500</v>
      </c>
      <c r="AW51" s="361"/>
      <c r="AX51" s="44"/>
      <c r="AY51" s="44"/>
      <c r="AZ51" s="358"/>
      <c r="BA51" s="44"/>
      <c r="BB51" s="44"/>
      <c r="BC51" s="361"/>
      <c r="BD51" s="44"/>
      <c r="BE51" s="44"/>
      <c r="BF51" s="298">
        <f t="shared" si="4"/>
        <v>51943002</v>
      </c>
      <c r="BG51" s="298">
        <f t="shared" si="5"/>
        <v>48233000</v>
      </c>
      <c r="BH51" s="298">
        <f t="shared" si="6"/>
        <v>36172500</v>
      </c>
      <c r="BI51" s="30" t="s">
        <v>1476</v>
      </c>
      <c r="BK51" s="34"/>
      <c r="BL51" s="34"/>
    </row>
    <row r="52" spans="1:64" s="16" customFormat="1" ht="117" customHeight="1" x14ac:dyDescent="0.2">
      <c r="A52" s="29">
        <v>309</v>
      </c>
      <c r="B52" s="325" t="s">
        <v>1199</v>
      </c>
      <c r="C52" s="29">
        <v>1</v>
      </c>
      <c r="D52" s="325" t="s">
        <v>1196</v>
      </c>
      <c r="E52" s="29">
        <v>41</v>
      </c>
      <c r="F52" s="325" t="s">
        <v>235</v>
      </c>
      <c r="G52" s="29">
        <v>4101</v>
      </c>
      <c r="H52" s="325" t="s">
        <v>236</v>
      </c>
      <c r="I52" s="29">
        <v>4101</v>
      </c>
      <c r="J52" s="30" t="s">
        <v>1258</v>
      </c>
      <c r="K52" s="297" t="s">
        <v>237</v>
      </c>
      <c r="L52" s="192">
        <v>4101023</v>
      </c>
      <c r="M52" s="30" t="s">
        <v>238</v>
      </c>
      <c r="N52" s="192">
        <v>4101023</v>
      </c>
      <c r="O52" s="30" t="s">
        <v>238</v>
      </c>
      <c r="P52" s="192">
        <v>410102300</v>
      </c>
      <c r="Q52" s="295" t="s">
        <v>239</v>
      </c>
      <c r="R52" s="192">
        <v>410102300</v>
      </c>
      <c r="S52" s="295" t="s">
        <v>239</v>
      </c>
      <c r="T52" s="299" t="s">
        <v>1470</v>
      </c>
      <c r="U52" s="311">
        <v>900</v>
      </c>
      <c r="V52" s="311"/>
      <c r="W52" s="328">
        <f t="shared" si="1"/>
        <v>900</v>
      </c>
      <c r="X52" s="530">
        <v>720</v>
      </c>
      <c r="Y52" s="296">
        <v>2020003630064</v>
      </c>
      <c r="Z52" s="295" t="s">
        <v>240</v>
      </c>
      <c r="AA52" s="297" t="s">
        <v>241</v>
      </c>
      <c r="AB52" s="44"/>
      <c r="AC52" s="44"/>
      <c r="AD52" s="44"/>
      <c r="AE52" s="44"/>
      <c r="AF52" s="44"/>
      <c r="AG52" s="44"/>
      <c r="AH52" s="44"/>
      <c r="AI52" s="44"/>
      <c r="AJ52" s="44"/>
      <c r="AK52" s="44"/>
      <c r="AL52" s="44"/>
      <c r="AM52" s="44"/>
      <c r="AN52" s="44"/>
      <c r="AO52" s="44"/>
      <c r="AP52" s="44"/>
      <c r="AQ52" s="44"/>
      <c r="AR52" s="44"/>
      <c r="AS52" s="44"/>
      <c r="AT52" s="356">
        <f>70000000+77840398+8506600-5500000+35000000+16000000</f>
        <v>201846998</v>
      </c>
      <c r="AU52" s="42">
        <v>149765559</v>
      </c>
      <c r="AV52" s="42">
        <v>94375000</v>
      </c>
      <c r="AW52" s="361"/>
      <c r="AX52" s="44"/>
      <c r="AY52" s="44"/>
      <c r="AZ52" s="358"/>
      <c r="BA52" s="44"/>
      <c r="BB52" s="44"/>
      <c r="BC52" s="361"/>
      <c r="BD52" s="44"/>
      <c r="BE52" s="44"/>
      <c r="BF52" s="298">
        <f t="shared" si="4"/>
        <v>201846998</v>
      </c>
      <c r="BG52" s="298">
        <f t="shared" si="5"/>
        <v>149765559</v>
      </c>
      <c r="BH52" s="298">
        <f t="shared" si="6"/>
        <v>94375000</v>
      </c>
      <c r="BI52" s="30" t="s">
        <v>1476</v>
      </c>
      <c r="BK52" s="34"/>
      <c r="BL52" s="34"/>
    </row>
    <row r="53" spans="1:64" s="16" customFormat="1" ht="117" customHeight="1" x14ac:dyDescent="0.2">
      <c r="A53" s="29">
        <v>309</v>
      </c>
      <c r="B53" s="325" t="s">
        <v>1199</v>
      </c>
      <c r="C53" s="29">
        <v>1</v>
      </c>
      <c r="D53" s="325" t="s">
        <v>1196</v>
      </c>
      <c r="E53" s="29">
        <v>41</v>
      </c>
      <c r="F53" s="325" t="s">
        <v>235</v>
      </c>
      <c r="G53" s="29">
        <v>4101</v>
      </c>
      <c r="H53" s="325" t="s">
        <v>236</v>
      </c>
      <c r="I53" s="29">
        <v>4101</v>
      </c>
      <c r="J53" s="30" t="s">
        <v>1258</v>
      </c>
      <c r="K53" s="297" t="s">
        <v>237</v>
      </c>
      <c r="L53" s="287">
        <v>4101025</v>
      </c>
      <c r="M53" s="30" t="s">
        <v>242</v>
      </c>
      <c r="N53" s="192">
        <v>4101025</v>
      </c>
      <c r="O53" s="30" t="s">
        <v>242</v>
      </c>
      <c r="P53" s="192">
        <v>410102511</v>
      </c>
      <c r="Q53" s="295" t="s">
        <v>243</v>
      </c>
      <c r="R53" s="192">
        <v>410102511</v>
      </c>
      <c r="S53" s="295" t="s">
        <v>243</v>
      </c>
      <c r="T53" s="299" t="s">
        <v>1470</v>
      </c>
      <c r="U53" s="311">
        <v>100</v>
      </c>
      <c r="V53" s="311">
        <v>129</v>
      </c>
      <c r="W53" s="328">
        <f t="shared" si="1"/>
        <v>229</v>
      </c>
      <c r="X53" s="530">
        <v>120</v>
      </c>
      <c r="Y53" s="296">
        <v>2020003630064</v>
      </c>
      <c r="Z53" s="295" t="s">
        <v>240</v>
      </c>
      <c r="AA53" s="297" t="s">
        <v>241</v>
      </c>
      <c r="AB53" s="44"/>
      <c r="AC53" s="44"/>
      <c r="AD53" s="44"/>
      <c r="AE53" s="44"/>
      <c r="AF53" s="44"/>
      <c r="AG53" s="44"/>
      <c r="AH53" s="44"/>
      <c r="AI53" s="44"/>
      <c r="AJ53" s="44"/>
      <c r="AK53" s="44"/>
      <c r="AL53" s="44"/>
      <c r="AM53" s="44"/>
      <c r="AN53" s="44"/>
      <c r="AO53" s="44"/>
      <c r="AP53" s="44"/>
      <c r="AQ53" s="44"/>
      <c r="AR53" s="44"/>
      <c r="AS53" s="44"/>
      <c r="AT53" s="356">
        <f>40000000+6079352</f>
        <v>46079352</v>
      </c>
      <c r="AU53" s="42">
        <v>18834171</v>
      </c>
      <c r="AV53" s="42">
        <v>16428171</v>
      </c>
      <c r="AW53" s="361"/>
      <c r="AX53" s="44"/>
      <c r="AY53" s="44"/>
      <c r="AZ53" s="358"/>
      <c r="BA53" s="44"/>
      <c r="BB53" s="44"/>
      <c r="BC53" s="361"/>
      <c r="BD53" s="44"/>
      <c r="BE53" s="44"/>
      <c r="BF53" s="298">
        <f t="shared" si="4"/>
        <v>46079352</v>
      </c>
      <c r="BG53" s="298">
        <f t="shared" si="5"/>
        <v>18834171</v>
      </c>
      <c r="BH53" s="298">
        <f t="shared" si="6"/>
        <v>16428171</v>
      </c>
      <c r="BI53" s="30" t="s">
        <v>1476</v>
      </c>
      <c r="BK53" s="34"/>
      <c r="BL53" s="34"/>
    </row>
    <row r="54" spans="1:64" s="16" customFormat="1" ht="117" customHeight="1" x14ac:dyDescent="0.2">
      <c r="A54" s="29">
        <v>309</v>
      </c>
      <c r="B54" s="325" t="s">
        <v>1199</v>
      </c>
      <c r="C54" s="29">
        <v>1</v>
      </c>
      <c r="D54" s="325" t="s">
        <v>1196</v>
      </c>
      <c r="E54" s="29">
        <v>41</v>
      </c>
      <c r="F54" s="325" t="s">
        <v>235</v>
      </c>
      <c r="G54" s="29">
        <v>4101</v>
      </c>
      <c r="H54" s="325" t="s">
        <v>236</v>
      </c>
      <c r="I54" s="29">
        <v>4101</v>
      </c>
      <c r="J54" s="30" t="s">
        <v>1258</v>
      </c>
      <c r="K54" s="297" t="s">
        <v>237</v>
      </c>
      <c r="L54" s="192">
        <v>4101038</v>
      </c>
      <c r="M54" s="30" t="s">
        <v>244</v>
      </c>
      <c r="N54" s="192">
        <v>4101038</v>
      </c>
      <c r="O54" s="30" t="s">
        <v>244</v>
      </c>
      <c r="P54" s="192">
        <v>410103800</v>
      </c>
      <c r="Q54" s="295" t="s">
        <v>245</v>
      </c>
      <c r="R54" s="192">
        <v>410103800</v>
      </c>
      <c r="S54" s="295" t="s">
        <v>245</v>
      </c>
      <c r="T54" s="299" t="s">
        <v>1470</v>
      </c>
      <c r="U54" s="311">
        <v>12</v>
      </c>
      <c r="V54" s="311"/>
      <c r="W54" s="328">
        <f t="shared" si="1"/>
        <v>12</v>
      </c>
      <c r="X54" s="530">
        <v>9</v>
      </c>
      <c r="Y54" s="296">
        <v>2020003630064</v>
      </c>
      <c r="Z54" s="295" t="s">
        <v>240</v>
      </c>
      <c r="AA54" s="297" t="s">
        <v>241</v>
      </c>
      <c r="AB54" s="44"/>
      <c r="AC54" s="44"/>
      <c r="AD54" s="44"/>
      <c r="AE54" s="44"/>
      <c r="AF54" s="44"/>
      <c r="AG54" s="44"/>
      <c r="AH54" s="44"/>
      <c r="AI54" s="44"/>
      <c r="AJ54" s="44"/>
      <c r="AK54" s="44"/>
      <c r="AL54" s="44"/>
      <c r="AM54" s="44"/>
      <c r="AN54" s="44"/>
      <c r="AO54" s="44"/>
      <c r="AP54" s="44"/>
      <c r="AQ54" s="44"/>
      <c r="AR54" s="44"/>
      <c r="AS54" s="44"/>
      <c r="AT54" s="356">
        <f>41000000+5636096+5500000</f>
        <v>52136096</v>
      </c>
      <c r="AU54" s="42">
        <v>37028170</v>
      </c>
      <c r="AV54" s="42">
        <v>31892074</v>
      </c>
      <c r="AW54" s="361"/>
      <c r="AX54" s="44"/>
      <c r="AY54" s="44"/>
      <c r="AZ54" s="358"/>
      <c r="BA54" s="44"/>
      <c r="BB54" s="44"/>
      <c r="BC54" s="361"/>
      <c r="BD54" s="44"/>
      <c r="BE54" s="44"/>
      <c r="BF54" s="298">
        <f t="shared" si="4"/>
        <v>52136096</v>
      </c>
      <c r="BG54" s="298">
        <f t="shared" si="5"/>
        <v>37028170</v>
      </c>
      <c r="BH54" s="298">
        <f t="shared" si="6"/>
        <v>31892074</v>
      </c>
      <c r="BI54" s="30" t="s">
        <v>1476</v>
      </c>
      <c r="BK54" s="34"/>
      <c r="BL54" s="34"/>
    </row>
    <row r="55" spans="1:64" s="16" customFormat="1" ht="117" customHeight="1" x14ac:dyDescent="0.2">
      <c r="A55" s="29">
        <v>309</v>
      </c>
      <c r="B55" s="325" t="s">
        <v>1199</v>
      </c>
      <c r="C55" s="29">
        <v>1</v>
      </c>
      <c r="D55" s="325" t="s">
        <v>1196</v>
      </c>
      <c r="E55" s="29">
        <v>41</v>
      </c>
      <c r="F55" s="325" t="s">
        <v>235</v>
      </c>
      <c r="G55" s="29">
        <v>4101</v>
      </c>
      <c r="H55" s="325" t="s">
        <v>236</v>
      </c>
      <c r="I55" s="29">
        <v>4101</v>
      </c>
      <c r="J55" s="30" t="s">
        <v>1258</v>
      </c>
      <c r="K55" s="297" t="s">
        <v>246</v>
      </c>
      <c r="L55" s="192">
        <v>4101073</v>
      </c>
      <c r="M55" s="30" t="s">
        <v>247</v>
      </c>
      <c r="N55" s="192">
        <v>4101073</v>
      </c>
      <c r="O55" s="30" t="s">
        <v>247</v>
      </c>
      <c r="P55" s="192">
        <v>410107300</v>
      </c>
      <c r="Q55" s="295" t="s">
        <v>248</v>
      </c>
      <c r="R55" s="192">
        <v>410107300</v>
      </c>
      <c r="S55" s="295" t="s">
        <v>248</v>
      </c>
      <c r="T55" s="299" t="s">
        <v>1470</v>
      </c>
      <c r="U55" s="311">
        <v>75</v>
      </c>
      <c r="V55" s="311">
        <v>20</v>
      </c>
      <c r="W55" s="328">
        <f t="shared" si="1"/>
        <v>95</v>
      </c>
      <c r="X55" s="530">
        <v>76</v>
      </c>
      <c r="Y55" s="296">
        <v>2020003630064</v>
      </c>
      <c r="Z55" s="295" t="s">
        <v>240</v>
      </c>
      <c r="AA55" s="297" t="s">
        <v>241</v>
      </c>
      <c r="AB55" s="44"/>
      <c r="AC55" s="44"/>
      <c r="AD55" s="44"/>
      <c r="AE55" s="44"/>
      <c r="AF55" s="44"/>
      <c r="AG55" s="44"/>
      <c r="AH55" s="44"/>
      <c r="AI55" s="44"/>
      <c r="AJ55" s="44"/>
      <c r="AK55" s="44"/>
      <c r="AL55" s="44"/>
      <c r="AM55" s="44"/>
      <c r="AN55" s="44"/>
      <c r="AO55" s="44"/>
      <c r="AP55" s="44"/>
      <c r="AQ55" s="44"/>
      <c r="AR55" s="44"/>
      <c r="AS55" s="44"/>
      <c r="AT55" s="356">
        <f>40000000+16062832-35000000</f>
        <v>21062832</v>
      </c>
      <c r="AU55" s="42">
        <v>15660792.75</v>
      </c>
      <c r="AV55" s="42">
        <v>5000000</v>
      </c>
      <c r="AW55" s="361"/>
      <c r="AX55" s="44"/>
      <c r="AY55" s="44"/>
      <c r="AZ55" s="358"/>
      <c r="BA55" s="44"/>
      <c r="BB55" s="44"/>
      <c r="BC55" s="361"/>
      <c r="BD55" s="44"/>
      <c r="BE55" s="44"/>
      <c r="BF55" s="298">
        <f t="shared" si="4"/>
        <v>21062832</v>
      </c>
      <c r="BG55" s="298">
        <f t="shared" si="5"/>
        <v>15660792.75</v>
      </c>
      <c r="BH55" s="298">
        <f t="shared" si="6"/>
        <v>5000000</v>
      </c>
      <c r="BI55" s="30" t="s">
        <v>1476</v>
      </c>
      <c r="BK55" s="34"/>
      <c r="BL55" s="34"/>
    </row>
    <row r="56" spans="1:64" s="16" customFormat="1" ht="117" customHeight="1" x14ac:dyDescent="0.2">
      <c r="A56" s="29">
        <v>309</v>
      </c>
      <c r="B56" s="325" t="s">
        <v>1199</v>
      </c>
      <c r="C56" s="29">
        <v>1</v>
      </c>
      <c r="D56" s="325" t="s">
        <v>1196</v>
      </c>
      <c r="E56" s="29">
        <v>41</v>
      </c>
      <c r="F56" s="325" t="s">
        <v>235</v>
      </c>
      <c r="G56" s="29">
        <v>4101</v>
      </c>
      <c r="H56" s="325" t="s">
        <v>236</v>
      </c>
      <c r="I56" s="29">
        <v>4101</v>
      </c>
      <c r="J56" s="30" t="s">
        <v>1258</v>
      </c>
      <c r="K56" s="297" t="s">
        <v>249</v>
      </c>
      <c r="L56" s="192">
        <v>4101011</v>
      </c>
      <c r="M56" s="30" t="s">
        <v>250</v>
      </c>
      <c r="N56" s="192">
        <v>4101011</v>
      </c>
      <c r="O56" s="30" t="s">
        <v>250</v>
      </c>
      <c r="P56" s="192">
        <v>410101100</v>
      </c>
      <c r="Q56" s="295" t="s">
        <v>251</v>
      </c>
      <c r="R56" s="192">
        <v>410101100</v>
      </c>
      <c r="S56" s="295" t="s">
        <v>251</v>
      </c>
      <c r="T56" s="299" t="s">
        <v>1470</v>
      </c>
      <c r="U56" s="311">
        <v>3</v>
      </c>
      <c r="V56" s="311">
        <v>1</v>
      </c>
      <c r="W56" s="328">
        <f t="shared" si="1"/>
        <v>4</v>
      </c>
      <c r="X56" s="530">
        <v>4</v>
      </c>
      <c r="Y56" s="296">
        <v>2020003630064</v>
      </c>
      <c r="Z56" s="295" t="s">
        <v>240</v>
      </c>
      <c r="AA56" s="297" t="s">
        <v>241</v>
      </c>
      <c r="AB56" s="44"/>
      <c r="AC56" s="44"/>
      <c r="AD56" s="44"/>
      <c r="AE56" s="44"/>
      <c r="AF56" s="44"/>
      <c r="AG56" s="44"/>
      <c r="AH56" s="44"/>
      <c r="AI56" s="44"/>
      <c r="AJ56" s="44"/>
      <c r="AK56" s="44"/>
      <c r="AL56" s="44"/>
      <c r="AM56" s="44"/>
      <c r="AN56" s="44"/>
      <c r="AO56" s="44"/>
      <c r="AP56" s="44"/>
      <c r="AQ56" s="44"/>
      <c r="AR56" s="44"/>
      <c r="AS56" s="44"/>
      <c r="AT56" s="356">
        <f>15000000+9019167</f>
        <v>24019167</v>
      </c>
      <c r="AU56" s="42">
        <v>24019167</v>
      </c>
      <c r="AV56" s="42">
        <v>23905100</v>
      </c>
      <c r="AW56" s="361"/>
      <c r="AX56" s="44"/>
      <c r="AY56" s="44"/>
      <c r="AZ56" s="358"/>
      <c r="BA56" s="44"/>
      <c r="BB56" s="44"/>
      <c r="BC56" s="361"/>
      <c r="BD56" s="44"/>
      <c r="BE56" s="44"/>
      <c r="BF56" s="298">
        <f t="shared" si="4"/>
        <v>24019167</v>
      </c>
      <c r="BG56" s="298">
        <f t="shared" si="5"/>
        <v>24019167</v>
      </c>
      <c r="BH56" s="298">
        <f t="shared" si="6"/>
        <v>23905100</v>
      </c>
      <c r="BI56" s="30" t="s">
        <v>1476</v>
      </c>
      <c r="BK56" s="34"/>
      <c r="BL56" s="34"/>
    </row>
    <row r="57" spans="1:64" s="16" customFormat="1" ht="117" customHeight="1" x14ac:dyDescent="0.2">
      <c r="A57" s="29">
        <v>309</v>
      </c>
      <c r="B57" s="325" t="s">
        <v>1199</v>
      </c>
      <c r="C57" s="29">
        <v>1</v>
      </c>
      <c r="D57" s="325" t="s">
        <v>1196</v>
      </c>
      <c r="E57" s="29">
        <v>41</v>
      </c>
      <c r="F57" s="325" t="s">
        <v>235</v>
      </c>
      <c r="G57" s="29">
        <v>4103</v>
      </c>
      <c r="H57" s="325" t="s">
        <v>252</v>
      </c>
      <c r="I57" s="29">
        <v>4103</v>
      </c>
      <c r="J57" s="30" t="s">
        <v>1259</v>
      </c>
      <c r="K57" s="297" t="s">
        <v>253</v>
      </c>
      <c r="L57" s="29" t="s">
        <v>31</v>
      </c>
      <c r="M57" s="30" t="s">
        <v>254</v>
      </c>
      <c r="N57" s="192">
        <v>4103052</v>
      </c>
      <c r="O57" s="30" t="s">
        <v>255</v>
      </c>
      <c r="P57" s="29" t="s">
        <v>31</v>
      </c>
      <c r="Q57" s="295" t="s">
        <v>256</v>
      </c>
      <c r="R57" s="192">
        <v>410305201</v>
      </c>
      <c r="S57" s="295" t="s">
        <v>257</v>
      </c>
      <c r="T57" s="299" t="s">
        <v>1470</v>
      </c>
      <c r="U57" s="311">
        <v>25</v>
      </c>
      <c r="V57" s="311"/>
      <c r="W57" s="328">
        <f t="shared" si="1"/>
        <v>25</v>
      </c>
      <c r="X57" s="530">
        <v>19</v>
      </c>
      <c r="Y57" s="296">
        <v>2020003630065</v>
      </c>
      <c r="Z57" s="295" t="s">
        <v>258</v>
      </c>
      <c r="AA57" s="297" t="s">
        <v>259</v>
      </c>
      <c r="AB57" s="44"/>
      <c r="AC57" s="44"/>
      <c r="AD57" s="44"/>
      <c r="AE57" s="44"/>
      <c r="AF57" s="44"/>
      <c r="AG57" s="44"/>
      <c r="AH57" s="44"/>
      <c r="AI57" s="44"/>
      <c r="AJ57" s="44"/>
      <c r="AK57" s="44"/>
      <c r="AL57" s="44"/>
      <c r="AM57" s="44"/>
      <c r="AN57" s="44"/>
      <c r="AO57" s="44"/>
      <c r="AP57" s="44"/>
      <c r="AQ57" s="44"/>
      <c r="AR57" s="44"/>
      <c r="AS57" s="44"/>
      <c r="AT57" s="356">
        <f>18000000+7735500</f>
        <v>25735500</v>
      </c>
      <c r="AU57" s="42">
        <v>21269611</v>
      </c>
      <c r="AV57" s="42">
        <v>7885000</v>
      </c>
      <c r="AW57" s="361"/>
      <c r="AX57" s="44"/>
      <c r="AY57" s="44"/>
      <c r="AZ57" s="358"/>
      <c r="BA57" s="44"/>
      <c r="BB57" s="44"/>
      <c r="BC57" s="361"/>
      <c r="BD57" s="44"/>
      <c r="BE57" s="44"/>
      <c r="BF57" s="298">
        <f t="shared" si="4"/>
        <v>25735500</v>
      </c>
      <c r="BG57" s="298">
        <f t="shared" si="5"/>
        <v>21269611</v>
      </c>
      <c r="BH57" s="298">
        <f t="shared" si="6"/>
        <v>7885000</v>
      </c>
      <c r="BI57" s="30" t="s">
        <v>1476</v>
      </c>
      <c r="BK57" s="34"/>
      <c r="BL57" s="34"/>
    </row>
    <row r="58" spans="1:64" s="16" customFormat="1" ht="192" customHeight="1" x14ac:dyDescent="0.2">
      <c r="A58" s="29">
        <v>309</v>
      </c>
      <c r="B58" s="325" t="s">
        <v>1199</v>
      </c>
      <c r="C58" s="29">
        <v>1</v>
      </c>
      <c r="D58" s="325" t="s">
        <v>1196</v>
      </c>
      <c r="E58" s="29">
        <v>45</v>
      </c>
      <c r="F58" s="325" t="s">
        <v>28</v>
      </c>
      <c r="G58" s="29">
        <v>4501</v>
      </c>
      <c r="H58" s="325" t="s">
        <v>260</v>
      </c>
      <c r="I58" s="29">
        <v>4501</v>
      </c>
      <c r="J58" s="30" t="s">
        <v>1261</v>
      </c>
      <c r="K58" s="297" t="s">
        <v>115</v>
      </c>
      <c r="L58" s="29" t="s">
        <v>31</v>
      </c>
      <c r="M58" s="30" t="s">
        <v>261</v>
      </c>
      <c r="N58" s="192">
        <v>4501029</v>
      </c>
      <c r="O58" s="30" t="s">
        <v>262</v>
      </c>
      <c r="P58" s="29" t="s">
        <v>31</v>
      </c>
      <c r="Q58" s="295" t="s">
        <v>263</v>
      </c>
      <c r="R58" s="192">
        <v>450102900</v>
      </c>
      <c r="S58" s="295" t="s">
        <v>264</v>
      </c>
      <c r="T58" s="299" t="s">
        <v>1469</v>
      </c>
      <c r="U58" s="311">
        <v>5</v>
      </c>
      <c r="V58" s="311"/>
      <c r="W58" s="328">
        <f t="shared" si="1"/>
        <v>5</v>
      </c>
      <c r="X58" s="530">
        <v>5</v>
      </c>
      <c r="Y58" s="296">
        <v>2020003630066</v>
      </c>
      <c r="Z58" s="295" t="s">
        <v>1349</v>
      </c>
      <c r="AA58" s="297" t="s">
        <v>1356</v>
      </c>
      <c r="AB58" s="44"/>
      <c r="AC58" s="44"/>
      <c r="AD58" s="44"/>
      <c r="AE58" s="44"/>
      <c r="AF58" s="44"/>
      <c r="AG58" s="44"/>
      <c r="AH58" s="44"/>
      <c r="AI58" s="44"/>
      <c r="AJ58" s="44"/>
      <c r="AK58" s="44"/>
      <c r="AL58" s="44"/>
      <c r="AM58" s="44"/>
      <c r="AN58" s="44"/>
      <c r="AO58" s="44"/>
      <c r="AP58" s="44"/>
      <c r="AQ58" s="44"/>
      <c r="AR58" s="44"/>
      <c r="AS58" s="44"/>
      <c r="AT58" s="356"/>
      <c r="AU58" s="42"/>
      <c r="AV58" s="42"/>
      <c r="AW58" s="361">
        <f>1613517223+168740786+3032347900.15</f>
        <v>4814605909.1499996</v>
      </c>
      <c r="AX58" s="44">
        <v>1935307585</v>
      </c>
      <c r="AY58" s="44">
        <v>406661118.84000003</v>
      </c>
      <c r="AZ58" s="358"/>
      <c r="BA58" s="44"/>
      <c r="BB58" s="44"/>
      <c r="BC58" s="361"/>
      <c r="BD58" s="44"/>
      <c r="BE58" s="44"/>
      <c r="BF58" s="298">
        <f t="shared" si="4"/>
        <v>4814605909.1499996</v>
      </c>
      <c r="BG58" s="298">
        <f t="shared" si="5"/>
        <v>1935307585</v>
      </c>
      <c r="BH58" s="298">
        <f t="shared" si="6"/>
        <v>406661118.84000003</v>
      </c>
      <c r="BI58" s="30" t="s">
        <v>1476</v>
      </c>
      <c r="BK58" s="34"/>
      <c r="BL58" s="34"/>
    </row>
    <row r="59" spans="1:64" s="16" customFormat="1" ht="192" customHeight="1" x14ac:dyDescent="0.2">
      <c r="A59" s="29">
        <v>309</v>
      </c>
      <c r="B59" s="325" t="s">
        <v>1199</v>
      </c>
      <c r="C59" s="29">
        <v>1</v>
      </c>
      <c r="D59" s="325" t="s">
        <v>1196</v>
      </c>
      <c r="E59" s="29">
        <v>45</v>
      </c>
      <c r="F59" s="325" t="s">
        <v>28</v>
      </c>
      <c r="G59" s="29">
        <v>4501</v>
      </c>
      <c r="H59" s="325" t="s">
        <v>260</v>
      </c>
      <c r="I59" s="29">
        <v>4501</v>
      </c>
      <c r="J59" s="30" t="s">
        <v>1261</v>
      </c>
      <c r="K59" s="297" t="s">
        <v>115</v>
      </c>
      <c r="L59" s="29">
        <v>4501001</v>
      </c>
      <c r="M59" s="30" t="s">
        <v>84</v>
      </c>
      <c r="N59" s="29">
        <v>4501001</v>
      </c>
      <c r="O59" s="30" t="s">
        <v>84</v>
      </c>
      <c r="P59" s="29">
        <v>450100100</v>
      </c>
      <c r="Q59" s="295" t="s">
        <v>265</v>
      </c>
      <c r="R59" s="29">
        <v>450100100</v>
      </c>
      <c r="S59" s="295" t="s">
        <v>265</v>
      </c>
      <c r="T59" s="299" t="s">
        <v>1469</v>
      </c>
      <c r="U59" s="311">
        <v>12</v>
      </c>
      <c r="V59" s="311"/>
      <c r="W59" s="328">
        <f t="shared" si="1"/>
        <v>12</v>
      </c>
      <c r="X59" s="530">
        <v>12</v>
      </c>
      <c r="Y59" s="296">
        <v>2020003630068</v>
      </c>
      <c r="Z59" s="295" t="s">
        <v>1130</v>
      </c>
      <c r="AA59" s="297" t="s">
        <v>266</v>
      </c>
      <c r="AB59" s="137"/>
      <c r="AC59" s="137"/>
      <c r="AD59" s="137"/>
      <c r="AE59" s="44"/>
      <c r="AF59" s="44"/>
      <c r="AG59" s="44"/>
      <c r="AH59" s="44"/>
      <c r="AI59" s="44"/>
      <c r="AJ59" s="44"/>
      <c r="AK59" s="44"/>
      <c r="AL59" s="44"/>
      <c r="AM59" s="44"/>
      <c r="AN59" s="44"/>
      <c r="AO59" s="44"/>
      <c r="AP59" s="44"/>
      <c r="AQ59" s="44"/>
      <c r="AR59" s="44"/>
      <c r="AS59" s="44"/>
      <c r="AT59" s="356">
        <v>36000000</v>
      </c>
      <c r="AU59" s="42">
        <v>36000000</v>
      </c>
      <c r="AV59" s="42">
        <v>29120000</v>
      </c>
      <c r="AW59" s="361"/>
      <c r="AX59" s="44"/>
      <c r="AY59" s="44"/>
      <c r="AZ59" s="358"/>
      <c r="BA59" s="44"/>
      <c r="BB59" s="44"/>
      <c r="BC59" s="361"/>
      <c r="BD59" s="44"/>
      <c r="BE59" s="44"/>
      <c r="BF59" s="298">
        <f t="shared" si="4"/>
        <v>36000000</v>
      </c>
      <c r="BG59" s="298">
        <f t="shared" si="5"/>
        <v>36000000</v>
      </c>
      <c r="BH59" s="298">
        <f t="shared" si="6"/>
        <v>29120000</v>
      </c>
      <c r="BI59" s="30" t="s">
        <v>1476</v>
      </c>
      <c r="BK59" s="34"/>
      <c r="BL59" s="34"/>
    </row>
    <row r="60" spans="1:64" s="16" customFormat="1" ht="117" customHeight="1" x14ac:dyDescent="0.2">
      <c r="A60" s="29">
        <v>309</v>
      </c>
      <c r="B60" s="325" t="s">
        <v>1199</v>
      </c>
      <c r="C60" s="29">
        <v>3</v>
      </c>
      <c r="D60" s="325" t="s">
        <v>1198</v>
      </c>
      <c r="E60" s="29">
        <v>32</v>
      </c>
      <c r="F60" s="325" t="s">
        <v>170</v>
      </c>
      <c r="G60" s="29">
        <v>3205</v>
      </c>
      <c r="H60" s="325" t="s">
        <v>171</v>
      </c>
      <c r="I60" s="29">
        <v>3205</v>
      </c>
      <c r="J60" s="30" t="s">
        <v>1249</v>
      </c>
      <c r="K60" s="297" t="s">
        <v>267</v>
      </c>
      <c r="L60" s="29">
        <v>3205002</v>
      </c>
      <c r="M60" s="30" t="s">
        <v>268</v>
      </c>
      <c r="N60" s="29">
        <v>3205002</v>
      </c>
      <c r="O60" s="30" t="s">
        <v>268</v>
      </c>
      <c r="P60" s="29">
        <v>320500200</v>
      </c>
      <c r="Q60" s="295" t="s">
        <v>269</v>
      </c>
      <c r="R60" s="29">
        <v>320500200</v>
      </c>
      <c r="S60" s="295" t="s">
        <v>269</v>
      </c>
      <c r="T60" s="299" t="s">
        <v>1470</v>
      </c>
      <c r="U60" s="311">
        <v>3</v>
      </c>
      <c r="V60" s="311">
        <v>1</v>
      </c>
      <c r="W60" s="328">
        <f t="shared" si="1"/>
        <v>4</v>
      </c>
      <c r="X60" s="530">
        <v>0</v>
      </c>
      <c r="Y60" s="296">
        <v>2020003630069</v>
      </c>
      <c r="Z60" s="295" t="s">
        <v>270</v>
      </c>
      <c r="AA60" s="297" t="s">
        <v>271</v>
      </c>
      <c r="AB60" s="44"/>
      <c r="AC60" s="44"/>
      <c r="AD60" s="44"/>
      <c r="AE60" s="44"/>
      <c r="AF60" s="44"/>
      <c r="AG60" s="44"/>
      <c r="AH60" s="44"/>
      <c r="AI60" s="44"/>
      <c r="AJ60" s="44"/>
      <c r="AK60" s="44"/>
      <c r="AL60" s="44"/>
      <c r="AM60" s="44"/>
      <c r="AN60" s="44"/>
      <c r="AO60" s="44"/>
      <c r="AP60" s="44"/>
      <c r="AQ60" s="44"/>
      <c r="AR60" s="44"/>
      <c r="AS60" s="44"/>
      <c r="AT60" s="533">
        <f>45000000+186212500</f>
        <v>231212500</v>
      </c>
      <c r="AU60" s="534">
        <v>153403607.12</v>
      </c>
      <c r="AV60" s="534">
        <v>56475000</v>
      </c>
      <c r="AW60" s="361"/>
      <c r="AX60" s="44"/>
      <c r="AY60" s="44"/>
      <c r="AZ60" s="358"/>
      <c r="BA60" s="44"/>
      <c r="BB60" s="44"/>
      <c r="BC60" s="361"/>
      <c r="BD60" s="44"/>
      <c r="BE60" s="44"/>
      <c r="BF60" s="298">
        <f t="shared" si="4"/>
        <v>231212500</v>
      </c>
      <c r="BG60" s="298">
        <f t="shared" si="5"/>
        <v>153403607.12</v>
      </c>
      <c r="BH60" s="298">
        <f t="shared" si="6"/>
        <v>56475000</v>
      </c>
      <c r="BI60" s="30" t="s">
        <v>1476</v>
      </c>
      <c r="BK60" s="34"/>
      <c r="BL60" s="34"/>
    </row>
    <row r="61" spans="1:64" s="16" customFormat="1" ht="117" customHeight="1" x14ac:dyDescent="0.2">
      <c r="A61" s="29">
        <v>309</v>
      </c>
      <c r="B61" s="325" t="s">
        <v>1199</v>
      </c>
      <c r="C61" s="29">
        <v>3</v>
      </c>
      <c r="D61" s="325" t="s">
        <v>1198</v>
      </c>
      <c r="E61" s="29">
        <v>45</v>
      </c>
      <c r="F61" s="325" t="s">
        <v>28</v>
      </c>
      <c r="G61" s="29">
        <v>4503</v>
      </c>
      <c r="H61" s="325" t="s">
        <v>1225</v>
      </c>
      <c r="I61" s="29">
        <v>4503</v>
      </c>
      <c r="J61" s="30" t="s">
        <v>1226</v>
      </c>
      <c r="K61" s="297" t="s">
        <v>272</v>
      </c>
      <c r="L61" s="29">
        <v>4503002</v>
      </c>
      <c r="M61" s="30" t="s">
        <v>273</v>
      </c>
      <c r="N61" s="29">
        <v>4503002</v>
      </c>
      <c r="O61" s="30" t="s">
        <v>273</v>
      </c>
      <c r="P61" s="29">
        <v>450300200</v>
      </c>
      <c r="Q61" s="30" t="s">
        <v>274</v>
      </c>
      <c r="R61" s="29">
        <v>450300200</v>
      </c>
      <c r="S61" s="295" t="s">
        <v>274</v>
      </c>
      <c r="T61" s="299" t="s">
        <v>1470</v>
      </c>
      <c r="U61" s="311">
        <v>5000</v>
      </c>
      <c r="V61" s="311"/>
      <c r="W61" s="328">
        <f t="shared" si="1"/>
        <v>5000</v>
      </c>
      <c r="X61" s="530">
        <v>4950</v>
      </c>
      <c r="Y61" s="296">
        <v>2020003630070</v>
      </c>
      <c r="Z61" s="297" t="s">
        <v>275</v>
      </c>
      <c r="AA61" s="297" t="s">
        <v>276</v>
      </c>
      <c r="AB61" s="44"/>
      <c r="AC61" s="44"/>
      <c r="AD61" s="44"/>
      <c r="AE61" s="44"/>
      <c r="AF61" s="44"/>
      <c r="AG61" s="44"/>
      <c r="AH61" s="44"/>
      <c r="AI61" s="44"/>
      <c r="AJ61" s="44"/>
      <c r="AK61" s="44"/>
      <c r="AL61" s="44"/>
      <c r="AM61" s="44"/>
      <c r="AN61" s="44"/>
      <c r="AO61" s="44"/>
      <c r="AP61" s="44"/>
      <c r="AQ61" s="44"/>
      <c r="AR61" s="44"/>
      <c r="AS61" s="44"/>
      <c r="AT61" s="356">
        <f>18000000+32195000</f>
        <v>50195000</v>
      </c>
      <c r="AU61" s="42">
        <v>50195000</v>
      </c>
      <c r="AV61" s="42">
        <v>36354000</v>
      </c>
      <c r="AW61" s="361"/>
      <c r="AX61" s="44"/>
      <c r="AY61" s="44"/>
      <c r="AZ61" s="358"/>
      <c r="BA61" s="44"/>
      <c r="BB61" s="44"/>
      <c r="BC61" s="361"/>
      <c r="BD61" s="44"/>
      <c r="BE61" s="44"/>
      <c r="BF61" s="298">
        <f t="shared" si="4"/>
        <v>50195000</v>
      </c>
      <c r="BG61" s="298">
        <f t="shared" si="5"/>
        <v>50195000</v>
      </c>
      <c r="BH61" s="298">
        <f t="shared" si="6"/>
        <v>36354000</v>
      </c>
      <c r="BI61" s="30" t="s">
        <v>1476</v>
      </c>
      <c r="BK61" s="34"/>
      <c r="BL61" s="34"/>
    </row>
    <row r="62" spans="1:64" s="16" customFormat="1" ht="117" customHeight="1" x14ac:dyDescent="0.2">
      <c r="A62" s="29">
        <v>309</v>
      </c>
      <c r="B62" s="325" t="s">
        <v>1199</v>
      </c>
      <c r="C62" s="29">
        <v>3</v>
      </c>
      <c r="D62" s="325" t="s">
        <v>1198</v>
      </c>
      <c r="E62" s="29">
        <v>45</v>
      </c>
      <c r="F62" s="325" t="s">
        <v>28</v>
      </c>
      <c r="G62" s="29">
        <v>4503</v>
      </c>
      <c r="H62" s="325" t="s">
        <v>1225</v>
      </c>
      <c r="I62" s="29">
        <v>4503</v>
      </c>
      <c r="J62" s="30" t="s">
        <v>1226</v>
      </c>
      <c r="K62" s="297" t="s">
        <v>277</v>
      </c>
      <c r="L62" s="29">
        <v>4503003</v>
      </c>
      <c r="M62" s="30" t="s">
        <v>84</v>
      </c>
      <c r="N62" s="29">
        <v>4503003</v>
      </c>
      <c r="O62" s="30" t="s">
        <v>84</v>
      </c>
      <c r="P62" s="29">
        <v>450300300</v>
      </c>
      <c r="Q62" s="295" t="s">
        <v>278</v>
      </c>
      <c r="R62" s="29">
        <v>450300300</v>
      </c>
      <c r="S62" s="295" t="s">
        <v>278</v>
      </c>
      <c r="T62" s="299" t="s">
        <v>1469</v>
      </c>
      <c r="U62" s="311">
        <v>12</v>
      </c>
      <c r="V62" s="311"/>
      <c r="W62" s="328">
        <f t="shared" si="1"/>
        <v>12</v>
      </c>
      <c r="X62" s="530">
        <v>12</v>
      </c>
      <c r="Y62" s="296">
        <v>2020003630070</v>
      </c>
      <c r="Z62" s="297" t="s">
        <v>275</v>
      </c>
      <c r="AA62" s="297" t="s">
        <v>276</v>
      </c>
      <c r="AB62" s="44"/>
      <c r="AC62" s="44"/>
      <c r="AD62" s="44"/>
      <c r="AE62" s="44"/>
      <c r="AF62" s="44"/>
      <c r="AG62" s="44"/>
      <c r="AH62" s="44"/>
      <c r="AI62" s="44"/>
      <c r="AJ62" s="44"/>
      <c r="AK62" s="44"/>
      <c r="AL62" s="44"/>
      <c r="AM62" s="44"/>
      <c r="AN62" s="44"/>
      <c r="AO62" s="44"/>
      <c r="AP62" s="44"/>
      <c r="AQ62" s="44"/>
      <c r="AR62" s="44"/>
      <c r="AS62" s="44"/>
      <c r="AT62" s="356">
        <f>100000000+114565000+47013200</f>
        <v>261578200</v>
      </c>
      <c r="AU62" s="42">
        <v>198860999</v>
      </c>
      <c r="AV62" s="42">
        <v>128833666</v>
      </c>
      <c r="AW62" s="361"/>
      <c r="AX62" s="44"/>
      <c r="AY62" s="44"/>
      <c r="AZ62" s="358"/>
      <c r="BA62" s="44"/>
      <c r="BB62" s="44"/>
      <c r="BC62" s="361"/>
      <c r="BD62" s="44"/>
      <c r="BE62" s="44"/>
      <c r="BF62" s="298">
        <f t="shared" si="4"/>
        <v>261578200</v>
      </c>
      <c r="BG62" s="298">
        <f t="shared" si="5"/>
        <v>198860999</v>
      </c>
      <c r="BH62" s="298">
        <f t="shared" si="6"/>
        <v>128833666</v>
      </c>
      <c r="BI62" s="30" t="s">
        <v>1476</v>
      </c>
      <c r="BK62" s="34"/>
      <c r="BL62" s="34"/>
    </row>
    <row r="63" spans="1:64" s="16" customFormat="1" ht="117" customHeight="1" x14ac:dyDescent="0.2">
      <c r="A63" s="29">
        <v>309</v>
      </c>
      <c r="B63" s="325" t="s">
        <v>1199</v>
      </c>
      <c r="C63" s="29">
        <v>3</v>
      </c>
      <c r="D63" s="325" t="s">
        <v>1198</v>
      </c>
      <c r="E63" s="29">
        <v>45</v>
      </c>
      <c r="F63" s="325" t="s">
        <v>28</v>
      </c>
      <c r="G63" s="29">
        <v>4503</v>
      </c>
      <c r="H63" s="325" t="s">
        <v>1225</v>
      </c>
      <c r="I63" s="29">
        <v>4503</v>
      </c>
      <c r="J63" s="30" t="s">
        <v>1226</v>
      </c>
      <c r="K63" s="297" t="s">
        <v>277</v>
      </c>
      <c r="L63" s="29">
        <v>4503004</v>
      </c>
      <c r="M63" s="30" t="s">
        <v>279</v>
      </c>
      <c r="N63" s="29">
        <v>4503016</v>
      </c>
      <c r="O63" s="30" t="s">
        <v>280</v>
      </c>
      <c r="P63" s="29" t="s">
        <v>31</v>
      </c>
      <c r="Q63" s="295" t="s">
        <v>281</v>
      </c>
      <c r="R63" s="29">
        <v>450301600</v>
      </c>
      <c r="S63" s="295" t="s">
        <v>282</v>
      </c>
      <c r="T63" s="299" t="s">
        <v>1469</v>
      </c>
      <c r="U63" s="311">
        <v>1</v>
      </c>
      <c r="V63" s="311"/>
      <c r="W63" s="328">
        <f t="shared" si="1"/>
        <v>1</v>
      </c>
      <c r="X63" s="530">
        <v>0</v>
      </c>
      <c r="Y63" s="296">
        <v>2020003630070</v>
      </c>
      <c r="Z63" s="297" t="s">
        <v>275</v>
      </c>
      <c r="AA63" s="297" t="s">
        <v>276</v>
      </c>
      <c r="AB63" s="44"/>
      <c r="AC63" s="44"/>
      <c r="AD63" s="44"/>
      <c r="AE63" s="44"/>
      <c r="AF63" s="44"/>
      <c r="AG63" s="44"/>
      <c r="AH63" s="44"/>
      <c r="AI63" s="44"/>
      <c r="AJ63" s="44"/>
      <c r="AK63" s="44"/>
      <c r="AL63" s="44"/>
      <c r="AM63" s="44"/>
      <c r="AN63" s="44"/>
      <c r="AO63" s="44"/>
      <c r="AP63" s="44"/>
      <c r="AQ63" s="44"/>
      <c r="AR63" s="44"/>
      <c r="AS63" s="44"/>
      <c r="AT63" s="356">
        <f>30000000+30199823.94</f>
        <v>60199823.939999998</v>
      </c>
      <c r="AU63" s="42">
        <v>22605000</v>
      </c>
      <c r="AV63" s="42">
        <v>22605000</v>
      </c>
      <c r="AW63" s="361"/>
      <c r="AX63" s="44"/>
      <c r="AY63" s="44"/>
      <c r="AZ63" s="358"/>
      <c r="BA63" s="44"/>
      <c r="BB63" s="44"/>
      <c r="BC63" s="361"/>
      <c r="BD63" s="44"/>
      <c r="BE63" s="44"/>
      <c r="BF63" s="298">
        <f t="shared" si="4"/>
        <v>60199823.939999998</v>
      </c>
      <c r="BG63" s="298">
        <f t="shared" si="5"/>
        <v>22605000</v>
      </c>
      <c r="BH63" s="298">
        <f t="shared" si="6"/>
        <v>22605000</v>
      </c>
      <c r="BI63" s="30" t="s">
        <v>1476</v>
      </c>
      <c r="BK63" s="34"/>
      <c r="BL63" s="34"/>
    </row>
    <row r="64" spans="1:64" s="16" customFormat="1" ht="117" customHeight="1" x14ac:dyDescent="0.2">
      <c r="A64" s="29">
        <v>309</v>
      </c>
      <c r="B64" s="325" t="s">
        <v>1199</v>
      </c>
      <c r="C64" s="29">
        <v>4</v>
      </c>
      <c r="D64" s="325" t="s">
        <v>1192</v>
      </c>
      <c r="E64" s="29">
        <v>45</v>
      </c>
      <c r="F64" s="325" t="s">
        <v>28</v>
      </c>
      <c r="G64" s="29">
        <v>4502</v>
      </c>
      <c r="H64" s="325" t="s">
        <v>1224</v>
      </c>
      <c r="I64" s="29">
        <v>4502</v>
      </c>
      <c r="J64" s="30" t="s">
        <v>1223</v>
      </c>
      <c r="K64" s="297" t="s">
        <v>283</v>
      </c>
      <c r="L64" s="29">
        <v>4502024</v>
      </c>
      <c r="M64" s="30" t="s">
        <v>284</v>
      </c>
      <c r="N64" s="29">
        <v>4502024</v>
      </c>
      <c r="O64" s="30" t="s">
        <v>284</v>
      </c>
      <c r="P64" s="300">
        <v>450202400</v>
      </c>
      <c r="Q64" s="295" t="s">
        <v>285</v>
      </c>
      <c r="R64" s="300">
        <v>450202400</v>
      </c>
      <c r="S64" s="295" t="s">
        <v>285</v>
      </c>
      <c r="T64" s="299" t="s">
        <v>1469</v>
      </c>
      <c r="U64" s="311">
        <v>10</v>
      </c>
      <c r="V64" s="311"/>
      <c r="W64" s="328">
        <f t="shared" si="1"/>
        <v>10</v>
      </c>
      <c r="X64" s="530">
        <v>8</v>
      </c>
      <c r="Y64" s="296">
        <v>2020003630067</v>
      </c>
      <c r="Z64" s="297" t="s">
        <v>1348</v>
      </c>
      <c r="AA64" s="297" t="s">
        <v>287</v>
      </c>
      <c r="AB64" s="44"/>
      <c r="AC64" s="44"/>
      <c r="AD64" s="44"/>
      <c r="AE64" s="44"/>
      <c r="AF64" s="44"/>
      <c r="AG64" s="44"/>
      <c r="AH64" s="44"/>
      <c r="AI64" s="44"/>
      <c r="AJ64" s="44"/>
      <c r="AK64" s="44"/>
      <c r="AL64" s="44"/>
      <c r="AM64" s="44"/>
      <c r="AN64" s="44"/>
      <c r="AO64" s="44"/>
      <c r="AP64" s="44"/>
      <c r="AQ64" s="44"/>
      <c r="AR64" s="44"/>
      <c r="AS64" s="44"/>
      <c r="AT64" s="356">
        <f>50000000+25982716.05+15000000+11540000</f>
        <v>102522716.05</v>
      </c>
      <c r="AU64" s="42">
        <v>84279166</v>
      </c>
      <c r="AV64" s="42">
        <v>47074000</v>
      </c>
      <c r="AW64" s="361"/>
      <c r="AX64" s="44"/>
      <c r="AY64" s="44"/>
      <c r="AZ64" s="358"/>
      <c r="BA64" s="44"/>
      <c r="BB64" s="44"/>
      <c r="BC64" s="361"/>
      <c r="BD64" s="44"/>
      <c r="BE64" s="44"/>
      <c r="BF64" s="298">
        <f t="shared" si="4"/>
        <v>102522716.05</v>
      </c>
      <c r="BG64" s="298">
        <f t="shared" si="5"/>
        <v>84279166</v>
      </c>
      <c r="BH64" s="298">
        <f t="shared" si="6"/>
        <v>47074000</v>
      </c>
      <c r="BI64" s="30" t="s">
        <v>1476</v>
      </c>
      <c r="BK64" s="34"/>
      <c r="BL64" s="34"/>
    </row>
    <row r="65" spans="1:64" s="16" customFormat="1" ht="117" customHeight="1" x14ac:dyDescent="0.2">
      <c r="A65" s="29">
        <v>309</v>
      </c>
      <c r="B65" s="325" t="s">
        <v>1199</v>
      </c>
      <c r="C65" s="29">
        <v>4</v>
      </c>
      <c r="D65" s="325" t="s">
        <v>1192</v>
      </c>
      <c r="E65" s="29">
        <v>45</v>
      </c>
      <c r="F65" s="325" t="s">
        <v>28</v>
      </c>
      <c r="G65" s="29">
        <v>4502</v>
      </c>
      <c r="H65" s="325" t="s">
        <v>1224</v>
      </c>
      <c r="I65" s="29">
        <v>4502</v>
      </c>
      <c r="J65" s="30" t="s">
        <v>1223</v>
      </c>
      <c r="K65" s="297" t="s">
        <v>48</v>
      </c>
      <c r="L65" s="29">
        <v>4502001</v>
      </c>
      <c r="M65" s="30" t="s">
        <v>58</v>
      </c>
      <c r="N65" s="90">
        <v>4502001</v>
      </c>
      <c r="O65" s="30" t="s">
        <v>58</v>
      </c>
      <c r="P65" s="29">
        <v>450200100</v>
      </c>
      <c r="Q65" s="295" t="s">
        <v>288</v>
      </c>
      <c r="R65" s="300">
        <v>450200100</v>
      </c>
      <c r="S65" s="295" t="s">
        <v>60</v>
      </c>
      <c r="T65" s="299" t="s">
        <v>1469</v>
      </c>
      <c r="U65" s="311">
        <v>3</v>
      </c>
      <c r="V65" s="311"/>
      <c r="W65" s="328">
        <f t="shared" si="1"/>
        <v>3</v>
      </c>
      <c r="X65" s="530">
        <v>3</v>
      </c>
      <c r="Y65" s="296">
        <v>2020003630071</v>
      </c>
      <c r="Z65" s="297" t="s">
        <v>1389</v>
      </c>
      <c r="AA65" s="297" t="s">
        <v>290</v>
      </c>
      <c r="AB65" s="44"/>
      <c r="AC65" s="44"/>
      <c r="AD65" s="44"/>
      <c r="AE65" s="44"/>
      <c r="AF65" s="44"/>
      <c r="AG65" s="44"/>
      <c r="AH65" s="44"/>
      <c r="AI65" s="44"/>
      <c r="AJ65" s="44"/>
      <c r="AK65" s="44"/>
      <c r="AL65" s="44"/>
      <c r="AM65" s="44"/>
      <c r="AN65" s="44"/>
      <c r="AO65" s="44"/>
      <c r="AP65" s="44"/>
      <c r="AQ65" s="44"/>
      <c r="AR65" s="44"/>
      <c r="AS65" s="44"/>
      <c r="AT65" s="356">
        <f>130000000+15000000+13000000+18920000</f>
        <v>176920000</v>
      </c>
      <c r="AU65" s="42">
        <v>161619462</v>
      </c>
      <c r="AV65" s="42">
        <v>101335456</v>
      </c>
      <c r="AW65" s="361"/>
      <c r="AX65" s="44"/>
      <c r="AY65" s="44"/>
      <c r="AZ65" s="358"/>
      <c r="BA65" s="44"/>
      <c r="BB65" s="44"/>
      <c r="BC65" s="361"/>
      <c r="BD65" s="44"/>
      <c r="BE65" s="44"/>
      <c r="BF65" s="298">
        <f t="shared" si="4"/>
        <v>176920000</v>
      </c>
      <c r="BG65" s="298">
        <f t="shared" si="5"/>
        <v>161619462</v>
      </c>
      <c r="BH65" s="298">
        <f t="shared" si="6"/>
        <v>101335456</v>
      </c>
      <c r="BI65" s="30" t="s">
        <v>1476</v>
      </c>
      <c r="BK65" s="34"/>
      <c r="BL65" s="34"/>
    </row>
    <row r="66" spans="1:64" s="16" customFormat="1" ht="117" customHeight="1" x14ac:dyDescent="0.2">
      <c r="A66" s="29">
        <v>309</v>
      </c>
      <c r="B66" s="325" t="s">
        <v>1199</v>
      </c>
      <c r="C66" s="29">
        <v>4</v>
      </c>
      <c r="D66" s="325" t="s">
        <v>1192</v>
      </c>
      <c r="E66" s="29">
        <v>45</v>
      </c>
      <c r="F66" s="325" t="s">
        <v>28</v>
      </c>
      <c r="G66" s="29">
        <v>4502</v>
      </c>
      <c r="H66" s="325" t="s">
        <v>1224</v>
      </c>
      <c r="I66" s="29">
        <v>4502</v>
      </c>
      <c r="J66" s="30" t="s">
        <v>1223</v>
      </c>
      <c r="K66" s="297" t="s">
        <v>48</v>
      </c>
      <c r="L66" s="29" t="s">
        <v>31</v>
      </c>
      <c r="M66" s="30" t="s">
        <v>291</v>
      </c>
      <c r="N66" s="90">
        <v>4502001</v>
      </c>
      <c r="O66" s="30" t="s">
        <v>58</v>
      </c>
      <c r="P66" s="29" t="s">
        <v>31</v>
      </c>
      <c r="Q66" s="295" t="s">
        <v>292</v>
      </c>
      <c r="R66" s="300">
        <v>450200111</v>
      </c>
      <c r="S66" s="295" t="s">
        <v>293</v>
      </c>
      <c r="T66" s="299" t="s">
        <v>1469</v>
      </c>
      <c r="U66" s="346">
        <v>1</v>
      </c>
      <c r="V66" s="346"/>
      <c r="W66" s="328">
        <f t="shared" si="1"/>
        <v>1</v>
      </c>
      <c r="X66" s="537">
        <v>0.52</v>
      </c>
      <c r="Y66" s="296">
        <v>2020003630071</v>
      </c>
      <c r="Z66" s="297" t="s">
        <v>1389</v>
      </c>
      <c r="AA66" s="297" t="s">
        <v>290</v>
      </c>
      <c r="AB66" s="44"/>
      <c r="AC66" s="44"/>
      <c r="AD66" s="44"/>
      <c r="AE66" s="44"/>
      <c r="AF66" s="44"/>
      <c r="AG66" s="44"/>
      <c r="AH66" s="44"/>
      <c r="AI66" s="44"/>
      <c r="AJ66" s="44"/>
      <c r="AK66" s="44"/>
      <c r="AL66" s="44"/>
      <c r="AM66" s="44"/>
      <c r="AN66" s="44"/>
      <c r="AO66" s="44"/>
      <c r="AP66" s="44"/>
      <c r="AQ66" s="44"/>
      <c r="AR66" s="44"/>
      <c r="AS66" s="44"/>
      <c r="AT66" s="356">
        <f>73000000+10000000</f>
        <v>83000000</v>
      </c>
      <c r="AU66" s="42">
        <v>79000000</v>
      </c>
      <c r="AV66" s="42">
        <v>47709900</v>
      </c>
      <c r="AW66" s="361"/>
      <c r="AX66" s="44"/>
      <c r="AY66" s="44"/>
      <c r="AZ66" s="358"/>
      <c r="BA66" s="44"/>
      <c r="BB66" s="44"/>
      <c r="BC66" s="361"/>
      <c r="BD66" s="44"/>
      <c r="BE66" s="44"/>
      <c r="BF66" s="298">
        <f t="shared" si="4"/>
        <v>83000000</v>
      </c>
      <c r="BG66" s="298">
        <f t="shared" si="5"/>
        <v>79000000</v>
      </c>
      <c r="BH66" s="298">
        <f t="shared" si="6"/>
        <v>47709900</v>
      </c>
      <c r="BI66" s="30" t="s">
        <v>1476</v>
      </c>
      <c r="BK66" s="34"/>
      <c r="BL66" s="34"/>
    </row>
    <row r="67" spans="1:64" s="16" customFormat="1" ht="160.5" customHeight="1" x14ac:dyDescent="0.2">
      <c r="A67" s="29">
        <v>309</v>
      </c>
      <c r="B67" s="325" t="s">
        <v>1199</v>
      </c>
      <c r="C67" s="29">
        <v>4</v>
      </c>
      <c r="D67" s="325" t="s">
        <v>1192</v>
      </c>
      <c r="E67" s="29">
        <v>45</v>
      </c>
      <c r="F67" s="325" t="s">
        <v>28</v>
      </c>
      <c r="G67" s="29">
        <v>4502</v>
      </c>
      <c r="H67" s="325" t="s">
        <v>1224</v>
      </c>
      <c r="I67" s="29">
        <v>4502</v>
      </c>
      <c r="J67" s="30" t="s">
        <v>1223</v>
      </c>
      <c r="K67" s="297" t="s">
        <v>48</v>
      </c>
      <c r="L67" s="29" t="s">
        <v>31</v>
      </c>
      <c r="M67" s="30" t="s">
        <v>294</v>
      </c>
      <c r="N67" s="29">
        <v>4502001</v>
      </c>
      <c r="O67" s="30" t="s">
        <v>58</v>
      </c>
      <c r="P67" s="29" t="s">
        <v>31</v>
      </c>
      <c r="Q67" s="295" t="s">
        <v>1132</v>
      </c>
      <c r="R67" s="300">
        <v>450200109</v>
      </c>
      <c r="S67" s="295" t="s">
        <v>295</v>
      </c>
      <c r="T67" s="299" t="s">
        <v>1469</v>
      </c>
      <c r="U67" s="311">
        <v>12</v>
      </c>
      <c r="V67" s="311"/>
      <c r="W67" s="328">
        <f t="shared" si="1"/>
        <v>12</v>
      </c>
      <c r="X67" s="530">
        <v>11</v>
      </c>
      <c r="Y67" s="296">
        <v>2020003630071</v>
      </c>
      <c r="Z67" s="297" t="s">
        <v>1389</v>
      </c>
      <c r="AA67" s="297" t="s">
        <v>290</v>
      </c>
      <c r="AB67" s="44"/>
      <c r="AC67" s="44"/>
      <c r="AD67" s="44"/>
      <c r="AE67" s="44"/>
      <c r="AF67" s="44"/>
      <c r="AG67" s="44"/>
      <c r="AH67" s="44"/>
      <c r="AI67" s="44"/>
      <c r="AJ67" s="44"/>
      <c r="AK67" s="44"/>
      <c r="AL67" s="44"/>
      <c r="AM67" s="44"/>
      <c r="AN67" s="44"/>
      <c r="AO67" s="44"/>
      <c r="AP67" s="44"/>
      <c r="AQ67" s="44"/>
      <c r="AR67" s="44"/>
      <c r="AS67" s="44"/>
      <c r="AT67" s="356">
        <f>35000000+2540000</f>
        <v>37540000</v>
      </c>
      <c r="AU67" s="42">
        <v>35540000</v>
      </c>
      <c r="AV67" s="42">
        <v>25000000</v>
      </c>
      <c r="AW67" s="361"/>
      <c r="AX67" s="44"/>
      <c r="AY67" s="44"/>
      <c r="AZ67" s="358"/>
      <c r="BA67" s="44"/>
      <c r="BB67" s="44"/>
      <c r="BC67" s="361"/>
      <c r="BD67" s="44"/>
      <c r="BE67" s="44"/>
      <c r="BF67" s="298">
        <f t="shared" si="4"/>
        <v>37540000</v>
      </c>
      <c r="BG67" s="298">
        <f t="shared" si="5"/>
        <v>35540000</v>
      </c>
      <c r="BH67" s="298">
        <f t="shared" si="6"/>
        <v>25000000</v>
      </c>
      <c r="BI67" s="30" t="s">
        <v>1476</v>
      </c>
      <c r="BK67" s="34"/>
      <c r="BL67" s="34"/>
    </row>
    <row r="68" spans="1:64" s="16" customFormat="1" ht="117" customHeight="1" x14ac:dyDescent="0.2">
      <c r="A68" s="29">
        <v>309</v>
      </c>
      <c r="B68" s="325" t="s">
        <v>1199</v>
      </c>
      <c r="C68" s="29">
        <v>4</v>
      </c>
      <c r="D68" s="325" t="s">
        <v>1192</v>
      </c>
      <c r="E68" s="29">
        <v>45</v>
      </c>
      <c r="F68" s="325" t="s">
        <v>28</v>
      </c>
      <c r="G68" s="29">
        <v>4502</v>
      </c>
      <c r="H68" s="325" t="s">
        <v>1224</v>
      </c>
      <c r="I68" s="29">
        <v>4502</v>
      </c>
      <c r="J68" s="30" t="s">
        <v>1223</v>
      </c>
      <c r="K68" s="297" t="s">
        <v>48</v>
      </c>
      <c r="L68" s="29" t="s">
        <v>31</v>
      </c>
      <c r="M68" s="30" t="s">
        <v>296</v>
      </c>
      <c r="N68" s="90">
        <v>4502035</v>
      </c>
      <c r="O68" s="30" t="s">
        <v>297</v>
      </c>
      <c r="P68" s="29" t="s">
        <v>31</v>
      </c>
      <c r="Q68" s="295" t="s">
        <v>298</v>
      </c>
      <c r="R68" s="90">
        <v>450203501</v>
      </c>
      <c r="S68" s="295" t="s">
        <v>299</v>
      </c>
      <c r="T68" s="299" t="s">
        <v>1470</v>
      </c>
      <c r="U68" s="341">
        <v>0.2</v>
      </c>
      <c r="V68" s="341"/>
      <c r="W68" s="371">
        <f t="shared" si="1"/>
        <v>0.2</v>
      </c>
      <c r="X68" s="530">
        <v>0.12</v>
      </c>
      <c r="Y68" s="296">
        <v>2020003630071</v>
      </c>
      <c r="Z68" s="297" t="s">
        <v>1389</v>
      </c>
      <c r="AA68" s="297" t="s">
        <v>290</v>
      </c>
      <c r="AB68" s="44"/>
      <c r="AC68" s="44"/>
      <c r="AD68" s="44"/>
      <c r="AE68" s="44"/>
      <c r="AF68" s="44"/>
      <c r="AG68" s="44"/>
      <c r="AH68" s="44"/>
      <c r="AI68" s="44"/>
      <c r="AJ68" s="44"/>
      <c r="AK68" s="44"/>
      <c r="AL68" s="44"/>
      <c r="AM68" s="44"/>
      <c r="AN68" s="44"/>
      <c r="AO68" s="44"/>
      <c r="AP68" s="44"/>
      <c r="AQ68" s="44"/>
      <c r="AR68" s="44"/>
      <c r="AS68" s="44"/>
      <c r="AT68" s="356">
        <f>25000000+5747466.1+10506600+2000000</f>
        <v>43254066.100000001</v>
      </c>
      <c r="AU68" s="42">
        <v>43254066</v>
      </c>
      <c r="AV68" s="42">
        <v>31050000</v>
      </c>
      <c r="AW68" s="361"/>
      <c r="AX68" s="44"/>
      <c r="AY68" s="44"/>
      <c r="AZ68" s="358"/>
      <c r="BA68" s="44"/>
      <c r="BB68" s="44"/>
      <c r="BC68" s="361"/>
      <c r="BD68" s="44"/>
      <c r="BE68" s="44"/>
      <c r="BF68" s="298">
        <f t="shared" si="4"/>
        <v>43254066.100000001</v>
      </c>
      <c r="BG68" s="298">
        <f t="shared" si="5"/>
        <v>43254066</v>
      </c>
      <c r="BH68" s="298">
        <f t="shared" si="6"/>
        <v>31050000</v>
      </c>
      <c r="BI68" s="30" t="s">
        <v>1476</v>
      </c>
      <c r="BK68" s="34"/>
      <c r="BL68" s="34"/>
    </row>
    <row r="69" spans="1:64" s="16" customFormat="1" ht="117" customHeight="1" x14ac:dyDescent="0.2">
      <c r="A69" s="29">
        <v>310</v>
      </c>
      <c r="B69" s="325" t="s">
        <v>1200</v>
      </c>
      <c r="C69" s="29">
        <v>1</v>
      </c>
      <c r="D69" s="325" t="s">
        <v>1196</v>
      </c>
      <c r="E69" s="29">
        <v>33</v>
      </c>
      <c r="F69" s="325" t="s">
        <v>132</v>
      </c>
      <c r="G69" s="29">
        <v>3301</v>
      </c>
      <c r="H69" s="325" t="s">
        <v>133</v>
      </c>
      <c r="I69" s="29">
        <v>3301</v>
      </c>
      <c r="J69" s="30" t="s">
        <v>1251</v>
      </c>
      <c r="K69" s="297" t="s">
        <v>1156</v>
      </c>
      <c r="L69" s="29">
        <v>3301087</v>
      </c>
      <c r="M69" s="30" t="s">
        <v>301</v>
      </c>
      <c r="N69" s="29">
        <v>3301087</v>
      </c>
      <c r="O69" s="30" t="s">
        <v>301</v>
      </c>
      <c r="P69" s="29">
        <v>330108701</v>
      </c>
      <c r="Q69" s="30" t="s">
        <v>274</v>
      </c>
      <c r="R69" s="29">
        <v>330108701</v>
      </c>
      <c r="S69" s="295" t="s">
        <v>274</v>
      </c>
      <c r="T69" s="299" t="s">
        <v>1470</v>
      </c>
      <c r="U69" s="311">
        <v>5735</v>
      </c>
      <c r="V69" s="311">
        <v>309</v>
      </c>
      <c r="W69" s="328">
        <f t="shared" si="1"/>
        <v>6044</v>
      </c>
      <c r="X69" s="530">
        <v>5066</v>
      </c>
      <c r="Y69" s="296">
        <v>2020003630021</v>
      </c>
      <c r="Z69" s="297" t="s">
        <v>302</v>
      </c>
      <c r="AA69" s="297" t="s">
        <v>303</v>
      </c>
      <c r="AB69" s="40"/>
      <c r="AC69" s="40"/>
      <c r="AD69" s="40"/>
      <c r="AE69" s="44"/>
      <c r="AF69" s="44"/>
      <c r="AG69" s="44"/>
      <c r="AH69" s="44"/>
      <c r="AI69" s="44"/>
      <c r="AJ69" s="44"/>
      <c r="AK69" s="44"/>
      <c r="AL69" s="44"/>
      <c r="AM69" s="44"/>
      <c r="AN69" s="44"/>
      <c r="AO69" s="44"/>
      <c r="AP69" s="44"/>
      <c r="AQ69" s="44"/>
      <c r="AR69" s="44"/>
      <c r="AS69" s="44"/>
      <c r="AT69" s="357">
        <f>370000000+20000000+90000000</f>
        <v>480000000</v>
      </c>
      <c r="AU69" s="41">
        <v>448187500</v>
      </c>
      <c r="AV69" s="41">
        <v>260227500</v>
      </c>
      <c r="AW69" s="361"/>
      <c r="AX69" s="44"/>
      <c r="AY69" s="44"/>
      <c r="AZ69" s="358"/>
      <c r="BA69" s="44"/>
      <c r="BB69" s="44"/>
      <c r="BC69" s="361"/>
      <c r="BD69" s="44"/>
      <c r="BE69" s="44"/>
      <c r="BF69" s="298">
        <f>AB69+AE69+AH69+AK69+AN69+AQ69+AT69+AW69+BC69</f>
        <v>480000000</v>
      </c>
      <c r="BG69" s="298">
        <f t="shared" si="5"/>
        <v>448187500</v>
      </c>
      <c r="BH69" s="298">
        <f t="shared" si="6"/>
        <v>260227500</v>
      </c>
      <c r="BI69" s="30" t="s">
        <v>1473</v>
      </c>
      <c r="BK69" s="34"/>
      <c r="BL69" s="34"/>
    </row>
    <row r="70" spans="1:64" s="16" customFormat="1" ht="117" customHeight="1" x14ac:dyDescent="0.2">
      <c r="A70" s="29">
        <v>310</v>
      </c>
      <c r="B70" s="325" t="s">
        <v>1200</v>
      </c>
      <c r="C70" s="29">
        <v>1</v>
      </c>
      <c r="D70" s="325" t="s">
        <v>1196</v>
      </c>
      <c r="E70" s="29">
        <v>33</v>
      </c>
      <c r="F70" s="325" t="s">
        <v>132</v>
      </c>
      <c r="G70" s="29">
        <v>3301</v>
      </c>
      <c r="H70" s="325" t="s">
        <v>133</v>
      </c>
      <c r="I70" s="29">
        <v>3301</v>
      </c>
      <c r="J70" s="30" t="s">
        <v>1251</v>
      </c>
      <c r="K70" s="297" t="s">
        <v>1157</v>
      </c>
      <c r="L70" s="29">
        <v>3301073</v>
      </c>
      <c r="M70" s="30" t="s">
        <v>304</v>
      </c>
      <c r="N70" s="29">
        <v>3301073</v>
      </c>
      <c r="O70" s="30" t="s">
        <v>304</v>
      </c>
      <c r="P70" s="29">
        <v>330107301</v>
      </c>
      <c r="Q70" s="295" t="s">
        <v>305</v>
      </c>
      <c r="R70" s="29">
        <v>330107301</v>
      </c>
      <c r="S70" s="295" t="s">
        <v>305</v>
      </c>
      <c r="T70" s="299" t="s">
        <v>1470</v>
      </c>
      <c r="U70" s="311">
        <v>550</v>
      </c>
      <c r="V70" s="311">
        <v>50</v>
      </c>
      <c r="W70" s="328">
        <f t="shared" si="1"/>
        <v>600</v>
      </c>
      <c r="X70" s="530">
        <v>457</v>
      </c>
      <c r="Y70" s="296">
        <v>2020003630021</v>
      </c>
      <c r="Z70" s="297" t="s">
        <v>302</v>
      </c>
      <c r="AA70" s="297" t="s">
        <v>303</v>
      </c>
      <c r="AB70" s="44">
        <f>871588097+174317619+790301+158060+83733679.79</f>
        <v>1130587756.79</v>
      </c>
      <c r="AC70" s="44">
        <v>1077070538.04</v>
      </c>
      <c r="AD70" s="44">
        <v>695705500.07000005</v>
      </c>
      <c r="AE70" s="44"/>
      <c r="AF70" s="44"/>
      <c r="AG70" s="44"/>
      <c r="AH70" s="44"/>
      <c r="AI70" s="44"/>
      <c r="AJ70" s="44"/>
      <c r="AK70" s="44"/>
      <c r="AL70" s="44"/>
      <c r="AM70" s="44"/>
      <c r="AN70" s="44"/>
      <c r="AO70" s="44"/>
      <c r="AP70" s="44"/>
      <c r="AQ70" s="44"/>
      <c r="AR70" s="44"/>
      <c r="AS70" s="44"/>
      <c r="AT70" s="357">
        <f>150000000+50000000+8226708+182132000+100000000-8226708</f>
        <v>482132000</v>
      </c>
      <c r="AU70" s="42">
        <v>442383667</v>
      </c>
      <c r="AV70" s="42">
        <v>261792823</v>
      </c>
      <c r="AW70" s="361"/>
      <c r="AX70" s="44"/>
      <c r="AY70" s="44"/>
      <c r="AZ70" s="358"/>
      <c r="BA70" s="44"/>
      <c r="BB70" s="44"/>
      <c r="BC70" s="361"/>
      <c r="BD70" s="44"/>
      <c r="BE70" s="44"/>
      <c r="BF70" s="298">
        <f t="shared" si="4"/>
        <v>1612719756.79</v>
      </c>
      <c r="BG70" s="298">
        <f t="shared" si="5"/>
        <v>1519454205.04</v>
      </c>
      <c r="BH70" s="298">
        <f t="shared" si="6"/>
        <v>957498323.07000005</v>
      </c>
      <c r="BI70" s="30" t="s">
        <v>1473</v>
      </c>
      <c r="BK70" s="34"/>
      <c r="BL70" s="34"/>
    </row>
    <row r="71" spans="1:64" s="16" customFormat="1" ht="117" customHeight="1" x14ac:dyDescent="0.2">
      <c r="A71" s="29">
        <v>310</v>
      </c>
      <c r="B71" s="325" t="s">
        <v>1200</v>
      </c>
      <c r="C71" s="29">
        <v>1</v>
      </c>
      <c r="D71" s="325" t="s">
        <v>1196</v>
      </c>
      <c r="E71" s="29">
        <v>33</v>
      </c>
      <c r="F71" s="325" t="s">
        <v>132</v>
      </c>
      <c r="G71" s="29">
        <v>3301</v>
      </c>
      <c r="H71" s="325" t="s">
        <v>133</v>
      </c>
      <c r="I71" s="29">
        <v>3301</v>
      </c>
      <c r="J71" s="30" t="s">
        <v>1251</v>
      </c>
      <c r="K71" s="301" t="s">
        <v>134</v>
      </c>
      <c r="L71" s="29" t="s">
        <v>31</v>
      </c>
      <c r="M71" s="30" t="s">
        <v>306</v>
      </c>
      <c r="N71" s="29">
        <v>3301070</v>
      </c>
      <c r="O71" s="30" t="s">
        <v>307</v>
      </c>
      <c r="P71" s="29" t="s">
        <v>31</v>
      </c>
      <c r="Q71" s="295" t="s">
        <v>308</v>
      </c>
      <c r="R71" s="29">
        <v>330107000</v>
      </c>
      <c r="S71" s="295" t="s">
        <v>70</v>
      </c>
      <c r="T71" s="299" t="s">
        <v>1470</v>
      </c>
      <c r="U71" s="341">
        <v>0.4</v>
      </c>
      <c r="V71" s="341"/>
      <c r="W71" s="370">
        <f t="shared" si="1"/>
        <v>0.4</v>
      </c>
      <c r="X71" s="530">
        <v>0.3</v>
      </c>
      <c r="Y71" s="296">
        <v>2020003630021</v>
      </c>
      <c r="Z71" s="297" t="s">
        <v>302</v>
      </c>
      <c r="AA71" s="297" t="s">
        <v>303</v>
      </c>
      <c r="AB71" s="43"/>
      <c r="AC71" s="43"/>
      <c r="AD71" s="43"/>
      <c r="AE71" s="44"/>
      <c r="AF71" s="44"/>
      <c r="AG71" s="44"/>
      <c r="AH71" s="44"/>
      <c r="AI71" s="44"/>
      <c r="AJ71" s="44"/>
      <c r="AK71" s="44"/>
      <c r="AL71" s="44"/>
      <c r="AM71" s="44"/>
      <c r="AN71" s="44"/>
      <c r="AO71" s="44"/>
      <c r="AP71" s="44"/>
      <c r="AQ71" s="44"/>
      <c r="AR71" s="44"/>
      <c r="AS71" s="44"/>
      <c r="AT71" s="357">
        <f>36000000+8226708</f>
        <v>44226708</v>
      </c>
      <c r="AU71" s="41">
        <v>34500000</v>
      </c>
      <c r="AV71" s="41">
        <v>22500000</v>
      </c>
      <c r="AW71" s="361"/>
      <c r="AX71" s="44"/>
      <c r="AY71" s="44"/>
      <c r="AZ71" s="358"/>
      <c r="BA71" s="44"/>
      <c r="BB71" s="44"/>
      <c r="BC71" s="361"/>
      <c r="BD71" s="44"/>
      <c r="BE71" s="44"/>
      <c r="BF71" s="298">
        <f t="shared" si="4"/>
        <v>44226708</v>
      </c>
      <c r="BG71" s="298">
        <f t="shared" si="5"/>
        <v>34500000</v>
      </c>
      <c r="BH71" s="298">
        <f t="shared" si="6"/>
        <v>22500000</v>
      </c>
      <c r="BI71" s="30" t="s">
        <v>1473</v>
      </c>
      <c r="BK71" s="34"/>
      <c r="BL71" s="34"/>
    </row>
    <row r="72" spans="1:64" s="16" customFormat="1" ht="117" customHeight="1" x14ac:dyDescent="0.2">
      <c r="A72" s="29">
        <v>310</v>
      </c>
      <c r="B72" s="325" t="s">
        <v>1200</v>
      </c>
      <c r="C72" s="29">
        <v>1</v>
      </c>
      <c r="D72" s="325" t="s">
        <v>1196</v>
      </c>
      <c r="E72" s="29">
        <v>33</v>
      </c>
      <c r="F72" s="325" t="s">
        <v>132</v>
      </c>
      <c r="G72" s="29">
        <v>3301</v>
      </c>
      <c r="H72" s="325" t="s">
        <v>133</v>
      </c>
      <c r="I72" s="29">
        <v>3301</v>
      </c>
      <c r="J72" s="30" t="s">
        <v>1251</v>
      </c>
      <c r="K72" s="297" t="s">
        <v>1157</v>
      </c>
      <c r="L72" s="29">
        <v>3301099</v>
      </c>
      <c r="M72" s="30" t="s">
        <v>1133</v>
      </c>
      <c r="N72" s="29">
        <v>3301099</v>
      </c>
      <c r="O72" s="30" t="s">
        <v>1133</v>
      </c>
      <c r="P72" s="107">
        <v>330109900</v>
      </c>
      <c r="Q72" s="295" t="s">
        <v>1134</v>
      </c>
      <c r="R72" s="29">
        <v>330109900</v>
      </c>
      <c r="S72" s="295" t="s">
        <v>1134</v>
      </c>
      <c r="T72" s="299" t="s">
        <v>1469</v>
      </c>
      <c r="U72" s="311">
        <v>1</v>
      </c>
      <c r="V72" s="311"/>
      <c r="W72" s="328">
        <f t="shared" si="1"/>
        <v>1</v>
      </c>
      <c r="X72" s="530">
        <v>0.85</v>
      </c>
      <c r="Y72" s="296">
        <v>2020003630021</v>
      </c>
      <c r="Z72" s="297" t="s">
        <v>302</v>
      </c>
      <c r="AA72" s="297" t="s">
        <v>303</v>
      </c>
      <c r="AB72" s="43"/>
      <c r="AC72" s="43"/>
      <c r="AD72" s="43"/>
      <c r="AE72" s="44"/>
      <c r="AF72" s="44"/>
      <c r="AG72" s="44"/>
      <c r="AH72" s="44"/>
      <c r="AI72" s="44"/>
      <c r="AJ72" s="44"/>
      <c r="AK72" s="44"/>
      <c r="AL72" s="44"/>
      <c r="AM72" s="44"/>
      <c r="AN72" s="44"/>
      <c r="AO72" s="44"/>
      <c r="AP72" s="44"/>
      <c r="AQ72" s="44"/>
      <c r="AR72" s="44"/>
      <c r="AS72" s="44"/>
      <c r="AT72" s="357">
        <v>30000000</v>
      </c>
      <c r="AU72" s="41">
        <v>27450000</v>
      </c>
      <c r="AV72" s="41">
        <v>23850000</v>
      </c>
      <c r="AW72" s="361"/>
      <c r="AX72" s="44"/>
      <c r="AY72" s="44"/>
      <c r="AZ72" s="358"/>
      <c r="BA72" s="44"/>
      <c r="BB72" s="44"/>
      <c r="BC72" s="361"/>
      <c r="BD72" s="44"/>
      <c r="BE72" s="44"/>
      <c r="BF72" s="298">
        <f t="shared" si="4"/>
        <v>30000000</v>
      </c>
      <c r="BG72" s="298">
        <f t="shared" si="5"/>
        <v>27450000</v>
      </c>
      <c r="BH72" s="298">
        <f t="shared" si="6"/>
        <v>23850000</v>
      </c>
      <c r="BI72" s="30" t="s">
        <v>1473</v>
      </c>
      <c r="BK72" s="34"/>
      <c r="BL72" s="34"/>
    </row>
    <row r="73" spans="1:64" s="16" customFormat="1" ht="117" customHeight="1" x14ac:dyDescent="0.2">
      <c r="A73" s="29">
        <v>310</v>
      </c>
      <c r="B73" s="325" t="s">
        <v>1200</v>
      </c>
      <c r="C73" s="29">
        <v>1</v>
      </c>
      <c r="D73" s="325" t="s">
        <v>1196</v>
      </c>
      <c r="E73" s="29">
        <v>33</v>
      </c>
      <c r="F73" s="325" t="s">
        <v>132</v>
      </c>
      <c r="G73" s="29">
        <v>3301</v>
      </c>
      <c r="H73" s="325" t="s">
        <v>133</v>
      </c>
      <c r="I73" s="29">
        <v>3301</v>
      </c>
      <c r="J73" s="30" t="s">
        <v>1251</v>
      </c>
      <c r="K73" s="297" t="s">
        <v>1156</v>
      </c>
      <c r="L73" s="29">
        <v>3301052</v>
      </c>
      <c r="M73" s="30" t="s">
        <v>309</v>
      </c>
      <c r="N73" s="29">
        <v>3301052</v>
      </c>
      <c r="O73" s="30" t="s">
        <v>309</v>
      </c>
      <c r="P73" s="107">
        <v>330105203</v>
      </c>
      <c r="Q73" s="295" t="s">
        <v>310</v>
      </c>
      <c r="R73" s="107">
        <v>330105203</v>
      </c>
      <c r="S73" s="295" t="s">
        <v>310</v>
      </c>
      <c r="T73" s="299" t="s">
        <v>1469</v>
      </c>
      <c r="U73" s="311">
        <v>135</v>
      </c>
      <c r="V73" s="311"/>
      <c r="W73" s="328">
        <f t="shared" ref="W73:W136" si="7">U73+V73</f>
        <v>135</v>
      </c>
      <c r="X73" s="530">
        <v>0</v>
      </c>
      <c r="Y73" s="296">
        <v>2020003630021</v>
      </c>
      <c r="Z73" s="297" t="s">
        <v>302</v>
      </c>
      <c r="AA73" s="297" t="s">
        <v>303</v>
      </c>
      <c r="AB73" s="43"/>
      <c r="AC73" s="43"/>
      <c r="AD73" s="43"/>
      <c r="AE73" s="44"/>
      <c r="AF73" s="44"/>
      <c r="AG73" s="44"/>
      <c r="AH73" s="44"/>
      <c r="AI73" s="44"/>
      <c r="AJ73" s="44"/>
      <c r="AK73" s="44"/>
      <c r="AL73" s="44"/>
      <c r="AM73" s="44"/>
      <c r="AN73" s="44"/>
      <c r="AO73" s="44"/>
      <c r="AP73" s="44"/>
      <c r="AQ73" s="44"/>
      <c r="AR73" s="44"/>
      <c r="AS73" s="44"/>
      <c r="AT73" s="357">
        <v>20000000</v>
      </c>
      <c r="AU73" s="41">
        <v>0</v>
      </c>
      <c r="AV73" s="41">
        <v>0</v>
      </c>
      <c r="AW73" s="361"/>
      <c r="AX73" s="44"/>
      <c r="AY73" s="44"/>
      <c r="AZ73" s="358"/>
      <c r="BA73" s="44"/>
      <c r="BB73" s="44"/>
      <c r="BC73" s="361"/>
      <c r="BD73" s="44"/>
      <c r="BE73" s="44"/>
      <c r="BF73" s="298">
        <f t="shared" si="4"/>
        <v>20000000</v>
      </c>
      <c r="BG73" s="298">
        <f t="shared" si="5"/>
        <v>0</v>
      </c>
      <c r="BH73" s="298">
        <f t="shared" si="6"/>
        <v>0</v>
      </c>
      <c r="BI73" s="30" t="s">
        <v>1473</v>
      </c>
      <c r="BK73" s="34"/>
      <c r="BL73" s="34"/>
    </row>
    <row r="74" spans="1:64" s="16" customFormat="1" ht="117" customHeight="1" x14ac:dyDescent="0.2">
      <c r="A74" s="29">
        <v>310</v>
      </c>
      <c r="B74" s="325" t="s">
        <v>1200</v>
      </c>
      <c r="C74" s="29">
        <v>1</v>
      </c>
      <c r="D74" s="325" t="s">
        <v>1196</v>
      </c>
      <c r="E74" s="29">
        <v>33</v>
      </c>
      <c r="F74" s="325" t="s">
        <v>1397</v>
      </c>
      <c r="G74" s="29">
        <v>3301</v>
      </c>
      <c r="H74" s="325" t="s">
        <v>133</v>
      </c>
      <c r="I74" s="29">
        <v>3301</v>
      </c>
      <c r="J74" s="30" t="s">
        <v>1251</v>
      </c>
      <c r="K74" s="297" t="s">
        <v>1158</v>
      </c>
      <c r="L74" s="29">
        <v>3301085</v>
      </c>
      <c r="M74" s="30" t="s">
        <v>311</v>
      </c>
      <c r="N74" s="29">
        <v>3301085</v>
      </c>
      <c r="O74" s="30" t="s">
        <v>311</v>
      </c>
      <c r="P74" s="29" t="s">
        <v>312</v>
      </c>
      <c r="Q74" s="295" t="s">
        <v>313</v>
      </c>
      <c r="R74" s="29">
        <v>330108500</v>
      </c>
      <c r="S74" s="295" t="s">
        <v>313</v>
      </c>
      <c r="T74" s="299" t="s">
        <v>1470</v>
      </c>
      <c r="U74" s="311">
        <v>115000</v>
      </c>
      <c r="V74" s="311">
        <v>362</v>
      </c>
      <c r="W74" s="328">
        <f t="shared" si="7"/>
        <v>115362</v>
      </c>
      <c r="X74" s="300">
        <v>87382</v>
      </c>
      <c r="Y74" s="296">
        <v>2020003630020</v>
      </c>
      <c r="Z74" s="297" t="s">
        <v>314</v>
      </c>
      <c r="AA74" s="297" t="s">
        <v>315</v>
      </c>
      <c r="AB74" s="41">
        <f>110000000+68238766.06</f>
        <v>178238766.06</v>
      </c>
      <c r="AC74" s="41">
        <v>133970000</v>
      </c>
      <c r="AD74" s="41">
        <v>83930000</v>
      </c>
      <c r="AE74" s="44"/>
      <c r="AF74" s="44"/>
      <c r="AG74" s="44"/>
      <c r="AH74" s="44"/>
      <c r="AI74" s="44"/>
      <c r="AJ74" s="44"/>
      <c r="AK74" s="44"/>
      <c r="AL74" s="44"/>
      <c r="AM74" s="44"/>
      <c r="AN74" s="44"/>
      <c r="AO74" s="44"/>
      <c r="AP74" s="44"/>
      <c r="AQ74" s="44"/>
      <c r="AR74" s="44"/>
      <c r="AS74" s="44"/>
      <c r="AT74" s="356">
        <f>20000000+80000000+160000000</f>
        <v>260000000</v>
      </c>
      <c r="AU74" s="42">
        <v>237612500</v>
      </c>
      <c r="AV74" s="42">
        <v>175992500</v>
      </c>
      <c r="AW74" s="361"/>
      <c r="AX74" s="44"/>
      <c r="AY74" s="44"/>
      <c r="AZ74" s="358"/>
      <c r="BA74" s="44"/>
      <c r="BB74" s="44"/>
      <c r="BC74" s="361"/>
      <c r="BD74" s="44"/>
      <c r="BE74" s="44"/>
      <c r="BF74" s="298">
        <f t="shared" si="4"/>
        <v>438238766.06</v>
      </c>
      <c r="BG74" s="298">
        <f t="shared" si="5"/>
        <v>371582500</v>
      </c>
      <c r="BH74" s="298">
        <f t="shared" si="6"/>
        <v>259922500</v>
      </c>
      <c r="BI74" s="30" t="s">
        <v>1473</v>
      </c>
      <c r="BK74" s="34"/>
      <c r="BL74" s="34"/>
    </row>
    <row r="75" spans="1:64" s="16" customFormat="1" ht="117" customHeight="1" x14ac:dyDescent="0.2">
      <c r="A75" s="29">
        <v>310</v>
      </c>
      <c r="B75" s="325" t="s">
        <v>1200</v>
      </c>
      <c r="C75" s="29">
        <v>1</v>
      </c>
      <c r="D75" s="325" t="s">
        <v>1196</v>
      </c>
      <c r="E75" s="29">
        <v>33</v>
      </c>
      <c r="F75" s="325" t="s">
        <v>132</v>
      </c>
      <c r="G75" s="29">
        <v>3301</v>
      </c>
      <c r="H75" s="325" t="s">
        <v>133</v>
      </c>
      <c r="I75" s="29">
        <v>3301</v>
      </c>
      <c r="J75" s="30" t="s">
        <v>1251</v>
      </c>
      <c r="K75" s="297" t="s">
        <v>1158</v>
      </c>
      <c r="L75" s="29">
        <v>3301100</v>
      </c>
      <c r="M75" s="30" t="s">
        <v>316</v>
      </c>
      <c r="N75" s="29">
        <v>3301100</v>
      </c>
      <c r="O75" s="30" t="s">
        <v>316</v>
      </c>
      <c r="P75" s="107" t="s">
        <v>317</v>
      </c>
      <c r="Q75" s="295" t="s">
        <v>318</v>
      </c>
      <c r="R75" s="107">
        <v>330110000</v>
      </c>
      <c r="S75" s="295" t="s">
        <v>318</v>
      </c>
      <c r="T75" s="299" t="s">
        <v>1470</v>
      </c>
      <c r="U75" s="311">
        <v>15</v>
      </c>
      <c r="V75" s="311"/>
      <c r="W75" s="328">
        <f t="shared" si="7"/>
        <v>15</v>
      </c>
      <c r="X75" s="530">
        <v>6</v>
      </c>
      <c r="Y75" s="296">
        <v>2020003630020</v>
      </c>
      <c r="Z75" s="30" t="s">
        <v>314</v>
      </c>
      <c r="AA75" s="297" t="s">
        <v>315</v>
      </c>
      <c r="AB75" s="41">
        <f>64475679+40000000</f>
        <v>104475679</v>
      </c>
      <c r="AC75" s="41">
        <v>81765000</v>
      </c>
      <c r="AD75" s="41">
        <v>53470000</v>
      </c>
      <c r="AE75" s="44"/>
      <c r="AF75" s="44"/>
      <c r="AG75" s="44"/>
      <c r="AH75" s="44"/>
      <c r="AI75" s="44"/>
      <c r="AJ75" s="44"/>
      <c r="AK75" s="44"/>
      <c r="AL75" s="44"/>
      <c r="AM75" s="44"/>
      <c r="AN75" s="44"/>
      <c r="AO75" s="44"/>
      <c r="AP75" s="44"/>
      <c r="AQ75" s="44"/>
      <c r="AR75" s="44"/>
      <c r="AS75" s="44"/>
      <c r="AT75" s="358">
        <v>18000000</v>
      </c>
      <c r="AU75" s="44">
        <v>14225000</v>
      </c>
      <c r="AV75" s="44">
        <v>12425000</v>
      </c>
      <c r="AW75" s="361"/>
      <c r="AX75" s="44"/>
      <c r="AY75" s="44"/>
      <c r="AZ75" s="358"/>
      <c r="BA75" s="44"/>
      <c r="BB75" s="44"/>
      <c r="BC75" s="361"/>
      <c r="BD75" s="44"/>
      <c r="BE75" s="44"/>
      <c r="BF75" s="298">
        <f t="shared" si="4"/>
        <v>122475679</v>
      </c>
      <c r="BG75" s="298">
        <f t="shared" si="5"/>
        <v>95990000</v>
      </c>
      <c r="BH75" s="298">
        <f t="shared" si="6"/>
        <v>65895000</v>
      </c>
      <c r="BI75" s="30" t="s">
        <v>1473</v>
      </c>
      <c r="BK75" s="34"/>
      <c r="BL75" s="34"/>
    </row>
    <row r="76" spans="1:64" s="16" customFormat="1" ht="117" customHeight="1" x14ac:dyDescent="0.2">
      <c r="A76" s="29">
        <v>310</v>
      </c>
      <c r="B76" s="325" t="s">
        <v>1200</v>
      </c>
      <c r="C76" s="29">
        <v>1</v>
      </c>
      <c r="D76" s="325" t="s">
        <v>1196</v>
      </c>
      <c r="E76" s="29">
        <v>33</v>
      </c>
      <c r="F76" s="325" t="s">
        <v>132</v>
      </c>
      <c r="G76" s="29">
        <v>3301</v>
      </c>
      <c r="H76" s="325" t="s">
        <v>133</v>
      </c>
      <c r="I76" s="29">
        <v>3301</v>
      </c>
      <c r="J76" s="30" t="s">
        <v>1251</v>
      </c>
      <c r="K76" s="297" t="s">
        <v>1157</v>
      </c>
      <c r="L76" s="29">
        <v>3301095</v>
      </c>
      <c r="M76" s="30" t="s">
        <v>319</v>
      </c>
      <c r="N76" s="29">
        <v>3301095</v>
      </c>
      <c r="O76" s="30" t="s">
        <v>319</v>
      </c>
      <c r="P76" s="29" t="s">
        <v>320</v>
      </c>
      <c r="Q76" s="295" t="s">
        <v>321</v>
      </c>
      <c r="R76" s="29">
        <v>330109500</v>
      </c>
      <c r="S76" s="30" t="s">
        <v>321</v>
      </c>
      <c r="T76" s="299" t="s">
        <v>1470</v>
      </c>
      <c r="U76" s="311">
        <v>150</v>
      </c>
      <c r="V76" s="311"/>
      <c r="W76" s="328">
        <f t="shared" si="7"/>
        <v>150</v>
      </c>
      <c r="X76" s="530">
        <v>0</v>
      </c>
      <c r="Y76" s="296">
        <v>2020003630072</v>
      </c>
      <c r="Z76" s="297" t="s">
        <v>1350</v>
      </c>
      <c r="AA76" s="297" t="s">
        <v>323</v>
      </c>
      <c r="AB76" s="44">
        <f>174317619+158060+252294235.73</f>
        <v>426769914.73000002</v>
      </c>
      <c r="AC76" s="44">
        <v>0</v>
      </c>
      <c r="AD76" s="44">
        <v>0</v>
      </c>
      <c r="AE76" s="44"/>
      <c r="AF76" s="44"/>
      <c r="AG76" s="44"/>
      <c r="AH76" s="44"/>
      <c r="AI76" s="44"/>
      <c r="AJ76" s="44"/>
      <c r="AK76" s="44"/>
      <c r="AL76" s="44"/>
      <c r="AM76" s="44"/>
      <c r="AN76" s="44"/>
      <c r="AO76" s="44"/>
      <c r="AP76" s="44"/>
      <c r="AQ76" s="44"/>
      <c r="AR76" s="44"/>
      <c r="AS76" s="44"/>
      <c r="AT76" s="357">
        <v>20000000</v>
      </c>
      <c r="AU76" s="41">
        <v>18382500</v>
      </c>
      <c r="AV76" s="41">
        <v>14782500</v>
      </c>
      <c r="AW76" s="361"/>
      <c r="AX76" s="44"/>
      <c r="AY76" s="44"/>
      <c r="AZ76" s="358"/>
      <c r="BA76" s="44"/>
      <c r="BB76" s="44"/>
      <c r="BC76" s="361"/>
      <c r="BD76" s="44"/>
      <c r="BE76" s="44"/>
      <c r="BF76" s="298">
        <f t="shared" si="4"/>
        <v>446769914.73000002</v>
      </c>
      <c r="BG76" s="298">
        <f t="shared" si="5"/>
        <v>18382500</v>
      </c>
      <c r="BH76" s="298">
        <f t="shared" si="6"/>
        <v>14782500</v>
      </c>
      <c r="BI76" s="30" t="s">
        <v>1473</v>
      </c>
      <c r="BK76" s="34"/>
      <c r="BL76" s="34"/>
    </row>
    <row r="77" spans="1:64" s="16" customFormat="1" ht="117" customHeight="1" x14ac:dyDescent="0.2">
      <c r="A77" s="29">
        <v>310</v>
      </c>
      <c r="B77" s="325" t="s">
        <v>1200</v>
      </c>
      <c r="C77" s="29">
        <v>1</v>
      </c>
      <c r="D77" s="325" t="s">
        <v>1196</v>
      </c>
      <c r="E77" s="29">
        <v>33</v>
      </c>
      <c r="F77" s="325" t="s">
        <v>132</v>
      </c>
      <c r="G77" s="29">
        <v>3302</v>
      </c>
      <c r="H77" s="325" t="s">
        <v>324</v>
      </c>
      <c r="I77" s="29">
        <v>3302</v>
      </c>
      <c r="J77" s="30" t="s">
        <v>1252</v>
      </c>
      <c r="K77" s="297" t="s">
        <v>1159</v>
      </c>
      <c r="L77" s="106">
        <v>3302042</v>
      </c>
      <c r="M77" s="30" t="s">
        <v>325</v>
      </c>
      <c r="N77" s="106">
        <v>3302042</v>
      </c>
      <c r="O77" s="30" t="s">
        <v>325</v>
      </c>
      <c r="P77" s="29" t="s">
        <v>326</v>
      </c>
      <c r="Q77" s="295" t="s">
        <v>327</v>
      </c>
      <c r="R77" s="29">
        <v>330204200</v>
      </c>
      <c r="S77" s="295" t="s">
        <v>327</v>
      </c>
      <c r="T77" s="299" t="s">
        <v>1470</v>
      </c>
      <c r="U77" s="311">
        <v>12</v>
      </c>
      <c r="V77" s="311"/>
      <c r="W77" s="328">
        <f t="shared" si="7"/>
        <v>12</v>
      </c>
      <c r="X77" s="530">
        <v>10</v>
      </c>
      <c r="Y77" s="296">
        <v>2020003630073</v>
      </c>
      <c r="Z77" s="297" t="s">
        <v>1351</v>
      </c>
      <c r="AA77" s="297" t="s">
        <v>329</v>
      </c>
      <c r="AB77" s="44"/>
      <c r="AC77" s="44"/>
      <c r="AD77" s="44"/>
      <c r="AE77" s="44"/>
      <c r="AF77" s="44"/>
      <c r="AG77" s="44"/>
      <c r="AH77" s="44"/>
      <c r="AI77" s="44"/>
      <c r="AJ77" s="44"/>
      <c r="AK77" s="44"/>
      <c r="AL77" s="44"/>
      <c r="AM77" s="44"/>
      <c r="AN77" s="44"/>
      <c r="AO77" s="44"/>
      <c r="AP77" s="44"/>
      <c r="AQ77" s="44"/>
      <c r="AR77" s="44"/>
      <c r="AS77" s="44"/>
      <c r="AT77" s="356">
        <f>66500000+10000000</f>
        <v>76500000</v>
      </c>
      <c r="AU77" s="42">
        <v>75790000</v>
      </c>
      <c r="AV77" s="42">
        <v>68890000</v>
      </c>
      <c r="AW77" s="362"/>
      <c r="AX77" s="40"/>
      <c r="AY77" s="40"/>
      <c r="AZ77" s="401"/>
      <c r="BA77" s="40"/>
      <c r="BB77" s="40"/>
      <c r="BC77" s="366"/>
      <c r="BD77" s="108"/>
      <c r="BE77" s="108"/>
      <c r="BF77" s="298">
        <f t="shared" si="4"/>
        <v>76500000</v>
      </c>
      <c r="BG77" s="298">
        <f t="shared" si="5"/>
        <v>75790000</v>
      </c>
      <c r="BH77" s="298">
        <f t="shared" si="6"/>
        <v>68890000</v>
      </c>
      <c r="BI77" s="30" t="s">
        <v>1473</v>
      </c>
      <c r="BK77" s="34"/>
      <c r="BL77" s="34"/>
    </row>
    <row r="78" spans="1:64" s="16" customFormat="1" ht="117" customHeight="1" x14ac:dyDescent="0.2">
      <c r="A78" s="29">
        <v>310</v>
      </c>
      <c r="B78" s="325" t="s">
        <v>1200</v>
      </c>
      <c r="C78" s="29">
        <v>1</v>
      </c>
      <c r="D78" s="325" t="s">
        <v>1196</v>
      </c>
      <c r="E78" s="29">
        <v>33</v>
      </c>
      <c r="F78" s="325" t="s">
        <v>132</v>
      </c>
      <c r="G78" s="29">
        <v>3302</v>
      </c>
      <c r="H78" s="325" t="s">
        <v>324</v>
      </c>
      <c r="I78" s="29">
        <v>3302</v>
      </c>
      <c r="J78" s="30" t="s">
        <v>1252</v>
      </c>
      <c r="K78" s="297" t="s">
        <v>1159</v>
      </c>
      <c r="L78" s="106">
        <v>3302070</v>
      </c>
      <c r="M78" s="30" t="s">
        <v>330</v>
      </c>
      <c r="N78" s="106">
        <v>3302070</v>
      </c>
      <c r="O78" s="30" t="s">
        <v>330</v>
      </c>
      <c r="P78" s="107" t="s">
        <v>331</v>
      </c>
      <c r="Q78" s="295" t="s">
        <v>318</v>
      </c>
      <c r="R78" s="107">
        <v>330207000</v>
      </c>
      <c r="S78" s="295" t="s">
        <v>318</v>
      </c>
      <c r="T78" s="299" t="s">
        <v>1469</v>
      </c>
      <c r="U78" s="311">
        <v>4</v>
      </c>
      <c r="V78" s="311"/>
      <c r="W78" s="328">
        <f t="shared" si="7"/>
        <v>4</v>
      </c>
      <c r="X78" s="530">
        <v>3</v>
      </c>
      <c r="Y78" s="296">
        <v>2020003630073</v>
      </c>
      <c r="Z78" s="297" t="s">
        <v>1351</v>
      </c>
      <c r="AA78" s="297" t="s">
        <v>329</v>
      </c>
      <c r="AB78" s="40"/>
      <c r="AC78" s="40"/>
      <c r="AD78" s="40"/>
      <c r="AE78" s="44"/>
      <c r="AF78" s="44"/>
      <c r="AG78" s="44"/>
      <c r="AH78" s="44"/>
      <c r="AI78" s="44"/>
      <c r="AJ78" s="44"/>
      <c r="AK78" s="44"/>
      <c r="AL78" s="44"/>
      <c r="AM78" s="44"/>
      <c r="AN78" s="44"/>
      <c r="AO78" s="44"/>
      <c r="AP78" s="44"/>
      <c r="AQ78" s="44"/>
      <c r="AR78" s="44"/>
      <c r="AS78" s="44"/>
      <c r="AT78" s="356">
        <f>66500000+28000000</f>
        <v>94500000</v>
      </c>
      <c r="AU78" s="42">
        <v>84452500</v>
      </c>
      <c r="AV78" s="42">
        <v>50982500</v>
      </c>
      <c r="AW78" s="42">
        <f>141163803+34433.3-37304381</f>
        <v>103893855.30000001</v>
      </c>
      <c r="AX78" s="108">
        <v>95209422</v>
      </c>
      <c r="AY78" s="108"/>
      <c r="AZ78" s="354"/>
      <c r="BA78" s="108"/>
      <c r="BB78" s="108"/>
      <c r="BC78" s="366"/>
      <c r="BD78" s="108"/>
      <c r="BE78" s="108"/>
      <c r="BF78" s="298">
        <f>AB78+AE78+AH78+AK78+AN78+AQ78+AT78+AW78+BC78</f>
        <v>198393855.30000001</v>
      </c>
      <c r="BG78" s="298">
        <f t="shared" si="5"/>
        <v>179661922</v>
      </c>
      <c r="BH78" s="298">
        <f t="shared" si="6"/>
        <v>50982500</v>
      </c>
      <c r="BI78" s="30" t="s">
        <v>1473</v>
      </c>
      <c r="BK78" s="34"/>
      <c r="BL78" s="34"/>
    </row>
    <row r="79" spans="1:64" s="16" customFormat="1" ht="117" customHeight="1" x14ac:dyDescent="0.2">
      <c r="A79" s="29">
        <v>311</v>
      </c>
      <c r="B79" s="325" t="s">
        <v>1202</v>
      </c>
      <c r="C79" s="90">
        <v>2</v>
      </c>
      <c r="D79" s="325" t="s">
        <v>1197</v>
      </c>
      <c r="E79" s="29">
        <v>35</v>
      </c>
      <c r="F79" s="325" t="s">
        <v>334</v>
      </c>
      <c r="G79" s="29">
        <v>3502</v>
      </c>
      <c r="H79" s="325" t="s">
        <v>1366</v>
      </c>
      <c r="I79" s="29">
        <v>3502</v>
      </c>
      <c r="J79" s="30" t="s">
        <v>1253</v>
      </c>
      <c r="K79" s="297" t="s">
        <v>336</v>
      </c>
      <c r="L79" s="29">
        <v>3502006</v>
      </c>
      <c r="M79" s="30" t="s">
        <v>337</v>
      </c>
      <c r="N79" s="90">
        <v>3502006</v>
      </c>
      <c r="O79" s="30" t="s">
        <v>337</v>
      </c>
      <c r="P79" s="29" t="s">
        <v>338</v>
      </c>
      <c r="Q79" s="295" t="s">
        <v>339</v>
      </c>
      <c r="R79" s="29">
        <v>350200600</v>
      </c>
      <c r="S79" s="295" t="s">
        <v>339</v>
      </c>
      <c r="T79" s="299" t="s">
        <v>1470</v>
      </c>
      <c r="U79" s="311">
        <v>1</v>
      </c>
      <c r="V79" s="311"/>
      <c r="W79" s="328">
        <f t="shared" si="7"/>
        <v>1</v>
      </c>
      <c r="X79" s="530">
        <v>0.75</v>
      </c>
      <c r="Y79" s="296">
        <v>2020003630074</v>
      </c>
      <c r="Z79" s="297" t="s">
        <v>340</v>
      </c>
      <c r="AA79" s="297" t="s">
        <v>341</v>
      </c>
      <c r="AB79" s="44"/>
      <c r="AC79" s="44"/>
      <c r="AD79" s="44"/>
      <c r="AE79" s="44"/>
      <c r="AF79" s="44"/>
      <c r="AG79" s="44"/>
      <c r="AH79" s="44"/>
      <c r="AI79" s="44"/>
      <c r="AJ79" s="44"/>
      <c r="AK79" s="44"/>
      <c r="AL79" s="44"/>
      <c r="AM79" s="44"/>
      <c r="AN79" s="44"/>
      <c r="AO79" s="44"/>
      <c r="AP79" s="44"/>
      <c r="AQ79" s="44"/>
      <c r="AR79" s="44"/>
      <c r="AS79" s="44"/>
      <c r="AT79" s="356">
        <f>50000000+15970000+38117500</f>
        <v>104087500</v>
      </c>
      <c r="AU79" s="42">
        <v>100386666</v>
      </c>
      <c r="AV79" s="42">
        <v>65250000</v>
      </c>
      <c r="AW79" s="361"/>
      <c r="AX79" s="44"/>
      <c r="AY79" s="44"/>
      <c r="AZ79" s="358"/>
      <c r="BA79" s="44"/>
      <c r="BB79" s="44"/>
      <c r="BC79" s="361"/>
      <c r="BD79" s="44"/>
      <c r="BE79" s="44"/>
      <c r="BF79" s="298">
        <f t="shared" si="4"/>
        <v>104087500</v>
      </c>
      <c r="BG79" s="298">
        <f t="shared" si="5"/>
        <v>100386666</v>
      </c>
      <c r="BH79" s="298">
        <f t="shared" si="6"/>
        <v>65250000</v>
      </c>
      <c r="BI79" s="387" t="s">
        <v>1478</v>
      </c>
      <c r="BK79" s="34"/>
      <c r="BL79" s="34"/>
    </row>
    <row r="80" spans="1:64" s="16" customFormat="1" ht="117" customHeight="1" x14ac:dyDescent="0.2">
      <c r="A80" s="29">
        <v>311</v>
      </c>
      <c r="B80" s="325" t="s">
        <v>1202</v>
      </c>
      <c r="C80" s="90">
        <v>2</v>
      </c>
      <c r="D80" s="325" t="s">
        <v>1197</v>
      </c>
      <c r="E80" s="29">
        <v>35</v>
      </c>
      <c r="F80" s="325" t="s">
        <v>334</v>
      </c>
      <c r="G80" s="29">
        <v>3502</v>
      </c>
      <c r="H80" s="325" t="s">
        <v>1366</v>
      </c>
      <c r="I80" s="29">
        <v>3502</v>
      </c>
      <c r="J80" s="30" t="s">
        <v>1253</v>
      </c>
      <c r="K80" s="297" t="s">
        <v>336</v>
      </c>
      <c r="L80" s="29">
        <v>3502007</v>
      </c>
      <c r="M80" s="30" t="s">
        <v>342</v>
      </c>
      <c r="N80" s="90">
        <v>3502007</v>
      </c>
      <c r="O80" s="30" t="s">
        <v>342</v>
      </c>
      <c r="P80" s="29" t="s">
        <v>343</v>
      </c>
      <c r="Q80" s="295" t="s">
        <v>344</v>
      </c>
      <c r="R80" s="29">
        <v>350200700</v>
      </c>
      <c r="S80" s="295" t="s">
        <v>344</v>
      </c>
      <c r="T80" s="299" t="s">
        <v>1469</v>
      </c>
      <c r="U80" s="311">
        <v>7</v>
      </c>
      <c r="V80" s="311"/>
      <c r="W80" s="328">
        <f t="shared" si="7"/>
        <v>7</v>
      </c>
      <c r="X80" s="530">
        <v>1</v>
      </c>
      <c r="Y80" s="296">
        <v>2020003630074</v>
      </c>
      <c r="Z80" s="297" t="s">
        <v>340</v>
      </c>
      <c r="AA80" s="297" t="s">
        <v>341</v>
      </c>
      <c r="AB80" s="44"/>
      <c r="AC80" s="44"/>
      <c r="AD80" s="44"/>
      <c r="AE80" s="44"/>
      <c r="AF80" s="44"/>
      <c r="AG80" s="44"/>
      <c r="AH80" s="44"/>
      <c r="AI80" s="44"/>
      <c r="AJ80" s="44"/>
      <c r="AK80" s="44"/>
      <c r="AL80" s="44"/>
      <c r="AM80" s="44"/>
      <c r="AN80" s="44"/>
      <c r="AO80" s="44"/>
      <c r="AP80" s="44"/>
      <c r="AQ80" s="44"/>
      <c r="AR80" s="44"/>
      <c r="AS80" s="44"/>
      <c r="AT80" s="356">
        <f>27000000+23000000+3092500</f>
        <v>53092500</v>
      </c>
      <c r="AU80" s="42">
        <v>29400000</v>
      </c>
      <c r="AV80" s="42">
        <v>17310000</v>
      </c>
      <c r="AW80" s="361"/>
      <c r="AX80" s="44"/>
      <c r="AY80" s="44"/>
      <c r="AZ80" s="358"/>
      <c r="BA80" s="44"/>
      <c r="BB80" s="44"/>
      <c r="BC80" s="361"/>
      <c r="BD80" s="44"/>
      <c r="BE80" s="44"/>
      <c r="BF80" s="298">
        <f t="shared" si="4"/>
        <v>53092500</v>
      </c>
      <c r="BG80" s="298">
        <f t="shared" si="5"/>
        <v>29400000</v>
      </c>
      <c r="BH80" s="298">
        <f t="shared" si="6"/>
        <v>17310000</v>
      </c>
      <c r="BI80" s="387" t="s">
        <v>1478</v>
      </c>
      <c r="BK80" s="34"/>
      <c r="BL80" s="34"/>
    </row>
    <row r="81" spans="1:64" s="16" customFormat="1" ht="117" customHeight="1" x14ac:dyDescent="0.2">
      <c r="A81" s="29">
        <v>311</v>
      </c>
      <c r="B81" s="325" t="s">
        <v>1202</v>
      </c>
      <c r="C81" s="90">
        <v>2</v>
      </c>
      <c r="D81" s="325" t="s">
        <v>1197</v>
      </c>
      <c r="E81" s="29">
        <v>35</v>
      </c>
      <c r="F81" s="325" t="s">
        <v>334</v>
      </c>
      <c r="G81" s="29">
        <v>3502</v>
      </c>
      <c r="H81" s="325" t="s">
        <v>1366</v>
      </c>
      <c r="I81" s="29">
        <v>3502</v>
      </c>
      <c r="J81" s="30" t="s">
        <v>1253</v>
      </c>
      <c r="K81" s="297" t="s">
        <v>336</v>
      </c>
      <c r="L81" s="192">
        <v>3502022</v>
      </c>
      <c r="M81" s="30" t="s">
        <v>1135</v>
      </c>
      <c r="N81" s="192">
        <v>3502022</v>
      </c>
      <c r="O81" s="30" t="s">
        <v>1135</v>
      </c>
      <c r="P81" s="287" t="s">
        <v>345</v>
      </c>
      <c r="Q81" s="295" t="s">
        <v>346</v>
      </c>
      <c r="R81" s="29">
        <v>350202200</v>
      </c>
      <c r="S81" s="295" t="s">
        <v>346</v>
      </c>
      <c r="T81" s="299" t="s">
        <v>1469</v>
      </c>
      <c r="U81" s="311">
        <v>14</v>
      </c>
      <c r="V81" s="311"/>
      <c r="W81" s="328">
        <f t="shared" si="7"/>
        <v>14</v>
      </c>
      <c r="X81" s="530">
        <v>10</v>
      </c>
      <c r="Y81" s="296">
        <v>2020003630075</v>
      </c>
      <c r="Z81" s="297" t="s">
        <v>1388</v>
      </c>
      <c r="AA81" s="297" t="s">
        <v>348</v>
      </c>
      <c r="AB81" s="44"/>
      <c r="AC81" s="44"/>
      <c r="AD81" s="44"/>
      <c r="AE81" s="44"/>
      <c r="AF81" s="44"/>
      <c r="AG81" s="44"/>
      <c r="AH81" s="44"/>
      <c r="AI81" s="44"/>
      <c r="AJ81" s="44"/>
      <c r="AK81" s="44"/>
      <c r="AL81" s="44"/>
      <c r="AM81" s="44"/>
      <c r="AN81" s="44"/>
      <c r="AO81" s="44"/>
      <c r="AP81" s="44"/>
      <c r="AQ81" s="44"/>
      <c r="AR81" s="44"/>
      <c r="AS81" s="44"/>
      <c r="AT81" s="535">
        <f>90000000+160000000-90000000+6236000+125000000+55683168+15000000</f>
        <v>361919168</v>
      </c>
      <c r="AU81" s="42">
        <v>319629999</v>
      </c>
      <c r="AV81" s="42">
        <v>112305000</v>
      </c>
      <c r="AW81" s="361"/>
      <c r="AX81" s="44"/>
      <c r="AY81" s="44"/>
      <c r="AZ81" s="358"/>
      <c r="BA81" s="44"/>
      <c r="BB81" s="44"/>
      <c r="BC81" s="361"/>
      <c r="BD81" s="44"/>
      <c r="BE81" s="44"/>
      <c r="BF81" s="298">
        <f t="shared" si="4"/>
        <v>361919168</v>
      </c>
      <c r="BG81" s="298">
        <f t="shared" si="5"/>
        <v>319629999</v>
      </c>
      <c r="BH81" s="298">
        <f t="shared" si="6"/>
        <v>112305000</v>
      </c>
      <c r="BI81" s="387" t="s">
        <v>1478</v>
      </c>
      <c r="BK81" s="34"/>
      <c r="BL81" s="34"/>
    </row>
    <row r="82" spans="1:64" s="16" customFormat="1" ht="117" customHeight="1" x14ac:dyDescent="0.2">
      <c r="A82" s="29">
        <v>311</v>
      </c>
      <c r="B82" s="325" t="s">
        <v>1202</v>
      </c>
      <c r="C82" s="90">
        <v>2</v>
      </c>
      <c r="D82" s="325" t="s">
        <v>1197</v>
      </c>
      <c r="E82" s="29">
        <v>35</v>
      </c>
      <c r="F82" s="325" t="s">
        <v>334</v>
      </c>
      <c r="G82" s="29">
        <v>3502</v>
      </c>
      <c r="H82" s="325" t="s">
        <v>1366</v>
      </c>
      <c r="I82" s="29">
        <v>3502</v>
      </c>
      <c r="J82" s="30" t="s">
        <v>1253</v>
      </c>
      <c r="K82" s="297" t="s">
        <v>349</v>
      </c>
      <c r="L82" s="192">
        <v>3502039</v>
      </c>
      <c r="M82" s="30" t="s">
        <v>350</v>
      </c>
      <c r="N82" s="192">
        <v>3502039</v>
      </c>
      <c r="O82" s="30" t="s">
        <v>350</v>
      </c>
      <c r="P82" s="29" t="s">
        <v>351</v>
      </c>
      <c r="Q82" s="295" t="s">
        <v>86</v>
      </c>
      <c r="R82" s="29">
        <v>350203900</v>
      </c>
      <c r="S82" s="295" t="s">
        <v>86</v>
      </c>
      <c r="T82" s="299" t="s">
        <v>1469</v>
      </c>
      <c r="U82" s="311">
        <v>12</v>
      </c>
      <c r="V82" s="311"/>
      <c r="W82" s="328">
        <f t="shared" si="7"/>
        <v>12</v>
      </c>
      <c r="X82" s="530">
        <v>12</v>
      </c>
      <c r="Y82" s="296">
        <v>2020003630076</v>
      </c>
      <c r="Z82" s="297" t="s">
        <v>1289</v>
      </c>
      <c r="AA82" s="297" t="s">
        <v>352</v>
      </c>
      <c r="AB82" s="44"/>
      <c r="AC82" s="44"/>
      <c r="AD82" s="44"/>
      <c r="AE82" s="44"/>
      <c r="AF82" s="44"/>
      <c r="AG82" s="44"/>
      <c r="AH82" s="44"/>
      <c r="AI82" s="44"/>
      <c r="AJ82" s="44"/>
      <c r="AK82" s="44"/>
      <c r="AL82" s="44"/>
      <c r="AM82" s="44"/>
      <c r="AN82" s="44"/>
      <c r="AO82" s="44"/>
      <c r="AP82" s="44"/>
      <c r="AQ82" s="44"/>
      <c r="AR82" s="44"/>
      <c r="AS82" s="44"/>
      <c r="AT82" s="356">
        <f>80000000+65000000+133700000+150000000+15610833+42957390</f>
        <v>487268223</v>
      </c>
      <c r="AU82" s="42">
        <v>236328833</v>
      </c>
      <c r="AV82" s="42">
        <v>177150000</v>
      </c>
      <c r="AW82" s="361"/>
      <c r="AX82" s="44"/>
      <c r="AY82" s="44"/>
      <c r="AZ82" s="358"/>
      <c r="BA82" s="44"/>
      <c r="BB82" s="44"/>
      <c r="BC82" s="361"/>
      <c r="BD82" s="44"/>
      <c r="BE82" s="44"/>
      <c r="BF82" s="298">
        <f t="shared" si="4"/>
        <v>487268223</v>
      </c>
      <c r="BG82" s="298">
        <f t="shared" si="5"/>
        <v>236328833</v>
      </c>
      <c r="BH82" s="298">
        <f t="shared" si="6"/>
        <v>177150000</v>
      </c>
      <c r="BI82" s="387" t="s">
        <v>1478</v>
      </c>
      <c r="BK82" s="34"/>
      <c r="BL82" s="34"/>
    </row>
    <row r="83" spans="1:64" s="34" customFormat="1" ht="117" customHeight="1" x14ac:dyDescent="0.25">
      <c r="A83" s="29">
        <v>311</v>
      </c>
      <c r="B83" s="325" t="s">
        <v>1202</v>
      </c>
      <c r="C83" s="90">
        <v>2</v>
      </c>
      <c r="D83" s="325" t="s">
        <v>1197</v>
      </c>
      <c r="E83" s="29">
        <v>35</v>
      </c>
      <c r="F83" s="325" t="s">
        <v>334</v>
      </c>
      <c r="G83" s="29">
        <v>3502</v>
      </c>
      <c r="H83" s="325" t="s">
        <v>1366</v>
      </c>
      <c r="I83" s="29">
        <v>3502</v>
      </c>
      <c r="J83" s="30" t="s">
        <v>1253</v>
      </c>
      <c r="K83" s="297" t="s">
        <v>349</v>
      </c>
      <c r="L83" s="192">
        <v>3502039</v>
      </c>
      <c r="M83" s="30" t="s">
        <v>350</v>
      </c>
      <c r="N83" s="192">
        <v>3502039</v>
      </c>
      <c r="O83" s="30" t="s">
        <v>350</v>
      </c>
      <c r="P83" s="287">
        <v>350203910</v>
      </c>
      <c r="Q83" s="295" t="s">
        <v>353</v>
      </c>
      <c r="R83" s="287">
        <v>350203910</v>
      </c>
      <c r="S83" s="295" t="s">
        <v>353</v>
      </c>
      <c r="T83" s="299" t="s">
        <v>1470</v>
      </c>
      <c r="U83" s="311">
        <v>2</v>
      </c>
      <c r="V83" s="311"/>
      <c r="W83" s="328">
        <f t="shared" si="7"/>
        <v>2</v>
      </c>
      <c r="X83" s="530">
        <v>0</v>
      </c>
      <c r="Y83" s="296">
        <v>2020003630076</v>
      </c>
      <c r="Z83" s="297" t="s">
        <v>1289</v>
      </c>
      <c r="AA83" s="297" t="s">
        <v>352</v>
      </c>
      <c r="AB83" s="44"/>
      <c r="AC83" s="44"/>
      <c r="AD83" s="44"/>
      <c r="AE83" s="44"/>
      <c r="AF83" s="44"/>
      <c r="AG83" s="44"/>
      <c r="AH83" s="44"/>
      <c r="AI83" s="44"/>
      <c r="AJ83" s="44"/>
      <c r="AK83" s="44"/>
      <c r="AL83" s="44"/>
      <c r="AM83" s="44"/>
      <c r="AN83" s="44"/>
      <c r="AO83" s="44"/>
      <c r="AP83" s="44"/>
      <c r="AQ83" s="44"/>
      <c r="AR83" s="44"/>
      <c r="AS83" s="44"/>
      <c r="AT83" s="356">
        <f>100000000+18000000-65000000</f>
        <v>53000000</v>
      </c>
      <c r="AU83" s="42">
        <v>0</v>
      </c>
      <c r="AV83" s="42">
        <v>0</v>
      </c>
      <c r="AW83" s="361"/>
      <c r="AX83" s="44"/>
      <c r="AY83" s="44"/>
      <c r="AZ83" s="358"/>
      <c r="BA83" s="44"/>
      <c r="BB83" s="44"/>
      <c r="BC83" s="361"/>
      <c r="BD83" s="44"/>
      <c r="BE83" s="44"/>
      <c r="BF83" s="298">
        <f t="shared" si="4"/>
        <v>53000000</v>
      </c>
      <c r="BG83" s="298">
        <f t="shared" si="5"/>
        <v>0</v>
      </c>
      <c r="BH83" s="298">
        <f t="shared" si="6"/>
        <v>0</v>
      </c>
      <c r="BI83" s="387" t="s">
        <v>1478</v>
      </c>
    </row>
    <row r="84" spans="1:64" s="16" customFormat="1" ht="117" customHeight="1" x14ac:dyDescent="0.2">
      <c r="A84" s="29">
        <v>311</v>
      </c>
      <c r="B84" s="325" t="s">
        <v>1202</v>
      </c>
      <c r="C84" s="90">
        <v>2</v>
      </c>
      <c r="D84" s="325" t="s">
        <v>1197</v>
      </c>
      <c r="E84" s="29">
        <v>35</v>
      </c>
      <c r="F84" s="325" t="s">
        <v>334</v>
      </c>
      <c r="G84" s="29">
        <v>3502</v>
      </c>
      <c r="H84" s="325" t="s">
        <v>1366</v>
      </c>
      <c r="I84" s="29">
        <v>3502</v>
      </c>
      <c r="J84" s="30" t="s">
        <v>1253</v>
      </c>
      <c r="K84" s="297" t="s">
        <v>349</v>
      </c>
      <c r="L84" s="192">
        <v>3502046</v>
      </c>
      <c r="M84" s="30" t="s">
        <v>354</v>
      </c>
      <c r="N84" s="192">
        <v>3502046</v>
      </c>
      <c r="O84" s="30" t="s">
        <v>354</v>
      </c>
      <c r="P84" s="29" t="s">
        <v>355</v>
      </c>
      <c r="Q84" s="295" t="s">
        <v>356</v>
      </c>
      <c r="R84" s="29">
        <v>350204600</v>
      </c>
      <c r="S84" s="295" t="s">
        <v>356</v>
      </c>
      <c r="T84" s="299" t="s">
        <v>1470</v>
      </c>
      <c r="U84" s="311">
        <v>1</v>
      </c>
      <c r="V84" s="311"/>
      <c r="W84" s="328">
        <f t="shared" si="7"/>
        <v>1</v>
      </c>
      <c r="X84" s="530">
        <v>0.75</v>
      </c>
      <c r="Y84" s="296">
        <v>2020003630077</v>
      </c>
      <c r="Z84" s="297" t="s">
        <v>1387</v>
      </c>
      <c r="AA84" s="297" t="s">
        <v>357</v>
      </c>
      <c r="AB84" s="44"/>
      <c r="AC84" s="44"/>
      <c r="AD84" s="44"/>
      <c r="AE84" s="44"/>
      <c r="AF84" s="44"/>
      <c r="AG84" s="44"/>
      <c r="AH84" s="44"/>
      <c r="AI84" s="44"/>
      <c r="AJ84" s="44"/>
      <c r="AK84" s="44"/>
      <c r="AL84" s="44"/>
      <c r="AM84" s="44"/>
      <c r="AN84" s="44"/>
      <c r="AO84" s="44"/>
      <c r="AP84" s="44"/>
      <c r="AQ84" s="44"/>
      <c r="AR84" s="44"/>
      <c r="AS84" s="44"/>
      <c r="AT84" s="356">
        <f>66790000+600000000-600000000+37495999-57957390</f>
        <v>46328609</v>
      </c>
      <c r="AU84" s="133">
        <v>10560000</v>
      </c>
      <c r="AV84" s="133">
        <v>4400000</v>
      </c>
      <c r="AW84" s="366">
        <f>705363027+349900000+344442708.11</f>
        <v>1399705735.1100001</v>
      </c>
      <c r="AX84" s="108">
        <v>1026036844</v>
      </c>
      <c r="AY84" s="108">
        <v>625008341.79999995</v>
      </c>
      <c r="AZ84" s="354"/>
      <c r="BA84" s="108"/>
      <c r="BB84" s="108"/>
      <c r="BC84" s="367"/>
      <c r="BD84" s="133"/>
      <c r="BE84" s="133"/>
      <c r="BF84" s="298">
        <f t="shared" si="4"/>
        <v>1446034344.1100001</v>
      </c>
      <c r="BG84" s="298">
        <f t="shared" si="5"/>
        <v>1036596844</v>
      </c>
      <c r="BH84" s="298">
        <f t="shared" si="6"/>
        <v>629408341.79999995</v>
      </c>
      <c r="BI84" s="387" t="s">
        <v>1478</v>
      </c>
      <c r="BK84" s="34"/>
      <c r="BL84" s="34"/>
    </row>
    <row r="85" spans="1:64" s="16" customFormat="1" ht="117" customHeight="1" x14ac:dyDescent="0.2">
      <c r="A85" s="29">
        <v>311</v>
      </c>
      <c r="B85" s="325" t="s">
        <v>1202</v>
      </c>
      <c r="C85" s="90">
        <v>2</v>
      </c>
      <c r="D85" s="325" t="s">
        <v>1197</v>
      </c>
      <c r="E85" s="29">
        <v>36</v>
      </c>
      <c r="F85" s="325" t="s">
        <v>358</v>
      </c>
      <c r="G85" s="29">
        <v>3602</v>
      </c>
      <c r="H85" s="325" t="s">
        <v>359</v>
      </c>
      <c r="I85" s="29">
        <v>3602</v>
      </c>
      <c r="J85" s="30" t="s">
        <v>1254</v>
      </c>
      <c r="K85" s="297" t="s">
        <v>336</v>
      </c>
      <c r="L85" s="29">
        <v>3602018</v>
      </c>
      <c r="M85" s="30" t="s">
        <v>360</v>
      </c>
      <c r="N85" s="29">
        <v>3602018</v>
      </c>
      <c r="O85" s="30" t="s">
        <v>360</v>
      </c>
      <c r="P85" s="287" t="s">
        <v>361</v>
      </c>
      <c r="Q85" s="295" t="s">
        <v>362</v>
      </c>
      <c r="R85" s="287">
        <v>360201800</v>
      </c>
      <c r="S85" s="295" t="s">
        <v>362</v>
      </c>
      <c r="T85" s="299" t="s">
        <v>1470</v>
      </c>
      <c r="U85" s="311">
        <v>4</v>
      </c>
      <c r="V85" s="311">
        <v>3</v>
      </c>
      <c r="W85" s="328">
        <f t="shared" si="7"/>
        <v>7</v>
      </c>
      <c r="X85" s="530">
        <v>4</v>
      </c>
      <c r="Y85" s="296">
        <v>2020003630078</v>
      </c>
      <c r="Z85" s="297" t="s">
        <v>363</v>
      </c>
      <c r="AA85" s="297" t="s">
        <v>364</v>
      </c>
      <c r="AB85" s="44"/>
      <c r="AC85" s="44"/>
      <c r="AD85" s="44"/>
      <c r="AE85" s="44"/>
      <c r="AF85" s="44"/>
      <c r="AG85" s="44"/>
      <c r="AH85" s="44"/>
      <c r="AI85" s="44"/>
      <c r="AJ85" s="44"/>
      <c r="AK85" s="44"/>
      <c r="AL85" s="44"/>
      <c r="AM85" s="44"/>
      <c r="AN85" s="44"/>
      <c r="AO85" s="44"/>
      <c r="AP85" s="44"/>
      <c r="AQ85" s="44"/>
      <c r="AR85" s="44"/>
      <c r="AS85" s="44"/>
      <c r="AT85" s="356">
        <f>120000000-20000000</f>
        <v>100000000</v>
      </c>
      <c r="AU85" s="42">
        <v>0</v>
      </c>
      <c r="AV85" s="42">
        <v>0</v>
      </c>
      <c r="AW85" s="361"/>
      <c r="AX85" s="44"/>
      <c r="AY85" s="44"/>
      <c r="AZ85" s="358"/>
      <c r="BA85" s="44"/>
      <c r="BB85" s="44"/>
      <c r="BC85" s="361"/>
      <c r="BD85" s="44"/>
      <c r="BE85" s="44"/>
      <c r="BF85" s="298">
        <f t="shared" si="4"/>
        <v>100000000</v>
      </c>
      <c r="BG85" s="298">
        <f t="shared" si="5"/>
        <v>0</v>
      </c>
      <c r="BH85" s="298">
        <f t="shared" si="6"/>
        <v>0</v>
      </c>
      <c r="BI85" s="387" t="s">
        <v>1478</v>
      </c>
      <c r="BK85" s="34"/>
      <c r="BL85" s="34"/>
    </row>
    <row r="86" spans="1:64" s="16" customFormat="1" ht="117" customHeight="1" x14ac:dyDescent="0.2">
      <c r="A86" s="29">
        <v>311</v>
      </c>
      <c r="B86" s="325" t="s">
        <v>1202</v>
      </c>
      <c r="C86" s="90">
        <v>2</v>
      </c>
      <c r="D86" s="325" t="s">
        <v>1197</v>
      </c>
      <c r="E86" s="29">
        <v>36</v>
      </c>
      <c r="F86" s="325" t="s">
        <v>358</v>
      </c>
      <c r="G86" s="29">
        <v>3602</v>
      </c>
      <c r="H86" s="325" t="s">
        <v>359</v>
      </c>
      <c r="I86" s="29">
        <v>3602</v>
      </c>
      <c r="J86" s="30" t="s">
        <v>1254</v>
      </c>
      <c r="K86" s="297" t="s">
        <v>336</v>
      </c>
      <c r="L86" s="29">
        <v>3602032</v>
      </c>
      <c r="M86" s="30" t="s">
        <v>365</v>
      </c>
      <c r="N86" s="90">
        <v>3602032</v>
      </c>
      <c r="O86" s="30" t="s">
        <v>365</v>
      </c>
      <c r="P86" s="287" t="s">
        <v>366</v>
      </c>
      <c r="Q86" s="295" t="s">
        <v>367</v>
      </c>
      <c r="R86" s="287">
        <v>360203201</v>
      </c>
      <c r="S86" s="295" t="s">
        <v>367</v>
      </c>
      <c r="T86" s="299" t="s">
        <v>1469</v>
      </c>
      <c r="U86" s="311">
        <v>14</v>
      </c>
      <c r="V86" s="311"/>
      <c r="W86" s="328">
        <f t="shared" si="7"/>
        <v>14</v>
      </c>
      <c r="X86" s="530">
        <v>11</v>
      </c>
      <c r="Y86" s="296">
        <v>2020003630078</v>
      </c>
      <c r="Z86" s="297" t="s">
        <v>363</v>
      </c>
      <c r="AA86" s="301" t="s">
        <v>364</v>
      </c>
      <c r="AB86" s="44"/>
      <c r="AC86" s="44"/>
      <c r="AD86" s="44"/>
      <c r="AE86" s="44"/>
      <c r="AF86" s="44"/>
      <c r="AG86" s="44"/>
      <c r="AH86" s="44"/>
      <c r="AI86" s="44"/>
      <c r="AJ86" s="44"/>
      <c r="AK86" s="44"/>
      <c r="AL86" s="44"/>
      <c r="AM86" s="44"/>
      <c r="AN86" s="44"/>
      <c r="AO86" s="44"/>
      <c r="AP86" s="44"/>
      <c r="AQ86" s="44"/>
      <c r="AR86" s="44"/>
      <c r="AS86" s="44"/>
      <c r="AT86" s="356">
        <f>60000000+15000000+5770000</f>
        <v>80770000</v>
      </c>
      <c r="AU86" s="42">
        <v>80325000</v>
      </c>
      <c r="AV86" s="42">
        <v>34620000</v>
      </c>
      <c r="AW86" s="361"/>
      <c r="AX86" s="44"/>
      <c r="AY86" s="44"/>
      <c r="AZ86" s="358"/>
      <c r="BA86" s="44"/>
      <c r="BB86" s="44"/>
      <c r="BC86" s="361"/>
      <c r="BD86" s="44"/>
      <c r="BE86" s="44"/>
      <c r="BF86" s="298">
        <f t="shared" si="4"/>
        <v>80770000</v>
      </c>
      <c r="BG86" s="298">
        <f t="shared" si="5"/>
        <v>80325000</v>
      </c>
      <c r="BH86" s="298">
        <f t="shared" si="6"/>
        <v>34620000</v>
      </c>
      <c r="BI86" s="387" t="s">
        <v>1478</v>
      </c>
      <c r="BK86" s="34"/>
      <c r="BL86" s="34"/>
    </row>
    <row r="87" spans="1:64" s="16" customFormat="1" ht="117" customHeight="1" x14ac:dyDescent="0.2">
      <c r="A87" s="29">
        <v>311</v>
      </c>
      <c r="B87" s="325" t="s">
        <v>1202</v>
      </c>
      <c r="C87" s="90">
        <v>2</v>
      </c>
      <c r="D87" s="325" t="s">
        <v>1197</v>
      </c>
      <c r="E87" s="29">
        <v>36</v>
      </c>
      <c r="F87" s="325" t="s">
        <v>358</v>
      </c>
      <c r="G87" s="29">
        <v>3602</v>
      </c>
      <c r="H87" s="325" t="s">
        <v>359</v>
      </c>
      <c r="I87" s="29">
        <v>3602</v>
      </c>
      <c r="J87" s="30" t="s">
        <v>1254</v>
      </c>
      <c r="K87" s="297" t="s">
        <v>336</v>
      </c>
      <c r="L87" s="29">
        <v>3602029</v>
      </c>
      <c r="M87" s="30" t="s">
        <v>368</v>
      </c>
      <c r="N87" s="90">
        <v>3602029</v>
      </c>
      <c r="O87" s="30" t="s">
        <v>368</v>
      </c>
      <c r="P87" s="287" t="s">
        <v>369</v>
      </c>
      <c r="Q87" s="295" t="s">
        <v>370</v>
      </c>
      <c r="R87" s="287">
        <v>360202904</v>
      </c>
      <c r="S87" s="295" t="s">
        <v>370</v>
      </c>
      <c r="T87" s="299" t="s">
        <v>1470</v>
      </c>
      <c r="U87" s="311">
        <v>12</v>
      </c>
      <c r="V87" s="311"/>
      <c r="W87" s="328">
        <f t="shared" si="7"/>
        <v>12</v>
      </c>
      <c r="X87" s="530">
        <v>12</v>
      </c>
      <c r="Y87" s="296">
        <v>2020003630078</v>
      </c>
      <c r="Z87" s="302" t="s">
        <v>363</v>
      </c>
      <c r="AA87" s="301" t="s">
        <v>364</v>
      </c>
      <c r="AB87" s="44"/>
      <c r="AC87" s="44"/>
      <c r="AD87" s="44"/>
      <c r="AE87" s="44"/>
      <c r="AF87" s="44"/>
      <c r="AG87" s="44"/>
      <c r="AH87" s="44"/>
      <c r="AI87" s="44"/>
      <c r="AJ87" s="44"/>
      <c r="AK87" s="44"/>
      <c r="AL87" s="44"/>
      <c r="AM87" s="44"/>
      <c r="AN87" s="44"/>
      <c r="AO87" s="44"/>
      <c r="AP87" s="44"/>
      <c r="AQ87" s="44"/>
      <c r="AR87" s="44"/>
      <c r="AS87" s="44"/>
      <c r="AT87" s="356">
        <f>22500000+47000000</f>
        <v>69500000</v>
      </c>
      <c r="AU87" s="42">
        <v>64500000</v>
      </c>
      <c r="AV87" s="42">
        <v>37505000</v>
      </c>
      <c r="AW87" s="361"/>
      <c r="AX87" s="44"/>
      <c r="AY87" s="44"/>
      <c r="AZ87" s="358"/>
      <c r="BA87" s="44"/>
      <c r="BB87" s="44"/>
      <c r="BC87" s="361"/>
      <c r="BD87" s="44"/>
      <c r="BE87" s="44"/>
      <c r="BF87" s="298">
        <f t="shared" si="4"/>
        <v>69500000</v>
      </c>
      <c r="BG87" s="298">
        <f t="shared" si="5"/>
        <v>64500000</v>
      </c>
      <c r="BH87" s="298">
        <f t="shared" si="6"/>
        <v>37505000</v>
      </c>
      <c r="BI87" s="387" t="s">
        <v>1478</v>
      </c>
      <c r="BK87" s="34"/>
      <c r="BL87" s="34"/>
    </row>
    <row r="88" spans="1:64" s="16" customFormat="1" ht="117" customHeight="1" x14ac:dyDescent="0.2">
      <c r="A88" s="29">
        <v>311</v>
      </c>
      <c r="B88" s="325" t="s">
        <v>1202</v>
      </c>
      <c r="C88" s="90">
        <v>2</v>
      </c>
      <c r="D88" s="325" t="s">
        <v>1197</v>
      </c>
      <c r="E88" s="29">
        <v>36</v>
      </c>
      <c r="F88" s="325" t="s">
        <v>358</v>
      </c>
      <c r="G88" s="29">
        <v>3602</v>
      </c>
      <c r="H88" s="325" t="s">
        <v>359</v>
      </c>
      <c r="I88" s="29">
        <v>3602</v>
      </c>
      <c r="J88" s="30" t="s">
        <v>1254</v>
      </c>
      <c r="K88" s="297" t="s">
        <v>336</v>
      </c>
      <c r="L88" s="29">
        <v>3602030</v>
      </c>
      <c r="M88" s="30" t="s">
        <v>371</v>
      </c>
      <c r="N88" s="90">
        <v>3602030</v>
      </c>
      <c r="O88" s="30" t="s">
        <v>371</v>
      </c>
      <c r="P88" s="287" t="s">
        <v>372</v>
      </c>
      <c r="Q88" s="295" t="s">
        <v>373</v>
      </c>
      <c r="R88" s="287">
        <v>360203000</v>
      </c>
      <c r="S88" s="295" t="s">
        <v>373</v>
      </c>
      <c r="T88" s="299" t="s">
        <v>1470</v>
      </c>
      <c r="U88" s="311">
        <v>4</v>
      </c>
      <c r="V88" s="311"/>
      <c r="W88" s="328">
        <f t="shared" si="7"/>
        <v>4</v>
      </c>
      <c r="X88" s="530">
        <v>3</v>
      </c>
      <c r="Y88" s="296">
        <v>2020003630078</v>
      </c>
      <c r="Z88" s="302" t="s">
        <v>363</v>
      </c>
      <c r="AA88" s="301" t="s">
        <v>364</v>
      </c>
      <c r="AB88" s="44"/>
      <c r="AC88" s="44"/>
      <c r="AD88" s="44"/>
      <c r="AE88" s="44"/>
      <c r="AF88" s="44"/>
      <c r="AG88" s="44"/>
      <c r="AH88" s="44"/>
      <c r="AI88" s="44"/>
      <c r="AJ88" s="44"/>
      <c r="AK88" s="44"/>
      <c r="AL88" s="44"/>
      <c r="AM88" s="44"/>
      <c r="AN88" s="44"/>
      <c r="AO88" s="44"/>
      <c r="AP88" s="44"/>
      <c r="AQ88" s="44"/>
      <c r="AR88" s="44"/>
      <c r="AS88" s="44"/>
      <c r="AT88" s="356">
        <f>35000000+25000000+6600000</f>
        <v>66600000</v>
      </c>
      <c r="AU88" s="42">
        <v>64598796</v>
      </c>
      <c r="AV88" s="42">
        <v>21600000</v>
      </c>
      <c r="AW88" s="361"/>
      <c r="AX88" s="44"/>
      <c r="AY88" s="44"/>
      <c r="AZ88" s="358"/>
      <c r="BA88" s="44"/>
      <c r="BB88" s="44"/>
      <c r="BC88" s="361"/>
      <c r="BD88" s="44"/>
      <c r="BE88" s="44"/>
      <c r="BF88" s="298">
        <f t="shared" si="4"/>
        <v>66600000</v>
      </c>
      <c r="BG88" s="298">
        <f t="shared" si="5"/>
        <v>64598796</v>
      </c>
      <c r="BH88" s="298">
        <f t="shared" si="6"/>
        <v>21600000</v>
      </c>
      <c r="BI88" s="387" t="s">
        <v>1478</v>
      </c>
      <c r="BK88" s="34"/>
      <c r="BL88" s="34"/>
    </row>
    <row r="89" spans="1:64" s="16" customFormat="1" ht="117" customHeight="1" x14ac:dyDescent="0.2">
      <c r="A89" s="29">
        <v>312</v>
      </c>
      <c r="B89" s="325" t="s">
        <v>1203</v>
      </c>
      <c r="C89" s="29">
        <v>2</v>
      </c>
      <c r="D89" s="325" t="s">
        <v>1197</v>
      </c>
      <c r="E89" s="29">
        <v>17</v>
      </c>
      <c r="F89" s="325" t="s">
        <v>375</v>
      </c>
      <c r="G89" s="29">
        <v>1702</v>
      </c>
      <c r="H89" s="325" t="s">
        <v>376</v>
      </c>
      <c r="I89" s="29">
        <v>1702</v>
      </c>
      <c r="J89" s="30" t="s">
        <v>1233</v>
      </c>
      <c r="K89" s="297" t="s">
        <v>377</v>
      </c>
      <c r="L89" s="192">
        <v>1702011</v>
      </c>
      <c r="M89" s="30" t="s">
        <v>378</v>
      </c>
      <c r="N89" s="192">
        <v>1702011</v>
      </c>
      <c r="O89" s="30" t="s">
        <v>378</v>
      </c>
      <c r="P89" s="29" t="s">
        <v>379</v>
      </c>
      <c r="Q89" s="30" t="s">
        <v>380</v>
      </c>
      <c r="R89" s="29">
        <v>170201100</v>
      </c>
      <c r="S89" s="295" t="s">
        <v>380</v>
      </c>
      <c r="T89" s="299" t="s">
        <v>1469</v>
      </c>
      <c r="U89" s="311">
        <v>30</v>
      </c>
      <c r="V89" s="311"/>
      <c r="W89" s="328">
        <f t="shared" si="7"/>
        <v>30</v>
      </c>
      <c r="X89" s="530">
        <v>27</v>
      </c>
      <c r="Y89" s="296">
        <v>2020003630079</v>
      </c>
      <c r="Z89" s="30" t="s">
        <v>381</v>
      </c>
      <c r="AA89" s="297" t="s">
        <v>382</v>
      </c>
      <c r="AB89" s="44"/>
      <c r="AC89" s="44"/>
      <c r="AD89" s="44"/>
      <c r="AE89" s="44"/>
      <c r="AF89" s="44"/>
      <c r="AG89" s="44"/>
      <c r="AH89" s="44"/>
      <c r="AI89" s="44"/>
      <c r="AJ89" s="44"/>
      <c r="AK89" s="44"/>
      <c r="AL89" s="44"/>
      <c r="AM89" s="44"/>
      <c r="AN89" s="44"/>
      <c r="AO89" s="44"/>
      <c r="AP89" s="44"/>
      <c r="AQ89" s="44"/>
      <c r="AR89" s="44"/>
      <c r="AS89" s="44"/>
      <c r="AT89" s="357">
        <f>226000000+61340887.37+64662500+15460000</f>
        <v>367463387.37</v>
      </c>
      <c r="AU89" s="41">
        <v>345505551.37</v>
      </c>
      <c r="AV89" s="41">
        <v>263226053.37</v>
      </c>
      <c r="AW89" s="367"/>
      <c r="AX89" s="133"/>
      <c r="AY89" s="133"/>
      <c r="AZ89" s="353"/>
      <c r="BA89" s="133"/>
      <c r="BB89" s="133"/>
      <c r="BC89" s="367"/>
      <c r="BD89" s="133"/>
      <c r="BE89" s="133"/>
      <c r="BF89" s="298">
        <f t="shared" si="4"/>
        <v>367463387.37</v>
      </c>
      <c r="BG89" s="298">
        <f t="shared" si="5"/>
        <v>345505551.37</v>
      </c>
      <c r="BH89" s="298">
        <f t="shared" si="6"/>
        <v>263226053.37</v>
      </c>
      <c r="BI89" s="388" t="s">
        <v>1479</v>
      </c>
      <c r="BK89" s="34"/>
      <c r="BL89" s="34"/>
    </row>
    <row r="90" spans="1:64" s="16" customFormat="1" ht="117" customHeight="1" x14ac:dyDescent="0.2">
      <c r="A90" s="29">
        <v>312</v>
      </c>
      <c r="B90" s="325" t="s">
        <v>1203</v>
      </c>
      <c r="C90" s="29">
        <v>2</v>
      </c>
      <c r="D90" s="325" t="s">
        <v>1197</v>
      </c>
      <c r="E90" s="29">
        <v>17</v>
      </c>
      <c r="F90" s="325" t="s">
        <v>375</v>
      </c>
      <c r="G90" s="29">
        <v>1702</v>
      </c>
      <c r="H90" s="325" t="s">
        <v>376</v>
      </c>
      <c r="I90" s="29">
        <v>1702</v>
      </c>
      <c r="J90" s="30" t="s">
        <v>1233</v>
      </c>
      <c r="K90" s="297" t="s">
        <v>377</v>
      </c>
      <c r="L90" s="192">
        <v>1702007</v>
      </c>
      <c r="M90" s="30" t="s">
        <v>383</v>
      </c>
      <c r="N90" s="192">
        <v>1702007</v>
      </c>
      <c r="O90" s="30" t="s">
        <v>383</v>
      </c>
      <c r="P90" s="287" t="s">
        <v>384</v>
      </c>
      <c r="Q90" s="295" t="s">
        <v>385</v>
      </c>
      <c r="R90" s="287">
        <v>170200700</v>
      </c>
      <c r="S90" s="295" t="s">
        <v>385</v>
      </c>
      <c r="T90" s="299" t="s">
        <v>1470</v>
      </c>
      <c r="U90" s="311">
        <v>4</v>
      </c>
      <c r="V90" s="311">
        <v>4</v>
      </c>
      <c r="W90" s="328">
        <f t="shared" si="7"/>
        <v>8</v>
      </c>
      <c r="X90" s="530">
        <v>4</v>
      </c>
      <c r="Y90" s="296">
        <v>2020003630079</v>
      </c>
      <c r="Z90" s="30" t="s">
        <v>381</v>
      </c>
      <c r="AA90" s="297" t="s">
        <v>382</v>
      </c>
      <c r="AB90" s="44"/>
      <c r="AC90" s="44"/>
      <c r="AD90" s="44"/>
      <c r="AE90" s="44"/>
      <c r="AF90" s="44"/>
      <c r="AG90" s="44"/>
      <c r="AH90" s="44"/>
      <c r="AI90" s="44"/>
      <c r="AJ90" s="44"/>
      <c r="AK90" s="44"/>
      <c r="AL90" s="44"/>
      <c r="AM90" s="44"/>
      <c r="AN90" s="44"/>
      <c r="AO90" s="44"/>
      <c r="AP90" s="44"/>
      <c r="AQ90" s="44"/>
      <c r="AR90" s="44"/>
      <c r="AS90" s="44"/>
      <c r="AT90" s="41">
        <f>123000000+163000000+77000000</f>
        <v>363000000</v>
      </c>
      <c r="AU90" s="41">
        <v>313000000</v>
      </c>
      <c r="AV90" s="41">
        <v>163000000</v>
      </c>
      <c r="AW90" s="367"/>
      <c r="AX90" s="133"/>
      <c r="AY90" s="133"/>
      <c r="AZ90" s="353"/>
      <c r="BA90" s="133"/>
      <c r="BB90" s="133"/>
      <c r="BC90" s="367"/>
      <c r="BD90" s="133"/>
      <c r="BE90" s="133"/>
      <c r="BF90" s="298">
        <f t="shared" si="4"/>
        <v>363000000</v>
      </c>
      <c r="BG90" s="298">
        <f t="shared" si="5"/>
        <v>313000000</v>
      </c>
      <c r="BH90" s="298">
        <f t="shared" si="6"/>
        <v>163000000</v>
      </c>
      <c r="BI90" s="388" t="s">
        <v>1479</v>
      </c>
      <c r="BK90" s="34"/>
      <c r="BL90" s="34"/>
    </row>
    <row r="91" spans="1:64" s="16" customFormat="1" ht="117" customHeight="1" x14ac:dyDescent="0.2">
      <c r="A91" s="29">
        <v>312</v>
      </c>
      <c r="B91" s="325" t="s">
        <v>1203</v>
      </c>
      <c r="C91" s="29">
        <v>2</v>
      </c>
      <c r="D91" s="325" t="s">
        <v>1197</v>
      </c>
      <c r="E91" s="29">
        <v>17</v>
      </c>
      <c r="F91" s="325" t="s">
        <v>375</v>
      </c>
      <c r="G91" s="29">
        <v>1702</v>
      </c>
      <c r="H91" s="325" t="s">
        <v>376</v>
      </c>
      <c r="I91" s="29">
        <v>1702</v>
      </c>
      <c r="J91" s="30" t="s">
        <v>1233</v>
      </c>
      <c r="K91" s="297" t="s">
        <v>377</v>
      </c>
      <c r="L91" s="192">
        <v>1702009</v>
      </c>
      <c r="M91" s="30" t="s">
        <v>386</v>
      </c>
      <c r="N91" s="192">
        <v>1702009</v>
      </c>
      <c r="O91" s="30" t="s">
        <v>386</v>
      </c>
      <c r="P91" s="287" t="s">
        <v>387</v>
      </c>
      <c r="Q91" s="295" t="s">
        <v>388</v>
      </c>
      <c r="R91" s="287">
        <v>170200900</v>
      </c>
      <c r="S91" s="295" t="s">
        <v>388</v>
      </c>
      <c r="T91" s="299" t="s">
        <v>1470</v>
      </c>
      <c r="U91" s="311">
        <v>166</v>
      </c>
      <c r="V91" s="311"/>
      <c r="W91" s="328">
        <f t="shared" si="7"/>
        <v>166</v>
      </c>
      <c r="X91" s="530">
        <v>0</v>
      </c>
      <c r="Y91" s="296">
        <v>2020003630079</v>
      </c>
      <c r="Z91" s="30" t="s">
        <v>381</v>
      </c>
      <c r="AA91" s="297" t="s">
        <v>382</v>
      </c>
      <c r="AB91" s="44"/>
      <c r="AC91" s="44"/>
      <c r="AD91" s="44"/>
      <c r="AE91" s="44"/>
      <c r="AF91" s="44"/>
      <c r="AG91" s="44"/>
      <c r="AH91" s="44"/>
      <c r="AI91" s="44"/>
      <c r="AJ91" s="44"/>
      <c r="AK91" s="44"/>
      <c r="AL91" s="44"/>
      <c r="AM91" s="44"/>
      <c r="AN91" s="44"/>
      <c r="AO91" s="44"/>
      <c r="AP91" s="44"/>
      <c r="AQ91" s="44"/>
      <c r="AR91" s="44"/>
      <c r="AS91" s="44"/>
      <c r="AT91" s="41">
        <f>90000000-77000000</f>
        <v>13000000</v>
      </c>
      <c r="AU91" s="41">
        <v>13000000</v>
      </c>
      <c r="AV91" s="41">
        <v>0</v>
      </c>
      <c r="AW91" s="367"/>
      <c r="AX91" s="133"/>
      <c r="AY91" s="133"/>
      <c r="AZ91" s="353"/>
      <c r="BA91" s="133"/>
      <c r="BB91" s="133"/>
      <c r="BC91" s="367"/>
      <c r="BD91" s="133"/>
      <c r="BE91" s="133"/>
      <c r="BF91" s="298">
        <f t="shared" si="4"/>
        <v>13000000</v>
      </c>
      <c r="BG91" s="298">
        <f t="shared" si="5"/>
        <v>13000000</v>
      </c>
      <c r="BH91" s="298">
        <f t="shared" si="6"/>
        <v>0</v>
      </c>
      <c r="BI91" s="388" t="s">
        <v>1479</v>
      </c>
      <c r="BK91" s="34"/>
      <c r="BL91" s="34"/>
    </row>
    <row r="92" spans="1:64" s="16" customFormat="1" ht="117" customHeight="1" x14ac:dyDescent="0.2">
      <c r="A92" s="29">
        <v>312</v>
      </c>
      <c r="B92" s="325" t="s">
        <v>1203</v>
      </c>
      <c r="C92" s="29">
        <v>2</v>
      </c>
      <c r="D92" s="325" t="s">
        <v>1197</v>
      </c>
      <c r="E92" s="29">
        <v>17</v>
      </c>
      <c r="F92" s="325" t="s">
        <v>375</v>
      </c>
      <c r="G92" s="29">
        <v>1702</v>
      </c>
      <c r="H92" s="325" t="s">
        <v>376</v>
      </c>
      <c r="I92" s="29">
        <v>1702</v>
      </c>
      <c r="J92" s="30" t="s">
        <v>1233</v>
      </c>
      <c r="K92" s="297" t="s">
        <v>377</v>
      </c>
      <c r="L92" s="192">
        <v>1702017</v>
      </c>
      <c r="M92" s="30" t="s">
        <v>389</v>
      </c>
      <c r="N92" s="131">
        <v>1702017</v>
      </c>
      <c r="O92" s="30" t="s">
        <v>389</v>
      </c>
      <c r="P92" s="287" t="s">
        <v>390</v>
      </c>
      <c r="Q92" s="295" t="s">
        <v>391</v>
      </c>
      <c r="R92" s="287">
        <v>170201700</v>
      </c>
      <c r="S92" s="295" t="s">
        <v>391</v>
      </c>
      <c r="T92" s="299" t="s">
        <v>1470</v>
      </c>
      <c r="U92" s="311">
        <v>1400</v>
      </c>
      <c r="V92" s="311"/>
      <c r="W92" s="328">
        <f t="shared" si="7"/>
        <v>1400</v>
      </c>
      <c r="X92" s="530">
        <v>1247</v>
      </c>
      <c r="Y92" s="296">
        <v>2020003630023</v>
      </c>
      <c r="Z92" s="295" t="s">
        <v>1169</v>
      </c>
      <c r="AA92" s="301" t="s">
        <v>392</v>
      </c>
      <c r="AB92" s="44"/>
      <c r="AC92" s="44"/>
      <c r="AD92" s="44"/>
      <c r="AE92" s="44"/>
      <c r="AF92" s="44"/>
      <c r="AG92" s="44"/>
      <c r="AH92" s="44"/>
      <c r="AI92" s="44"/>
      <c r="AJ92" s="44"/>
      <c r="AK92" s="44"/>
      <c r="AL92" s="44"/>
      <c r="AM92" s="44"/>
      <c r="AN92" s="44"/>
      <c r="AO92" s="44"/>
      <c r="AP92" s="44"/>
      <c r="AQ92" s="44"/>
      <c r="AR92" s="44"/>
      <c r="AS92" s="44"/>
      <c r="AT92" s="41">
        <f>130000000+62225000+75052526.97+32225000+50000000+4647500+9087500</f>
        <v>363237526.97000003</v>
      </c>
      <c r="AU92" s="41">
        <v>324947526.97000003</v>
      </c>
      <c r="AV92" s="41">
        <v>171202526.97</v>
      </c>
      <c r="AW92" s="367"/>
      <c r="AX92" s="133"/>
      <c r="AY92" s="133"/>
      <c r="AZ92" s="353"/>
      <c r="BA92" s="133"/>
      <c r="BB92" s="133"/>
      <c r="BC92" s="367"/>
      <c r="BD92" s="133"/>
      <c r="BE92" s="133"/>
      <c r="BF92" s="298">
        <f t="shared" si="4"/>
        <v>363237526.97000003</v>
      </c>
      <c r="BG92" s="298">
        <f t="shared" si="5"/>
        <v>324947526.97000003</v>
      </c>
      <c r="BH92" s="298">
        <f t="shared" si="6"/>
        <v>171202526.97</v>
      </c>
      <c r="BI92" s="388" t="s">
        <v>1479</v>
      </c>
      <c r="BK92" s="34"/>
      <c r="BL92" s="34"/>
    </row>
    <row r="93" spans="1:64" s="16" customFormat="1" ht="117" customHeight="1" x14ac:dyDescent="0.2">
      <c r="A93" s="29">
        <v>312</v>
      </c>
      <c r="B93" s="325" t="s">
        <v>1203</v>
      </c>
      <c r="C93" s="29">
        <v>2</v>
      </c>
      <c r="D93" s="325" t="s">
        <v>1197</v>
      </c>
      <c r="E93" s="29">
        <v>17</v>
      </c>
      <c r="F93" s="325" t="s">
        <v>375</v>
      </c>
      <c r="G93" s="29">
        <v>1702</v>
      </c>
      <c r="H93" s="325" t="s">
        <v>376</v>
      </c>
      <c r="I93" s="29">
        <v>1702</v>
      </c>
      <c r="J93" s="30" t="s">
        <v>1233</v>
      </c>
      <c r="K93" s="297" t="s">
        <v>377</v>
      </c>
      <c r="L93" s="192">
        <v>1702014</v>
      </c>
      <c r="M93" s="30" t="s">
        <v>393</v>
      </c>
      <c r="N93" s="192">
        <v>1702014</v>
      </c>
      <c r="O93" s="30" t="s">
        <v>393</v>
      </c>
      <c r="P93" s="287" t="s">
        <v>394</v>
      </c>
      <c r="Q93" s="295" t="s">
        <v>395</v>
      </c>
      <c r="R93" s="287">
        <v>170201400</v>
      </c>
      <c r="S93" s="295" t="s">
        <v>395</v>
      </c>
      <c r="T93" s="299" t="s">
        <v>1470</v>
      </c>
      <c r="U93" s="311">
        <v>25</v>
      </c>
      <c r="V93" s="311"/>
      <c r="W93" s="328">
        <f t="shared" si="7"/>
        <v>25</v>
      </c>
      <c r="X93" s="530">
        <v>15</v>
      </c>
      <c r="Y93" s="296">
        <v>2020003630023</v>
      </c>
      <c r="Z93" s="295" t="s">
        <v>1169</v>
      </c>
      <c r="AA93" s="301" t="s">
        <v>392</v>
      </c>
      <c r="AB93" s="44"/>
      <c r="AC93" s="44"/>
      <c r="AD93" s="44"/>
      <c r="AE93" s="44"/>
      <c r="AF93" s="44"/>
      <c r="AG93" s="44"/>
      <c r="AH93" s="44"/>
      <c r="AI93" s="44"/>
      <c r="AJ93" s="44"/>
      <c r="AK93" s="44"/>
      <c r="AL93" s="44"/>
      <c r="AM93" s="44"/>
      <c r="AN93" s="44"/>
      <c r="AO93" s="44"/>
      <c r="AP93" s="44"/>
      <c r="AQ93" s="44"/>
      <c r="AR93" s="44"/>
      <c r="AS93" s="44"/>
      <c r="AT93" s="357">
        <f>45000000+45000000</f>
        <v>90000000</v>
      </c>
      <c r="AU93" s="41">
        <v>90000000</v>
      </c>
      <c r="AV93" s="41">
        <v>45000000</v>
      </c>
      <c r="AW93" s="367"/>
      <c r="AX93" s="133"/>
      <c r="AY93" s="133"/>
      <c r="AZ93" s="353"/>
      <c r="BA93" s="133"/>
      <c r="BB93" s="133"/>
      <c r="BC93" s="367"/>
      <c r="BD93" s="133"/>
      <c r="BE93" s="133"/>
      <c r="BF93" s="298">
        <f t="shared" si="4"/>
        <v>90000000</v>
      </c>
      <c r="BG93" s="298">
        <f t="shared" si="5"/>
        <v>90000000</v>
      </c>
      <c r="BH93" s="298">
        <f t="shared" si="6"/>
        <v>45000000</v>
      </c>
      <c r="BI93" s="388" t="s">
        <v>1479</v>
      </c>
      <c r="BK93" s="34"/>
      <c r="BL93" s="34"/>
    </row>
    <row r="94" spans="1:64" s="16" customFormat="1" ht="117" customHeight="1" x14ac:dyDescent="0.2">
      <c r="A94" s="29">
        <v>312</v>
      </c>
      <c r="B94" s="325" t="s">
        <v>1203</v>
      </c>
      <c r="C94" s="29">
        <v>2</v>
      </c>
      <c r="D94" s="325" t="s">
        <v>1197</v>
      </c>
      <c r="E94" s="29">
        <v>17</v>
      </c>
      <c r="F94" s="325" t="s">
        <v>375</v>
      </c>
      <c r="G94" s="29">
        <v>1702</v>
      </c>
      <c r="H94" s="325" t="s">
        <v>376</v>
      </c>
      <c r="I94" s="29">
        <v>1702</v>
      </c>
      <c r="J94" s="30" t="s">
        <v>1233</v>
      </c>
      <c r="K94" s="297" t="s">
        <v>377</v>
      </c>
      <c r="L94" s="192">
        <v>1702021</v>
      </c>
      <c r="M94" s="30" t="s">
        <v>396</v>
      </c>
      <c r="N94" s="192">
        <v>1702021</v>
      </c>
      <c r="O94" s="30" t="s">
        <v>396</v>
      </c>
      <c r="P94" s="287" t="s">
        <v>397</v>
      </c>
      <c r="Q94" s="295" t="s">
        <v>398</v>
      </c>
      <c r="R94" s="287">
        <v>170202100</v>
      </c>
      <c r="S94" s="295" t="s">
        <v>398</v>
      </c>
      <c r="T94" s="299" t="s">
        <v>1470</v>
      </c>
      <c r="U94" s="311">
        <v>150</v>
      </c>
      <c r="V94" s="311"/>
      <c r="W94" s="328">
        <f t="shared" si="7"/>
        <v>150</v>
      </c>
      <c r="X94" s="530">
        <v>47</v>
      </c>
      <c r="Y94" s="296">
        <v>2020003630023</v>
      </c>
      <c r="Z94" s="295" t="s">
        <v>1169</v>
      </c>
      <c r="AA94" s="301" t="s">
        <v>392</v>
      </c>
      <c r="AB94" s="44"/>
      <c r="AC94" s="44"/>
      <c r="AD94" s="44"/>
      <c r="AE94" s="44"/>
      <c r="AF94" s="44"/>
      <c r="AG94" s="44"/>
      <c r="AH94" s="44"/>
      <c r="AI94" s="44"/>
      <c r="AJ94" s="44"/>
      <c r="AK94" s="44"/>
      <c r="AL94" s="44"/>
      <c r="AM94" s="44"/>
      <c r="AN94" s="44"/>
      <c r="AO94" s="44"/>
      <c r="AP94" s="44"/>
      <c r="AQ94" s="44"/>
      <c r="AR94" s="44"/>
      <c r="AS94" s="44"/>
      <c r="AT94" s="41">
        <f>20000000+50000000</f>
        <v>70000000</v>
      </c>
      <c r="AU94" s="41">
        <v>70000000</v>
      </c>
      <c r="AV94" s="41">
        <v>13350000</v>
      </c>
      <c r="AW94" s="367"/>
      <c r="AX94" s="133"/>
      <c r="AY94" s="133"/>
      <c r="AZ94" s="353"/>
      <c r="BA94" s="133"/>
      <c r="BB94" s="133"/>
      <c r="BC94" s="367"/>
      <c r="BD94" s="133"/>
      <c r="BE94" s="133"/>
      <c r="BF94" s="298">
        <f t="shared" si="4"/>
        <v>70000000</v>
      </c>
      <c r="BG94" s="298">
        <f t="shared" si="5"/>
        <v>70000000</v>
      </c>
      <c r="BH94" s="298">
        <f t="shared" si="6"/>
        <v>13350000</v>
      </c>
      <c r="BI94" s="388" t="s">
        <v>1479</v>
      </c>
      <c r="BK94" s="34"/>
      <c r="BL94" s="34"/>
    </row>
    <row r="95" spans="1:64" s="16" customFormat="1" ht="117" customHeight="1" x14ac:dyDescent="0.2">
      <c r="A95" s="29">
        <v>312</v>
      </c>
      <c r="B95" s="325" t="s">
        <v>1203</v>
      </c>
      <c r="C95" s="29">
        <v>2</v>
      </c>
      <c r="D95" s="325" t="s">
        <v>1197</v>
      </c>
      <c r="E95" s="29">
        <v>17</v>
      </c>
      <c r="F95" s="325" t="s">
        <v>375</v>
      </c>
      <c r="G95" s="29">
        <v>1702</v>
      </c>
      <c r="H95" s="325" t="s">
        <v>376</v>
      </c>
      <c r="I95" s="29">
        <v>1702</v>
      </c>
      <c r="J95" s="30" t="s">
        <v>1233</v>
      </c>
      <c r="K95" s="297" t="s">
        <v>377</v>
      </c>
      <c r="L95" s="192">
        <v>1702038</v>
      </c>
      <c r="M95" s="30" t="s">
        <v>399</v>
      </c>
      <c r="N95" s="192">
        <v>1702038</v>
      </c>
      <c r="O95" s="30" t="s">
        <v>399</v>
      </c>
      <c r="P95" s="29" t="s">
        <v>400</v>
      </c>
      <c r="Q95" s="295" t="s">
        <v>401</v>
      </c>
      <c r="R95" s="29">
        <v>170203800</v>
      </c>
      <c r="S95" s="295" t="s">
        <v>401</v>
      </c>
      <c r="T95" s="299" t="s">
        <v>1469</v>
      </c>
      <c r="U95" s="311">
        <v>30</v>
      </c>
      <c r="V95" s="311"/>
      <c r="W95" s="328">
        <f t="shared" si="7"/>
        <v>30</v>
      </c>
      <c r="X95" s="530">
        <v>19</v>
      </c>
      <c r="Y95" s="296">
        <v>2020003630080</v>
      </c>
      <c r="Z95" s="28" t="s">
        <v>1354</v>
      </c>
      <c r="AA95" s="297" t="s">
        <v>402</v>
      </c>
      <c r="AB95" s="44"/>
      <c r="AC95" s="44"/>
      <c r="AD95" s="44"/>
      <c r="AE95" s="44"/>
      <c r="AF95" s="44"/>
      <c r="AG95" s="44"/>
      <c r="AH95" s="44"/>
      <c r="AI95" s="44"/>
      <c r="AJ95" s="44"/>
      <c r="AK95" s="44"/>
      <c r="AL95" s="44"/>
      <c r="AM95" s="44"/>
      <c r="AN95" s="44"/>
      <c r="AO95" s="44"/>
      <c r="AP95" s="44"/>
      <c r="AQ95" s="44"/>
      <c r="AR95" s="44"/>
      <c r="AS95" s="44"/>
      <c r="AT95" s="357">
        <f>65000000+29850000+15330000</f>
        <v>110180000</v>
      </c>
      <c r="AU95" s="41">
        <v>47331666</v>
      </c>
      <c r="AV95" s="41">
        <v>33150000</v>
      </c>
      <c r="AW95" s="367"/>
      <c r="AX95" s="133"/>
      <c r="AY95" s="133"/>
      <c r="AZ95" s="353"/>
      <c r="BA95" s="133"/>
      <c r="BB95" s="133"/>
      <c r="BC95" s="367"/>
      <c r="BD95" s="133"/>
      <c r="BE95" s="133"/>
      <c r="BF95" s="298">
        <f t="shared" si="4"/>
        <v>110180000</v>
      </c>
      <c r="BG95" s="298">
        <f t="shared" si="5"/>
        <v>47331666</v>
      </c>
      <c r="BH95" s="298">
        <f t="shared" si="6"/>
        <v>33150000</v>
      </c>
      <c r="BI95" s="388" t="s">
        <v>1479</v>
      </c>
      <c r="BK95" s="34"/>
      <c r="BL95" s="34"/>
    </row>
    <row r="96" spans="1:64" s="16" customFormat="1" ht="117" customHeight="1" x14ac:dyDescent="0.2">
      <c r="A96" s="29">
        <v>312</v>
      </c>
      <c r="B96" s="325" t="s">
        <v>1203</v>
      </c>
      <c r="C96" s="29">
        <v>2</v>
      </c>
      <c r="D96" s="325" t="s">
        <v>1197</v>
      </c>
      <c r="E96" s="29">
        <v>17</v>
      </c>
      <c r="F96" s="325" t="s">
        <v>375</v>
      </c>
      <c r="G96" s="29">
        <v>1702</v>
      </c>
      <c r="H96" s="325" t="s">
        <v>376</v>
      </c>
      <c r="I96" s="29">
        <v>1702</v>
      </c>
      <c r="J96" s="30" t="s">
        <v>1233</v>
      </c>
      <c r="K96" s="297" t="s">
        <v>377</v>
      </c>
      <c r="L96" s="192">
        <v>1702038</v>
      </c>
      <c r="M96" s="30" t="s">
        <v>399</v>
      </c>
      <c r="N96" s="192">
        <v>1702038</v>
      </c>
      <c r="O96" s="30" t="s">
        <v>399</v>
      </c>
      <c r="P96" s="29" t="s">
        <v>403</v>
      </c>
      <c r="Q96" s="295" t="s">
        <v>404</v>
      </c>
      <c r="R96" s="29">
        <v>170203801</v>
      </c>
      <c r="S96" s="295" t="s">
        <v>404</v>
      </c>
      <c r="T96" s="299" t="s">
        <v>1470</v>
      </c>
      <c r="U96" s="311">
        <v>80</v>
      </c>
      <c r="V96" s="311"/>
      <c r="W96" s="328">
        <f t="shared" si="7"/>
        <v>80</v>
      </c>
      <c r="X96" s="530">
        <v>79</v>
      </c>
      <c r="Y96" s="296">
        <v>2020003630080</v>
      </c>
      <c r="Z96" s="28" t="s">
        <v>1354</v>
      </c>
      <c r="AA96" s="297" t="s">
        <v>402</v>
      </c>
      <c r="AB96" s="44"/>
      <c r="AC96" s="44"/>
      <c r="AD96" s="44"/>
      <c r="AE96" s="44"/>
      <c r="AF96" s="44"/>
      <c r="AG96" s="44"/>
      <c r="AH96" s="44"/>
      <c r="AI96" s="44"/>
      <c r="AJ96" s="44"/>
      <c r="AK96" s="44"/>
      <c r="AL96" s="44"/>
      <c r="AM96" s="44"/>
      <c r="AN96" s="44"/>
      <c r="AO96" s="44"/>
      <c r="AP96" s="44"/>
      <c r="AQ96" s="44"/>
      <c r="AR96" s="44"/>
      <c r="AS96" s="44"/>
      <c r="AT96" s="536">
        <f>18000000</f>
        <v>18000000</v>
      </c>
      <c r="AU96" s="41"/>
      <c r="AV96" s="41"/>
      <c r="AW96" s="367"/>
      <c r="AX96" s="133"/>
      <c r="AY96" s="133"/>
      <c r="AZ96" s="353">
        <v>105606585.66</v>
      </c>
      <c r="BA96" s="133">
        <v>105606585.66</v>
      </c>
      <c r="BB96" s="133">
        <v>105606585.66</v>
      </c>
      <c r="BC96" s="367"/>
      <c r="BD96" s="133"/>
      <c r="BE96" s="133"/>
      <c r="BF96" s="298">
        <f>AB96+AE96+AH96+AK96+AN96+AQ96+AT96+AW96+BC96+AZ96</f>
        <v>123606585.66</v>
      </c>
      <c r="BG96" s="298">
        <f>AC96+AF96+AI96+AL96+AO96+AR96+AU96+AX96+BD96+BA96</f>
        <v>105606585.66</v>
      </c>
      <c r="BH96" s="298">
        <f>AD96+AG96+AJ96+AM96+AP96+AS96+AV96+AY96+BE96+BB96</f>
        <v>105606585.66</v>
      </c>
      <c r="BI96" s="388" t="s">
        <v>1479</v>
      </c>
      <c r="BK96" s="34"/>
      <c r="BL96" s="34"/>
    </row>
    <row r="97" spans="1:64" s="16" customFormat="1" ht="117" customHeight="1" x14ac:dyDescent="0.2">
      <c r="A97" s="29">
        <v>312</v>
      </c>
      <c r="B97" s="325" t="s">
        <v>1203</v>
      </c>
      <c r="C97" s="29">
        <v>2</v>
      </c>
      <c r="D97" s="325" t="s">
        <v>1197</v>
      </c>
      <c r="E97" s="29">
        <v>17</v>
      </c>
      <c r="F97" s="325" t="s">
        <v>375</v>
      </c>
      <c r="G97" s="29">
        <v>1702</v>
      </c>
      <c r="H97" s="325" t="s">
        <v>376</v>
      </c>
      <c r="I97" s="29">
        <v>1702</v>
      </c>
      <c r="J97" s="30" t="s">
        <v>1233</v>
      </c>
      <c r="K97" s="297" t="s">
        <v>377</v>
      </c>
      <c r="L97" s="192">
        <v>1702023</v>
      </c>
      <c r="M97" s="30" t="s">
        <v>193</v>
      </c>
      <c r="N97" s="192">
        <v>1702023</v>
      </c>
      <c r="O97" s="30" t="s">
        <v>193</v>
      </c>
      <c r="P97" s="29" t="s">
        <v>405</v>
      </c>
      <c r="Q97" s="295" t="s">
        <v>406</v>
      </c>
      <c r="R97" s="29">
        <v>170202301</v>
      </c>
      <c r="S97" s="30" t="s">
        <v>406</v>
      </c>
      <c r="T97" s="299" t="s">
        <v>1469</v>
      </c>
      <c r="U97" s="311">
        <v>1</v>
      </c>
      <c r="V97" s="311"/>
      <c r="W97" s="328">
        <f t="shared" si="7"/>
        <v>1</v>
      </c>
      <c r="X97" s="530">
        <v>0.6</v>
      </c>
      <c r="Y97" s="296">
        <v>2020003630022</v>
      </c>
      <c r="Z97" s="297" t="s">
        <v>407</v>
      </c>
      <c r="AA97" s="297" t="s">
        <v>408</v>
      </c>
      <c r="AB97" s="44"/>
      <c r="AC97" s="44"/>
      <c r="AD97" s="44"/>
      <c r="AE97" s="44"/>
      <c r="AF97" s="44"/>
      <c r="AG97" s="44"/>
      <c r="AH97" s="44"/>
      <c r="AI97" s="44"/>
      <c r="AJ97" s="44"/>
      <c r="AK97" s="44"/>
      <c r="AL97" s="44"/>
      <c r="AM97" s="44"/>
      <c r="AN97" s="44"/>
      <c r="AO97" s="44"/>
      <c r="AP97" s="44"/>
      <c r="AQ97" s="44"/>
      <c r="AR97" s="44"/>
      <c r="AS97" s="44"/>
      <c r="AT97" s="357">
        <f>45000000+8655000</f>
        <v>53655000</v>
      </c>
      <c r="AU97" s="41">
        <v>49290000</v>
      </c>
      <c r="AV97" s="41">
        <v>34620000</v>
      </c>
      <c r="AW97" s="367"/>
      <c r="AX97" s="133"/>
      <c r="AY97" s="133"/>
      <c r="AZ97" s="353"/>
      <c r="BA97" s="133"/>
      <c r="BB97" s="133"/>
      <c r="BC97" s="367"/>
      <c r="BD97" s="133"/>
      <c r="BE97" s="133"/>
      <c r="BF97" s="298">
        <f t="shared" si="4"/>
        <v>53655000</v>
      </c>
      <c r="BG97" s="298">
        <f t="shared" si="5"/>
        <v>49290000</v>
      </c>
      <c r="BH97" s="298">
        <f t="shared" si="6"/>
        <v>34620000</v>
      </c>
      <c r="BI97" s="388" t="s">
        <v>1479</v>
      </c>
      <c r="BK97" s="34"/>
      <c r="BL97" s="34"/>
    </row>
    <row r="98" spans="1:64" s="16" customFormat="1" ht="117" customHeight="1" x14ac:dyDescent="0.2">
      <c r="A98" s="29">
        <v>312</v>
      </c>
      <c r="B98" s="325" t="s">
        <v>1203</v>
      </c>
      <c r="C98" s="29">
        <v>2</v>
      </c>
      <c r="D98" s="325" t="s">
        <v>1197</v>
      </c>
      <c r="E98" s="29">
        <v>17</v>
      </c>
      <c r="F98" s="325" t="s">
        <v>375</v>
      </c>
      <c r="G98" s="29">
        <v>1702</v>
      </c>
      <c r="H98" s="325" t="s">
        <v>376</v>
      </c>
      <c r="I98" s="29">
        <v>1702</v>
      </c>
      <c r="J98" s="30" t="s">
        <v>1233</v>
      </c>
      <c r="K98" s="297" t="s">
        <v>377</v>
      </c>
      <c r="L98" s="192">
        <v>1702024</v>
      </c>
      <c r="M98" s="30" t="s">
        <v>409</v>
      </c>
      <c r="N98" s="192">
        <v>1702024</v>
      </c>
      <c r="O98" s="30" t="s">
        <v>409</v>
      </c>
      <c r="P98" s="287" t="s">
        <v>410</v>
      </c>
      <c r="Q98" s="295" t="s">
        <v>411</v>
      </c>
      <c r="R98" s="287">
        <v>170202400</v>
      </c>
      <c r="S98" s="295" t="s">
        <v>411</v>
      </c>
      <c r="T98" s="299" t="s">
        <v>1469</v>
      </c>
      <c r="U98" s="311">
        <v>12</v>
      </c>
      <c r="V98" s="311"/>
      <c r="W98" s="328">
        <f t="shared" si="7"/>
        <v>12</v>
      </c>
      <c r="X98" s="530">
        <v>7</v>
      </c>
      <c r="Y98" s="296">
        <v>2020003630022</v>
      </c>
      <c r="Z98" s="28" t="s">
        <v>407</v>
      </c>
      <c r="AA98" s="297" t="s">
        <v>408</v>
      </c>
      <c r="AB98" s="44"/>
      <c r="AC98" s="44"/>
      <c r="AD98" s="44"/>
      <c r="AE98" s="44"/>
      <c r="AF98" s="44"/>
      <c r="AG98" s="44"/>
      <c r="AH98" s="44"/>
      <c r="AI98" s="44"/>
      <c r="AJ98" s="44"/>
      <c r="AK98" s="44"/>
      <c r="AL98" s="44"/>
      <c r="AM98" s="44"/>
      <c r="AN98" s="44"/>
      <c r="AO98" s="44"/>
      <c r="AP98" s="44"/>
      <c r="AQ98" s="44"/>
      <c r="AR98" s="44"/>
      <c r="AS98" s="44"/>
      <c r="AT98" s="357">
        <f>45000000+6675000</f>
        <v>51675000</v>
      </c>
      <c r="AU98" s="41">
        <v>48220000</v>
      </c>
      <c r="AV98" s="41">
        <v>39565000</v>
      </c>
      <c r="AW98" s="367"/>
      <c r="AX98" s="133"/>
      <c r="AY98" s="133"/>
      <c r="AZ98" s="353"/>
      <c r="BA98" s="133"/>
      <c r="BB98" s="133"/>
      <c r="BC98" s="367"/>
      <c r="BD98" s="133"/>
      <c r="BE98" s="133"/>
      <c r="BF98" s="298">
        <f t="shared" si="4"/>
        <v>51675000</v>
      </c>
      <c r="BG98" s="298">
        <f t="shared" si="5"/>
        <v>48220000</v>
      </c>
      <c r="BH98" s="298">
        <f t="shared" si="6"/>
        <v>39565000</v>
      </c>
      <c r="BI98" s="388" t="s">
        <v>1479</v>
      </c>
      <c r="BK98" s="34"/>
      <c r="BL98" s="34"/>
    </row>
    <row r="99" spans="1:64" s="31" customFormat="1" ht="117" customHeight="1" x14ac:dyDescent="0.25">
      <c r="A99" s="29">
        <v>312</v>
      </c>
      <c r="B99" s="325" t="s">
        <v>1203</v>
      </c>
      <c r="C99" s="29">
        <v>2</v>
      </c>
      <c r="D99" s="325" t="s">
        <v>1197</v>
      </c>
      <c r="E99" s="29">
        <v>17</v>
      </c>
      <c r="F99" s="325" t="s">
        <v>375</v>
      </c>
      <c r="G99" s="29">
        <v>1702</v>
      </c>
      <c r="H99" s="325" t="s">
        <v>376</v>
      </c>
      <c r="I99" s="29">
        <v>1702</v>
      </c>
      <c r="J99" s="30" t="s">
        <v>1233</v>
      </c>
      <c r="K99" s="297" t="s">
        <v>377</v>
      </c>
      <c r="L99" s="192">
        <v>1702025</v>
      </c>
      <c r="M99" s="30" t="s">
        <v>412</v>
      </c>
      <c r="N99" s="192">
        <v>1702025</v>
      </c>
      <c r="O99" s="30" t="s">
        <v>412</v>
      </c>
      <c r="P99" s="287" t="s">
        <v>413</v>
      </c>
      <c r="Q99" s="295" t="s">
        <v>414</v>
      </c>
      <c r="R99" s="287">
        <v>170202500</v>
      </c>
      <c r="S99" s="295" t="s">
        <v>414</v>
      </c>
      <c r="T99" s="299" t="s">
        <v>1470</v>
      </c>
      <c r="U99" s="311">
        <v>25</v>
      </c>
      <c r="V99" s="311"/>
      <c r="W99" s="328">
        <f t="shared" si="7"/>
        <v>25</v>
      </c>
      <c r="X99" s="530">
        <v>19</v>
      </c>
      <c r="Y99" s="296">
        <v>2020003630081</v>
      </c>
      <c r="Z99" s="297" t="s">
        <v>1352</v>
      </c>
      <c r="AA99" s="297" t="s">
        <v>416</v>
      </c>
      <c r="AB99" s="44"/>
      <c r="AC99" s="44"/>
      <c r="AD99" s="44"/>
      <c r="AE99" s="44"/>
      <c r="AF99" s="44"/>
      <c r="AG99" s="44"/>
      <c r="AH99" s="44"/>
      <c r="AI99" s="44"/>
      <c r="AJ99" s="44"/>
      <c r="AK99" s="44"/>
      <c r="AL99" s="44"/>
      <c r="AM99" s="44"/>
      <c r="AN99" s="44"/>
      <c r="AO99" s="44"/>
      <c r="AP99" s="44"/>
      <c r="AQ99" s="44"/>
      <c r="AR99" s="44"/>
      <c r="AS99" s="44"/>
      <c r="AT99" s="357">
        <f>27000000-15460000</f>
        <v>11540000</v>
      </c>
      <c r="AU99" s="41">
        <v>8655000</v>
      </c>
      <c r="AV99" s="41">
        <v>2885000</v>
      </c>
      <c r="AW99" s="367"/>
      <c r="AX99" s="133"/>
      <c r="AY99" s="133"/>
      <c r="AZ99" s="353"/>
      <c r="BA99" s="133"/>
      <c r="BB99" s="133"/>
      <c r="BC99" s="367"/>
      <c r="BD99" s="133"/>
      <c r="BE99" s="133"/>
      <c r="BF99" s="298">
        <f t="shared" si="4"/>
        <v>11540000</v>
      </c>
      <c r="BG99" s="298">
        <f t="shared" si="5"/>
        <v>8655000</v>
      </c>
      <c r="BH99" s="298">
        <f t="shared" si="6"/>
        <v>2885000</v>
      </c>
      <c r="BI99" s="388" t="s">
        <v>1479</v>
      </c>
      <c r="BL99" s="34"/>
    </row>
    <row r="100" spans="1:64" s="31" customFormat="1" ht="117" customHeight="1" x14ac:dyDescent="0.25">
      <c r="A100" s="29">
        <v>312</v>
      </c>
      <c r="B100" s="325" t="s">
        <v>1203</v>
      </c>
      <c r="C100" s="29">
        <v>2</v>
      </c>
      <c r="D100" s="325" t="s">
        <v>1197</v>
      </c>
      <c r="E100" s="29">
        <v>17</v>
      </c>
      <c r="F100" s="325" t="s">
        <v>375</v>
      </c>
      <c r="G100" s="29">
        <v>1703</v>
      </c>
      <c r="H100" s="325" t="s">
        <v>417</v>
      </c>
      <c r="I100" s="29">
        <v>1703</v>
      </c>
      <c r="J100" s="30" t="s">
        <v>1234</v>
      </c>
      <c r="K100" s="297" t="s">
        <v>377</v>
      </c>
      <c r="L100" s="192">
        <v>1703013</v>
      </c>
      <c r="M100" s="30" t="s">
        <v>418</v>
      </c>
      <c r="N100" s="192">
        <v>1703013</v>
      </c>
      <c r="O100" s="30" t="s">
        <v>418</v>
      </c>
      <c r="P100" s="287" t="s">
        <v>419</v>
      </c>
      <c r="Q100" s="295" t="s">
        <v>420</v>
      </c>
      <c r="R100" s="287">
        <v>170301300</v>
      </c>
      <c r="S100" s="295" t="s">
        <v>420</v>
      </c>
      <c r="T100" s="299" t="s">
        <v>1470</v>
      </c>
      <c r="U100" s="311">
        <v>70</v>
      </c>
      <c r="V100" s="311"/>
      <c r="W100" s="328">
        <f t="shared" si="7"/>
        <v>70</v>
      </c>
      <c r="X100" s="530">
        <v>39</v>
      </c>
      <c r="Y100" s="296">
        <v>2020003630082</v>
      </c>
      <c r="Z100" s="28" t="s">
        <v>1353</v>
      </c>
      <c r="AA100" s="297" t="s">
        <v>422</v>
      </c>
      <c r="AB100" s="44"/>
      <c r="AC100" s="44"/>
      <c r="AD100" s="44"/>
      <c r="AE100" s="44"/>
      <c r="AF100" s="44"/>
      <c r="AG100" s="44"/>
      <c r="AH100" s="44"/>
      <c r="AI100" s="44"/>
      <c r="AJ100" s="44"/>
      <c r="AK100" s="44"/>
      <c r="AL100" s="44"/>
      <c r="AM100" s="44"/>
      <c r="AN100" s="44"/>
      <c r="AO100" s="44"/>
      <c r="AP100" s="44"/>
      <c r="AQ100" s="44"/>
      <c r="AR100" s="44"/>
      <c r="AS100" s="44"/>
      <c r="AT100" s="357">
        <f>75000000-24205000</f>
        <v>50795000</v>
      </c>
      <c r="AU100" s="41">
        <v>39255000</v>
      </c>
      <c r="AV100" s="41">
        <v>30600000</v>
      </c>
      <c r="AW100" s="367"/>
      <c r="AX100" s="133"/>
      <c r="AY100" s="133"/>
      <c r="AZ100" s="353"/>
      <c r="BA100" s="133"/>
      <c r="BB100" s="133"/>
      <c r="BC100" s="367"/>
      <c r="BD100" s="133"/>
      <c r="BE100" s="133"/>
      <c r="BF100" s="298">
        <f t="shared" ref="BF100:BF163" si="8">AB100+AE100+AH100+AK100+AN100+AQ100+AT100+AW100+BC100</f>
        <v>50795000</v>
      </c>
      <c r="BG100" s="298">
        <f t="shared" ref="BG100:BG163" si="9">AC100+AF100+AI100+AL100+AO100+AR100+AU100+AX100+BD100</f>
        <v>39255000</v>
      </c>
      <c r="BH100" s="298">
        <f t="shared" ref="BH100:BH163" si="10">AD100+AG100+AJ100+AM100+AP100+AS100+AV100+AY100+BE100</f>
        <v>30600000</v>
      </c>
      <c r="BI100" s="388" t="s">
        <v>1479</v>
      </c>
      <c r="BL100" s="34"/>
    </row>
    <row r="101" spans="1:64" s="31" customFormat="1" ht="117" customHeight="1" x14ac:dyDescent="0.2">
      <c r="A101" s="29">
        <v>312</v>
      </c>
      <c r="B101" s="325" t="s">
        <v>1203</v>
      </c>
      <c r="C101" s="29">
        <v>2</v>
      </c>
      <c r="D101" s="325" t="s">
        <v>1197</v>
      </c>
      <c r="E101" s="29">
        <v>17</v>
      </c>
      <c r="F101" s="325" t="s">
        <v>375</v>
      </c>
      <c r="G101" s="29">
        <v>1704</v>
      </c>
      <c r="H101" s="325" t="s">
        <v>423</v>
      </c>
      <c r="I101" s="29">
        <v>1704</v>
      </c>
      <c r="J101" s="30" t="s">
        <v>1235</v>
      </c>
      <c r="K101" s="297" t="s">
        <v>377</v>
      </c>
      <c r="L101" s="192">
        <v>1704002</v>
      </c>
      <c r="M101" s="30" t="s">
        <v>68</v>
      </c>
      <c r="N101" s="192">
        <v>1704002</v>
      </c>
      <c r="O101" s="30" t="s">
        <v>68</v>
      </c>
      <c r="P101" s="29" t="s">
        <v>424</v>
      </c>
      <c r="Q101" s="295" t="s">
        <v>425</v>
      </c>
      <c r="R101" s="29">
        <v>170400203</v>
      </c>
      <c r="S101" s="295" t="s">
        <v>425</v>
      </c>
      <c r="T101" s="299" t="s">
        <v>1469</v>
      </c>
      <c r="U101" s="311">
        <v>1</v>
      </c>
      <c r="V101" s="311"/>
      <c r="W101" s="328">
        <f t="shared" si="7"/>
        <v>1</v>
      </c>
      <c r="X101" s="530">
        <v>0.6</v>
      </c>
      <c r="Y101" s="296">
        <v>2020003630025</v>
      </c>
      <c r="Z101" s="28" t="s">
        <v>426</v>
      </c>
      <c r="AA101" s="297" t="s">
        <v>427</v>
      </c>
      <c r="AB101" s="40"/>
      <c r="AC101" s="40"/>
      <c r="AD101" s="40"/>
      <c r="AE101" s="40"/>
      <c r="AF101" s="40"/>
      <c r="AG101" s="40"/>
      <c r="AH101" s="40"/>
      <c r="AI101" s="40"/>
      <c r="AJ101" s="40"/>
      <c r="AK101" s="40"/>
      <c r="AL101" s="40"/>
      <c r="AM101" s="40"/>
      <c r="AN101" s="40"/>
      <c r="AO101" s="40"/>
      <c r="AP101" s="40"/>
      <c r="AQ101" s="40"/>
      <c r="AR101" s="40"/>
      <c r="AS101" s="40"/>
      <c r="AT101" s="353">
        <f>42000000+13675000</f>
        <v>55675000</v>
      </c>
      <c r="AU101" s="133">
        <v>44520000</v>
      </c>
      <c r="AV101" s="133">
        <v>34620000</v>
      </c>
      <c r="AW101" s="367"/>
      <c r="AX101" s="133"/>
      <c r="AY101" s="133"/>
      <c r="AZ101" s="353"/>
      <c r="BA101" s="133"/>
      <c r="BB101" s="133"/>
      <c r="BC101" s="367"/>
      <c r="BD101" s="133"/>
      <c r="BE101" s="133"/>
      <c r="BF101" s="298">
        <f t="shared" si="8"/>
        <v>55675000</v>
      </c>
      <c r="BG101" s="298">
        <f t="shared" si="9"/>
        <v>44520000</v>
      </c>
      <c r="BH101" s="298">
        <f t="shared" si="10"/>
        <v>34620000</v>
      </c>
      <c r="BI101" s="388" t="s">
        <v>1479</v>
      </c>
      <c r="BL101" s="34"/>
    </row>
    <row r="102" spans="1:64" s="31" customFormat="1" ht="117" customHeight="1" x14ac:dyDescent="0.2">
      <c r="A102" s="29">
        <v>312</v>
      </c>
      <c r="B102" s="325" t="s">
        <v>1203</v>
      </c>
      <c r="C102" s="29">
        <v>2</v>
      </c>
      <c r="D102" s="325" t="s">
        <v>1197</v>
      </c>
      <c r="E102" s="29">
        <v>17</v>
      </c>
      <c r="F102" s="325" t="s">
        <v>375</v>
      </c>
      <c r="G102" s="29">
        <v>1704</v>
      </c>
      <c r="H102" s="325" t="s">
        <v>423</v>
      </c>
      <c r="I102" s="29">
        <v>1704</v>
      </c>
      <c r="J102" s="30" t="s">
        <v>1235</v>
      </c>
      <c r="K102" s="297" t="s">
        <v>377</v>
      </c>
      <c r="L102" s="192">
        <v>1704017</v>
      </c>
      <c r="M102" s="30" t="s">
        <v>428</v>
      </c>
      <c r="N102" s="192">
        <v>1704017</v>
      </c>
      <c r="O102" s="30" t="s">
        <v>428</v>
      </c>
      <c r="P102" s="29" t="s">
        <v>429</v>
      </c>
      <c r="Q102" s="295" t="s">
        <v>430</v>
      </c>
      <c r="R102" s="29">
        <v>170401700</v>
      </c>
      <c r="S102" s="295" t="s">
        <v>430</v>
      </c>
      <c r="T102" s="299" t="s">
        <v>1470</v>
      </c>
      <c r="U102" s="311">
        <v>150</v>
      </c>
      <c r="V102" s="311"/>
      <c r="W102" s="328">
        <f t="shared" si="7"/>
        <v>150</v>
      </c>
      <c r="X102" s="530">
        <v>75</v>
      </c>
      <c r="Y102" s="296">
        <v>2020003630025</v>
      </c>
      <c r="Z102" s="28" t="s">
        <v>426</v>
      </c>
      <c r="AA102" s="297" t="s">
        <v>427</v>
      </c>
      <c r="AB102" s="40"/>
      <c r="AC102" s="40"/>
      <c r="AD102" s="40"/>
      <c r="AE102" s="40"/>
      <c r="AF102" s="40"/>
      <c r="AG102" s="40"/>
      <c r="AH102" s="40"/>
      <c r="AI102" s="40"/>
      <c r="AJ102" s="40"/>
      <c r="AK102" s="40"/>
      <c r="AL102" s="40"/>
      <c r="AM102" s="40"/>
      <c r="AN102" s="40"/>
      <c r="AO102" s="40"/>
      <c r="AP102" s="40"/>
      <c r="AQ102" s="40"/>
      <c r="AR102" s="40"/>
      <c r="AS102" s="40"/>
      <c r="AT102" s="353">
        <f>28000000+1442500</f>
        <v>29442500</v>
      </c>
      <c r="AU102" s="133">
        <v>25965000</v>
      </c>
      <c r="AV102" s="133">
        <v>17310000</v>
      </c>
      <c r="AW102" s="367"/>
      <c r="AX102" s="133"/>
      <c r="AY102" s="133"/>
      <c r="AZ102" s="353"/>
      <c r="BA102" s="133"/>
      <c r="BB102" s="133"/>
      <c r="BC102" s="367"/>
      <c r="BD102" s="133"/>
      <c r="BE102" s="133"/>
      <c r="BF102" s="298">
        <f t="shared" si="8"/>
        <v>29442500</v>
      </c>
      <c r="BG102" s="298">
        <f t="shared" si="9"/>
        <v>25965000</v>
      </c>
      <c r="BH102" s="298">
        <f t="shared" si="10"/>
        <v>17310000</v>
      </c>
      <c r="BI102" s="388" t="s">
        <v>1479</v>
      </c>
      <c r="BL102" s="34"/>
    </row>
    <row r="103" spans="1:64" s="31" customFormat="1" ht="117" customHeight="1" x14ac:dyDescent="0.25">
      <c r="A103" s="29">
        <v>312</v>
      </c>
      <c r="B103" s="325" t="s">
        <v>1203</v>
      </c>
      <c r="C103" s="29">
        <v>2</v>
      </c>
      <c r="D103" s="325" t="s">
        <v>1197</v>
      </c>
      <c r="E103" s="29">
        <v>17</v>
      </c>
      <c r="F103" s="325" t="s">
        <v>375</v>
      </c>
      <c r="G103" s="29">
        <v>1706</v>
      </c>
      <c r="H103" s="325" t="s">
        <v>431</v>
      </c>
      <c r="I103" s="29">
        <v>1706</v>
      </c>
      <c r="J103" s="30" t="s">
        <v>1236</v>
      </c>
      <c r="K103" s="297" t="s">
        <v>377</v>
      </c>
      <c r="L103" s="192">
        <v>1706004</v>
      </c>
      <c r="M103" s="30" t="s">
        <v>432</v>
      </c>
      <c r="N103" s="192">
        <v>1706004</v>
      </c>
      <c r="O103" s="30" t="s">
        <v>432</v>
      </c>
      <c r="P103" s="29" t="s">
        <v>433</v>
      </c>
      <c r="Q103" s="295" t="s">
        <v>434</v>
      </c>
      <c r="R103" s="29">
        <v>170600400</v>
      </c>
      <c r="S103" s="295" t="s">
        <v>434</v>
      </c>
      <c r="T103" s="299" t="s">
        <v>1469</v>
      </c>
      <c r="U103" s="311">
        <v>10</v>
      </c>
      <c r="V103" s="311"/>
      <c r="W103" s="328">
        <f t="shared" si="7"/>
        <v>10</v>
      </c>
      <c r="X103" s="530">
        <v>5</v>
      </c>
      <c r="Y103" s="296">
        <v>2020003630083</v>
      </c>
      <c r="Z103" s="28" t="s">
        <v>435</v>
      </c>
      <c r="AA103" s="297" t="s">
        <v>436</v>
      </c>
      <c r="AB103" s="44"/>
      <c r="AC103" s="44"/>
      <c r="AD103" s="44"/>
      <c r="AE103" s="44"/>
      <c r="AF103" s="44"/>
      <c r="AG103" s="44"/>
      <c r="AH103" s="44"/>
      <c r="AI103" s="44"/>
      <c r="AJ103" s="44"/>
      <c r="AK103" s="44"/>
      <c r="AL103" s="44"/>
      <c r="AM103" s="44"/>
      <c r="AN103" s="44"/>
      <c r="AO103" s="44"/>
      <c r="AP103" s="44"/>
      <c r="AQ103" s="44"/>
      <c r="AR103" s="44"/>
      <c r="AS103" s="44"/>
      <c r="AT103" s="133">
        <f>20000000+125000000</f>
        <v>145000000</v>
      </c>
      <c r="AU103" s="133">
        <v>137355000</v>
      </c>
      <c r="AV103" s="133">
        <v>6000000</v>
      </c>
      <c r="AW103" s="367"/>
      <c r="AX103" s="133"/>
      <c r="AY103" s="133"/>
      <c r="AZ103" s="353"/>
      <c r="BA103" s="133"/>
      <c r="BB103" s="133"/>
      <c r="BC103" s="367"/>
      <c r="BD103" s="133"/>
      <c r="BE103" s="133"/>
      <c r="BF103" s="298">
        <f t="shared" si="8"/>
        <v>145000000</v>
      </c>
      <c r="BG103" s="298">
        <f t="shared" si="9"/>
        <v>137355000</v>
      </c>
      <c r="BH103" s="298">
        <f t="shared" si="10"/>
        <v>6000000</v>
      </c>
      <c r="BI103" s="388" t="s">
        <v>1479</v>
      </c>
      <c r="BL103" s="34"/>
    </row>
    <row r="104" spans="1:64" s="31" customFormat="1" ht="117" customHeight="1" x14ac:dyDescent="0.25">
      <c r="A104" s="29">
        <v>312</v>
      </c>
      <c r="B104" s="325" t="s">
        <v>1203</v>
      </c>
      <c r="C104" s="29">
        <v>2</v>
      </c>
      <c r="D104" s="325" t="s">
        <v>1197</v>
      </c>
      <c r="E104" s="29">
        <v>17</v>
      </c>
      <c r="F104" s="325" t="s">
        <v>375</v>
      </c>
      <c r="G104" s="29">
        <v>1707</v>
      </c>
      <c r="H104" s="325" t="s">
        <v>437</v>
      </c>
      <c r="I104" s="29">
        <v>1707</v>
      </c>
      <c r="J104" s="30" t="s">
        <v>1237</v>
      </c>
      <c r="K104" s="297" t="s">
        <v>377</v>
      </c>
      <c r="L104" s="192">
        <v>1707069</v>
      </c>
      <c r="M104" s="30" t="s">
        <v>438</v>
      </c>
      <c r="N104" s="192">
        <v>1707069</v>
      </c>
      <c r="O104" s="30" t="s">
        <v>438</v>
      </c>
      <c r="P104" s="29" t="s">
        <v>439</v>
      </c>
      <c r="Q104" s="30" t="s">
        <v>440</v>
      </c>
      <c r="R104" s="29">
        <v>170706900</v>
      </c>
      <c r="S104" s="295" t="s">
        <v>440</v>
      </c>
      <c r="T104" s="299" t="s">
        <v>1470</v>
      </c>
      <c r="U104" s="311">
        <v>5</v>
      </c>
      <c r="V104" s="311"/>
      <c r="W104" s="328">
        <f t="shared" si="7"/>
        <v>5</v>
      </c>
      <c r="X104" s="530">
        <v>0</v>
      </c>
      <c r="Y104" s="296">
        <v>2020003630084</v>
      </c>
      <c r="Z104" s="28" t="s">
        <v>1174</v>
      </c>
      <c r="AA104" s="297" t="s">
        <v>441</v>
      </c>
      <c r="AB104" s="44"/>
      <c r="AC104" s="44"/>
      <c r="AD104" s="44"/>
      <c r="AE104" s="44"/>
      <c r="AF104" s="44"/>
      <c r="AG104" s="44"/>
      <c r="AH104" s="44"/>
      <c r="AI104" s="44"/>
      <c r="AJ104" s="44"/>
      <c r="AK104" s="44"/>
      <c r="AL104" s="44"/>
      <c r="AM104" s="44"/>
      <c r="AN104" s="44"/>
      <c r="AO104" s="44"/>
      <c r="AP104" s="44"/>
      <c r="AQ104" s="44"/>
      <c r="AR104" s="44"/>
      <c r="AS104" s="44"/>
      <c r="AT104" s="357">
        <v>43000000</v>
      </c>
      <c r="AU104" s="41">
        <v>43000000</v>
      </c>
      <c r="AV104" s="41">
        <v>0</v>
      </c>
      <c r="AW104" s="367"/>
      <c r="AX104" s="133"/>
      <c r="AY104" s="133"/>
      <c r="AZ104" s="353"/>
      <c r="BA104" s="133"/>
      <c r="BB104" s="133"/>
      <c r="BC104" s="367"/>
      <c r="BD104" s="133"/>
      <c r="BE104" s="133"/>
      <c r="BF104" s="298">
        <f t="shared" si="8"/>
        <v>43000000</v>
      </c>
      <c r="BG104" s="298">
        <f t="shared" si="9"/>
        <v>43000000</v>
      </c>
      <c r="BH104" s="298">
        <f t="shared" si="10"/>
        <v>0</v>
      </c>
      <c r="BI104" s="388" t="s">
        <v>1479</v>
      </c>
      <c r="BL104" s="34"/>
    </row>
    <row r="105" spans="1:64" s="31" customFormat="1" ht="117" customHeight="1" x14ac:dyDescent="0.25">
      <c r="A105" s="29">
        <v>312</v>
      </c>
      <c r="B105" s="325" t="s">
        <v>1203</v>
      </c>
      <c r="C105" s="29">
        <v>2</v>
      </c>
      <c r="D105" s="325" t="s">
        <v>1197</v>
      </c>
      <c r="E105" s="29">
        <v>17</v>
      </c>
      <c r="F105" s="325" t="s">
        <v>375</v>
      </c>
      <c r="G105" s="29">
        <v>1708</v>
      </c>
      <c r="H105" s="325" t="s">
        <v>442</v>
      </c>
      <c r="I105" s="29">
        <v>1708</v>
      </c>
      <c r="J105" s="30" t="s">
        <v>1238</v>
      </c>
      <c r="K105" s="297" t="s">
        <v>377</v>
      </c>
      <c r="L105" s="192">
        <v>1708016</v>
      </c>
      <c r="M105" s="30" t="s">
        <v>68</v>
      </c>
      <c r="N105" s="192">
        <v>1708016</v>
      </c>
      <c r="O105" s="30" t="s">
        <v>68</v>
      </c>
      <c r="P105" s="287" t="s">
        <v>443</v>
      </c>
      <c r="Q105" s="295" t="s">
        <v>444</v>
      </c>
      <c r="R105" s="287">
        <v>170801600</v>
      </c>
      <c r="S105" s="295" t="s">
        <v>444</v>
      </c>
      <c r="T105" s="299" t="s">
        <v>1469</v>
      </c>
      <c r="U105" s="311">
        <v>2</v>
      </c>
      <c r="V105" s="311"/>
      <c r="W105" s="328">
        <f t="shared" si="7"/>
        <v>2</v>
      </c>
      <c r="X105" s="530">
        <v>1.5</v>
      </c>
      <c r="Y105" s="296">
        <v>2020003630026</v>
      </c>
      <c r="Z105" s="28" t="s">
        <v>445</v>
      </c>
      <c r="AA105" s="297" t="s">
        <v>446</v>
      </c>
      <c r="AB105" s="44"/>
      <c r="AC105" s="44"/>
      <c r="AD105" s="44"/>
      <c r="AE105" s="44"/>
      <c r="AF105" s="44"/>
      <c r="AG105" s="44"/>
      <c r="AH105" s="44"/>
      <c r="AI105" s="44"/>
      <c r="AJ105" s="44"/>
      <c r="AK105" s="44"/>
      <c r="AL105" s="44"/>
      <c r="AM105" s="44"/>
      <c r="AN105" s="44"/>
      <c r="AO105" s="44"/>
      <c r="AP105" s="44"/>
      <c r="AQ105" s="44"/>
      <c r="AR105" s="44"/>
      <c r="AS105" s="44"/>
      <c r="AT105" s="353">
        <f>20000000+7810000</f>
        <v>27810000</v>
      </c>
      <c r="AU105" s="133">
        <v>26310000</v>
      </c>
      <c r="AV105" s="133">
        <v>17310000</v>
      </c>
      <c r="AW105" s="367"/>
      <c r="AX105" s="133"/>
      <c r="AY105" s="133"/>
      <c r="AZ105" s="353"/>
      <c r="BA105" s="133"/>
      <c r="BB105" s="133"/>
      <c r="BC105" s="367"/>
      <c r="BD105" s="133"/>
      <c r="BE105" s="133"/>
      <c r="BF105" s="298">
        <f t="shared" si="8"/>
        <v>27810000</v>
      </c>
      <c r="BG105" s="298">
        <f t="shared" si="9"/>
        <v>26310000</v>
      </c>
      <c r="BH105" s="298">
        <f t="shared" si="10"/>
        <v>17310000</v>
      </c>
      <c r="BI105" s="388" t="s">
        <v>1479</v>
      </c>
      <c r="BL105" s="34"/>
    </row>
    <row r="106" spans="1:64" s="31" customFormat="1" ht="117" customHeight="1" x14ac:dyDescent="0.25">
      <c r="A106" s="29">
        <v>312</v>
      </c>
      <c r="B106" s="325" t="s">
        <v>1203</v>
      </c>
      <c r="C106" s="29">
        <v>2</v>
      </c>
      <c r="D106" s="325" t="s">
        <v>1197</v>
      </c>
      <c r="E106" s="29">
        <v>17</v>
      </c>
      <c r="F106" s="325" t="s">
        <v>375</v>
      </c>
      <c r="G106" s="29">
        <v>1708</v>
      </c>
      <c r="H106" s="325" t="s">
        <v>442</v>
      </c>
      <c r="I106" s="29">
        <v>1708</v>
      </c>
      <c r="J106" s="30" t="s">
        <v>1238</v>
      </c>
      <c r="K106" s="297" t="s">
        <v>377</v>
      </c>
      <c r="L106" s="192">
        <v>1708051</v>
      </c>
      <c r="M106" s="30" t="s">
        <v>447</v>
      </c>
      <c r="N106" s="192">
        <v>1708051</v>
      </c>
      <c r="O106" s="30" t="s">
        <v>447</v>
      </c>
      <c r="P106" s="287" t="s">
        <v>448</v>
      </c>
      <c r="Q106" s="295" t="s">
        <v>449</v>
      </c>
      <c r="R106" s="287">
        <v>170805100</v>
      </c>
      <c r="S106" s="295" t="s">
        <v>449</v>
      </c>
      <c r="T106" s="299" t="s">
        <v>1469</v>
      </c>
      <c r="U106" s="311">
        <v>1</v>
      </c>
      <c r="V106" s="311"/>
      <c r="W106" s="328">
        <f t="shared" si="7"/>
        <v>1</v>
      </c>
      <c r="X106" s="530">
        <v>0</v>
      </c>
      <c r="Y106" s="296">
        <v>2020003630026</v>
      </c>
      <c r="Z106" s="28" t="s">
        <v>445</v>
      </c>
      <c r="AA106" s="297" t="s">
        <v>446</v>
      </c>
      <c r="AB106" s="44"/>
      <c r="AC106" s="44"/>
      <c r="AD106" s="44"/>
      <c r="AE106" s="44"/>
      <c r="AF106" s="44"/>
      <c r="AG106" s="44"/>
      <c r="AH106" s="44"/>
      <c r="AI106" s="44"/>
      <c r="AJ106" s="44"/>
      <c r="AK106" s="44"/>
      <c r="AL106" s="44"/>
      <c r="AM106" s="44"/>
      <c r="AN106" s="44"/>
      <c r="AO106" s="44"/>
      <c r="AP106" s="44"/>
      <c r="AQ106" s="44"/>
      <c r="AR106" s="44"/>
      <c r="AS106" s="44"/>
      <c r="AT106" s="353">
        <v>20000000</v>
      </c>
      <c r="AU106" s="133">
        <v>0</v>
      </c>
      <c r="AV106" s="133">
        <v>0</v>
      </c>
      <c r="AW106" s="367"/>
      <c r="AX106" s="133"/>
      <c r="AY106" s="133"/>
      <c r="AZ106" s="353"/>
      <c r="BA106" s="133"/>
      <c r="BB106" s="133"/>
      <c r="BC106" s="367"/>
      <c r="BD106" s="133"/>
      <c r="BE106" s="133"/>
      <c r="BF106" s="298">
        <f t="shared" si="8"/>
        <v>20000000</v>
      </c>
      <c r="BG106" s="298">
        <f t="shared" si="9"/>
        <v>0</v>
      </c>
      <c r="BH106" s="298">
        <f t="shared" si="10"/>
        <v>0</v>
      </c>
      <c r="BI106" s="388" t="s">
        <v>1479</v>
      </c>
      <c r="BL106" s="34"/>
    </row>
    <row r="107" spans="1:64" s="31" customFormat="1" ht="117" customHeight="1" x14ac:dyDescent="0.2">
      <c r="A107" s="29">
        <v>312</v>
      </c>
      <c r="B107" s="325" t="s">
        <v>1203</v>
      </c>
      <c r="C107" s="29">
        <v>2</v>
      </c>
      <c r="D107" s="325" t="s">
        <v>1197</v>
      </c>
      <c r="E107" s="29">
        <v>17</v>
      </c>
      <c r="F107" s="325" t="s">
        <v>375</v>
      </c>
      <c r="G107" s="29">
        <v>1709</v>
      </c>
      <c r="H107" s="325" t="s">
        <v>450</v>
      </c>
      <c r="I107" s="29">
        <v>1709</v>
      </c>
      <c r="J107" s="30" t="s">
        <v>1239</v>
      </c>
      <c r="K107" s="297" t="s">
        <v>377</v>
      </c>
      <c r="L107" s="192">
        <v>1709019</v>
      </c>
      <c r="M107" s="30" t="s">
        <v>451</v>
      </c>
      <c r="N107" s="192">
        <v>1709019</v>
      </c>
      <c r="O107" s="30" t="s">
        <v>451</v>
      </c>
      <c r="P107" s="287">
        <v>170901900</v>
      </c>
      <c r="Q107" s="295" t="s">
        <v>451</v>
      </c>
      <c r="R107" s="287">
        <v>170901900</v>
      </c>
      <c r="S107" s="295" t="s">
        <v>451</v>
      </c>
      <c r="T107" s="299" t="s">
        <v>1470</v>
      </c>
      <c r="U107" s="311">
        <v>5</v>
      </c>
      <c r="V107" s="311">
        <v>1</v>
      </c>
      <c r="W107" s="328">
        <f t="shared" si="7"/>
        <v>6</v>
      </c>
      <c r="X107" s="530">
        <v>0</v>
      </c>
      <c r="Y107" s="296">
        <v>2020003630024</v>
      </c>
      <c r="Z107" s="28" t="s">
        <v>1170</v>
      </c>
      <c r="AA107" s="297" t="s">
        <v>452</v>
      </c>
      <c r="AB107" s="40"/>
      <c r="AC107" s="40"/>
      <c r="AD107" s="40"/>
      <c r="AE107" s="40"/>
      <c r="AF107" s="40"/>
      <c r="AG107" s="40"/>
      <c r="AH107" s="40"/>
      <c r="AI107" s="40"/>
      <c r="AJ107" s="40"/>
      <c r="AK107" s="40"/>
      <c r="AL107" s="40"/>
      <c r="AM107" s="40"/>
      <c r="AN107" s="40"/>
      <c r="AO107" s="40"/>
      <c r="AP107" s="40"/>
      <c r="AQ107" s="40"/>
      <c r="AR107" s="40"/>
      <c r="AS107" s="40"/>
      <c r="AT107" s="353">
        <f>43000000-23088939</f>
        <v>19911061</v>
      </c>
      <c r="AU107" s="133"/>
      <c r="AV107" s="133"/>
      <c r="AW107" s="367"/>
      <c r="AX107" s="133"/>
      <c r="AY107" s="133"/>
      <c r="AZ107" s="353"/>
      <c r="BA107" s="133"/>
      <c r="BB107" s="133"/>
      <c r="BC107" s="367"/>
      <c r="BD107" s="133"/>
      <c r="BE107" s="133"/>
      <c r="BF107" s="298">
        <f t="shared" si="8"/>
        <v>19911061</v>
      </c>
      <c r="BG107" s="298">
        <f t="shared" si="9"/>
        <v>0</v>
      </c>
      <c r="BH107" s="298">
        <f t="shared" si="10"/>
        <v>0</v>
      </c>
      <c r="BI107" s="388" t="s">
        <v>1479</v>
      </c>
      <c r="BL107" s="34"/>
    </row>
    <row r="108" spans="1:64" s="31" customFormat="1" ht="117" customHeight="1" x14ac:dyDescent="0.2">
      <c r="A108" s="29">
        <v>312</v>
      </c>
      <c r="B108" s="325" t="s">
        <v>1203</v>
      </c>
      <c r="C108" s="29">
        <v>2</v>
      </c>
      <c r="D108" s="325" t="s">
        <v>1197</v>
      </c>
      <c r="E108" s="29">
        <v>17</v>
      </c>
      <c r="F108" s="325" t="s">
        <v>375</v>
      </c>
      <c r="G108" s="29">
        <v>1709</v>
      </c>
      <c r="H108" s="325" t="s">
        <v>450</v>
      </c>
      <c r="I108" s="29">
        <v>1709</v>
      </c>
      <c r="J108" s="30" t="s">
        <v>1239</v>
      </c>
      <c r="K108" s="297" t="s">
        <v>377</v>
      </c>
      <c r="L108" s="192">
        <v>1709034</v>
      </c>
      <c r="M108" s="30" t="s">
        <v>453</v>
      </c>
      <c r="N108" s="192">
        <v>1709034</v>
      </c>
      <c r="O108" s="30" t="s">
        <v>453</v>
      </c>
      <c r="P108" s="287" t="s">
        <v>454</v>
      </c>
      <c r="Q108" s="295" t="s">
        <v>453</v>
      </c>
      <c r="R108" s="287">
        <v>170903400</v>
      </c>
      <c r="S108" s="295" t="s">
        <v>453</v>
      </c>
      <c r="T108" s="299" t="s">
        <v>1470</v>
      </c>
      <c r="U108" s="311">
        <v>3</v>
      </c>
      <c r="V108" s="311"/>
      <c r="W108" s="328">
        <f t="shared" si="7"/>
        <v>3</v>
      </c>
      <c r="X108" s="530">
        <v>0</v>
      </c>
      <c r="Y108" s="296">
        <v>2020003630024</v>
      </c>
      <c r="Z108" s="28" t="s">
        <v>1170</v>
      </c>
      <c r="AA108" s="297" t="s">
        <v>452</v>
      </c>
      <c r="AB108" s="40"/>
      <c r="AC108" s="40"/>
      <c r="AD108" s="40"/>
      <c r="AE108" s="40"/>
      <c r="AF108" s="40"/>
      <c r="AG108" s="40"/>
      <c r="AH108" s="40"/>
      <c r="AI108" s="40"/>
      <c r="AJ108" s="40"/>
      <c r="AK108" s="40"/>
      <c r="AL108" s="40"/>
      <c r="AM108" s="40"/>
      <c r="AN108" s="40"/>
      <c r="AO108" s="40"/>
      <c r="AP108" s="40"/>
      <c r="AQ108" s="40"/>
      <c r="AR108" s="40"/>
      <c r="AS108" s="40"/>
      <c r="AT108" s="353">
        <f>43000000+23088939</f>
        <v>66088939</v>
      </c>
      <c r="AU108" s="133"/>
      <c r="AV108" s="133"/>
      <c r="AW108" s="367"/>
      <c r="AX108" s="133"/>
      <c r="AY108" s="133"/>
      <c r="AZ108" s="353"/>
      <c r="BA108" s="133"/>
      <c r="BB108" s="133"/>
      <c r="BC108" s="367"/>
      <c r="BD108" s="133"/>
      <c r="BE108" s="133"/>
      <c r="BF108" s="298">
        <f t="shared" si="8"/>
        <v>66088939</v>
      </c>
      <c r="BG108" s="298">
        <f t="shared" si="9"/>
        <v>0</v>
      </c>
      <c r="BH108" s="298">
        <f t="shared" si="10"/>
        <v>0</v>
      </c>
      <c r="BI108" s="388" t="s">
        <v>1479</v>
      </c>
      <c r="BL108" s="34"/>
    </row>
    <row r="109" spans="1:64" s="16" customFormat="1" ht="117" customHeight="1" x14ac:dyDescent="0.2">
      <c r="A109" s="29">
        <v>312</v>
      </c>
      <c r="B109" s="325" t="s">
        <v>1203</v>
      </c>
      <c r="C109" s="29">
        <v>2</v>
      </c>
      <c r="D109" s="325" t="s">
        <v>1197</v>
      </c>
      <c r="E109" s="29">
        <v>17</v>
      </c>
      <c r="F109" s="325" t="s">
        <v>375</v>
      </c>
      <c r="G109" s="29">
        <v>1709</v>
      </c>
      <c r="H109" s="325" t="s">
        <v>450</v>
      </c>
      <c r="I109" s="29">
        <v>1709</v>
      </c>
      <c r="J109" s="30" t="s">
        <v>1239</v>
      </c>
      <c r="K109" s="297" t="s">
        <v>377</v>
      </c>
      <c r="L109" s="192">
        <v>1709093</v>
      </c>
      <c r="M109" s="30" t="s">
        <v>455</v>
      </c>
      <c r="N109" s="192">
        <v>1709093</v>
      </c>
      <c r="O109" s="30" t="s">
        <v>455</v>
      </c>
      <c r="P109" s="29" t="s">
        <v>456</v>
      </c>
      <c r="Q109" s="295" t="s">
        <v>457</v>
      </c>
      <c r="R109" s="29">
        <v>170909300</v>
      </c>
      <c r="S109" s="295" t="s">
        <v>457</v>
      </c>
      <c r="T109" s="299" t="s">
        <v>1470</v>
      </c>
      <c r="U109" s="311">
        <v>2</v>
      </c>
      <c r="V109" s="311"/>
      <c r="W109" s="328">
        <f t="shared" si="7"/>
        <v>2</v>
      </c>
      <c r="X109" s="530">
        <v>0</v>
      </c>
      <c r="Y109" s="296">
        <v>2020003630024</v>
      </c>
      <c r="Z109" s="28" t="s">
        <v>1170</v>
      </c>
      <c r="AA109" s="297" t="s">
        <v>452</v>
      </c>
      <c r="AB109" s="40"/>
      <c r="AC109" s="40"/>
      <c r="AD109" s="40"/>
      <c r="AE109" s="40"/>
      <c r="AF109" s="40"/>
      <c r="AG109" s="40"/>
      <c r="AH109" s="40"/>
      <c r="AI109" s="40"/>
      <c r="AJ109" s="40"/>
      <c r="AK109" s="40"/>
      <c r="AL109" s="40"/>
      <c r="AM109" s="40"/>
      <c r="AN109" s="40"/>
      <c r="AO109" s="40"/>
      <c r="AP109" s="40"/>
      <c r="AQ109" s="40"/>
      <c r="AR109" s="40"/>
      <c r="AS109" s="40"/>
      <c r="AT109" s="353">
        <v>22000000</v>
      </c>
      <c r="AU109" s="133"/>
      <c r="AV109" s="133"/>
      <c r="AW109" s="367"/>
      <c r="AX109" s="133"/>
      <c r="AY109" s="133"/>
      <c r="AZ109" s="353"/>
      <c r="BA109" s="133"/>
      <c r="BB109" s="133"/>
      <c r="BC109" s="367"/>
      <c r="BD109" s="133"/>
      <c r="BE109" s="133"/>
      <c r="BF109" s="298">
        <f t="shared" si="8"/>
        <v>22000000</v>
      </c>
      <c r="BG109" s="298">
        <f t="shared" si="9"/>
        <v>0</v>
      </c>
      <c r="BH109" s="298">
        <f t="shared" si="10"/>
        <v>0</v>
      </c>
      <c r="BI109" s="388" t="s">
        <v>1479</v>
      </c>
      <c r="BK109" s="34"/>
      <c r="BL109" s="34"/>
    </row>
    <row r="110" spans="1:64" s="17" customFormat="1" ht="117" customHeight="1" x14ac:dyDescent="0.25">
      <c r="A110" s="29">
        <v>312</v>
      </c>
      <c r="B110" s="325" t="s">
        <v>1203</v>
      </c>
      <c r="C110" s="29">
        <v>2</v>
      </c>
      <c r="D110" s="325" t="s">
        <v>1197</v>
      </c>
      <c r="E110" s="29">
        <v>35</v>
      </c>
      <c r="F110" s="325" t="s">
        <v>334</v>
      </c>
      <c r="G110" s="29">
        <v>3502</v>
      </c>
      <c r="H110" s="325" t="s">
        <v>1366</v>
      </c>
      <c r="I110" s="29">
        <v>3502</v>
      </c>
      <c r="J110" s="30" t="s">
        <v>1253</v>
      </c>
      <c r="K110" s="297" t="s">
        <v>458</v>
      </c>
      <c r="L110" s="192">
        <v>3502017</v>
      </c>
      <c r="M110" s="30" t="s">
        <v>459</v>
      </c>
      <c r="N110" s="192">
        <v>3502017</v>
      </c>
      <c r="O110" s="30" t="s">
        <v>459</v>
      </c>
      <c r="P110" s="287" t="s">
        <v>460</v>
      </c>
      <c r="Q110" s="295" t="s">
        <v>461</v>
      </c>
      <c r="R110" s="287">
        <v>350201701</v>
      </c>
      <c r="S110" s="295" t="s">
        <v>461</v>
      </c>
      <c r="T110" s="299" t="s">
        <v>1469</v>
      </c>
      <c r="U110" s="311">
        <v>6</v>
      </c>
      <c r="V110" s="311"/>
      <c r="W110" s="328">
        <f t="shared" si="7"/>
        <v>6</v>
      </c>
      <c r="X110" s="530">
        <v>5</v>
      </c>
      <c r="Y110" s="296">
        <v>2020003630085</v>
      </c>
      <c r="Z110" s="28" t="s">
        <v>462</v>
      </c>
      <c r="AA110" s="297" t="s">
        <v>463</v>
      </c>
      <c r="AB110" s="44"/>
      <c r="AC110" s="44"/>
      <c r="AD110" s="44"/>
      <c r="AE110" s="44"/>
      <c r="AF110" s="44"/>
      <c r="AG110" s="44"/>
      <c r="AH110" s="44"/>
      <c r="AI110" s="44"/>
      <c r="AJ110" s="44"/>
      <c r="AK110" s="44"/>
      <c r="AL110" s="44"/>
      <c r="AM110" s="44"/>
      <c r="AN110" s="44"/>
      <c r="AO110" s="44"/>
      <c r="AP110" s="44"/>
      <c r="AQ110" s="44"/>
      <c r="AR110" s="44"/>
      <c r="AS110" s="44"/>
      <c r="AT110" s="353">
        <f>18000000+9558000</f>
        <v>27558000</v>
      </c>
      <c r="AU110" s="133">
        <v>27558000</v>
      </c>
      <c r="AV110" s="133">
        <v>17310000</v>
      </c>
      <c r="AW110" s="367"/>
      <c r="AX110" s="133"/>
      <c r="AY110" s="133"/>
      <c r="AZ110" s="353"/>
      <c r="BA110" s="133"/>
      <c r="BB110" s="133"/>
      <c r="BC110" s="367"/>
      <c r="BD110" s="133"/>
      <c r="BE110" s="133"/>
      <c r="BF110" s="298">
        <f t="shared" si="8"/>
        <v>27558000</v>
      </c>
      <c r="BG110" s="298">
        <f t="shared" si="9"/>
        <v>27558000</v>
      </c>
      <c r="BH110" s="298">
        <f t="shared" si="10"/>
        <v>17310000</v>
      </c>
      <c r="BI110" s="388" t="s">
        <v>1479</v>
      </c>
      <c r="BL110" s="34"/>
    </row>
    <row r="111" spans="1:64" s="16" customFormat="1" ht="117" customHeight="1" x14ac:dyDescent="0.2">
      <c r="A111" s="29">
        <v>312</v>
      </c>
      <c r="B111" s="325" t="s">
        <v>1203</v>
      </c>
      <c r="C111" s="29">
        <v>2</v>
      </c>
      <c r="D111" s="325" t="s">
        <v>1197</v>
      </c>
      <c r="E111" s="29">
        <v>35</v>
      </c>
      <c r="F111" s="325" t="s">
        <v>334</v>
      </c>
      <c r="G111" s="29">
        <v>3502</v>
      </c>
      <c r="H111" s="325" t="s">
        <v>1366</v>
      </c>
      <c r="I111" s="29">
        <v>3502</v>
      </c>
      <c r="J111" s="30" t="s">
        <v>1253</v>
      </c>
      <c r="K111" s="301" t="s">
        <v>336</v>
      </c>
      <c r="L111" s="192">
        <v>3502007</v>
      </c>
      <c r="M111" s="30" t="s">
        <v>464</v>
      </c>
      <c r="N111" s="192">
        <v>3502007</v>
      </c>
      <c r="O111" s="30" t="s">
        <v>464</v>
      </c>
      <c r="P111" s="29" t="s">
        <v>343</v>
      </c>
      <c r="Q111" s="295" t="s">
        <v>344</v>
      </c>
      <c r="R111" s="29">
        <v>350200700</v>
      </c>
      <c r="S111" s="30" t="s">
        <v>344</v>
      </c>
      <c r="T111" s="299" t="s">
        <v>1469</v>
      </c>
      <c r="U111" s="296">
        <v>5</v>
      </c>
      <c r="V111" s="296"/>
      <c r="W111" s="328">
        <f t="shared" si="7"/>
        <v>5</v>
      </c>
      <c r="X111" s="29">
        <v>3</v>
      </c>
      <c r="Y111" s="296">
        <v>2020003630085</v>
      </c>
      <c r="Z111" s="28" t="s">
        <v>1386</v>
      </c>
      <c r="AA111" s="297" t="s">
        <v>463</v>
      </c>
      <c r="AB111" s="44"/>
      <c r="AC111" s="44"/>
      <c r="AD111" s="44"/>
      <c r="AE111" s="44"/>
      <c r="AF111" s="44"/>
      <c r="AG111" s="44"/>
      <c r="AH111" s="44"/>
      <c r="AI111" s="44"/>
      <c r="AJ111" s="44"/>
      <c r="AK111" s="44"/>
      <c r="AL111" s="44"/>
      <c r="AM111" s="44"/>
      <c r="AN111" s="44"/>
      <c r="AO111" s="44"/>
      <c r="AP111" s="44"/>
      <c r="AQ111" s="44"/>
      <c r="AR111" s="44"/>
      <c r="AS111" s="44"/>
      <c r="AT111" s="353">
        <v>18000000</v>
      </c>
      <c r="AU111" s="133">
        <v>18000000</v>
      </c>
      <c r="AV111" s="133">
        <v>14000000</v>
      </c>
      <c r="AW111" s="367"/>
      <c r="AX111" s="133"/>
      <c r="AY111" s="133"/>
      <c r="AZ111" s="353"/>
      <c r="BA111" s="133"/>
      <c r="BB111" s="133"/>
      <c r="BC111" s="367"/>
      <c r="BD111" s="133"/>
      <c r="BE111" s="133"/>
      <c r="BF111" s="298">
        <f t="shared" si="8"/>
        <v>18000000</v>
      </c>
      <c r="BG111" s="298">
        <f t="shared" si="9"/>
        <v>18000000</v>
      </c>
      <c r="BH111" s="298">
        <f t="shared" si="10"/>
        <v>14000000</v>
      </c>
      <c r="BI111" s="388" t="s">
        <v>1479</v>
      </c>
      <c r="BK111" s="34"/>
      <c r="BL111" s="34"/>
    </row>
    <row r="112" spans="1:64" s="16" customFormat="1" ht="117" customHeight="1" x14ac:dyDescent="0.2">
      <c r="A112" s="29">
        <v>312</v>
      </c>
      <c r="B112" s="325" t="s">
        <v>1203</v>
      </c>
      <c r="C112" s="29">
        <v>3</v>
      </c>
      <c r="D112" s="325" t="s">
        <v>1198</v>
      </c>
      <c r="E112" s="29">
        <v>32</v>
      </c>
      <c r="F112" s="325" t="s">
        <v>170</v>
      </c>
      <c r="G112" s="29" t="s">
        <v>465</v>
      </c>
      <c r="H112" s="325" t="s">
        <v>466</v>
      </c>
      <c r="I112" s="29" t="s">
        <v>465</v>
      </c>
      <c r="J112" s="30" t="s">
        <v>1246</v>
      </c>
      <c r="K112" s="297" t="s">
        <v>172</v>
      </c>
      <c r="L112" s="192">
        <v>3201013</v>
      </c>
      <c r="M112" s="30" t="s">
        <v>467</v>
      </c>
      <c r="N112" s="192">
        <v>3201013</v>
      </c>
      <c r="O112" s="30" t="s">
        <v>467</v>
      </c>
      <c r="P112" s="287" t="s">
        <v>468</v>
      </c>
      <c r="Q112" s="295" t="s">
        <v>469</v>
      </c>
      <c r="R112" s="287">
        <v>320101300</v>
      </c>
      <c r="S112" s="295" t="s">
        <v>469</v>
      </c>
      <c r="T112" s="299" t="s">
        <v>1470</v>
      </c>
      <c r="U112" s="311">
        <v>1</v>
      </c>
      <c r="V112" s="311"/>
      <c r="W112" s="328">
        <f t="shared" si="7"/>
        <v>1</v>
      </c>
      <c r="X112" s="530">
        <v>0.6</v>
      </c>
      <c r="Y112" s="296">
        <v>2020003630027</v>
      </c>
      <c r="Z112" s="28" t="s">
        <v>470</v>
      </c>
      <c r="AA112" s="297" t="s">
        <v>471</v>
      </c>
      <c r="AB112" s="136"/>
      <c r="AC112" s="136"/>
      <c r="AD112" s="136"/>
      <c r="AE112" s="136"/>
      <c r="AF112" s="136"/>
      <c r="AG112" s="136"/>
      <c r="AH112" s="136"/>
      <c r="AI112" s="136"/>
      <c r="AJ112" s="136"/>
      <c r="AK112" s="136"/>
      <c r="AL112" s="136"/>
      <c r="AM112" s="136"/>
      <c r="AN112" s="136"/>
      <c r="AO112" s="136"/>
      <c r="AP112" s="136"/>
      <c r="AQ112" s="136"/>
      <c r="AR112" s="136"/>
      <c r="AS112" s="136"/>
      <c r="AT112" s="353">
        <f>32000000+5770000+25005000</f>
        <v>62775000</v>
      </c>
      <c r="AU112" s="133">
        <v>51290000</v>
      </c>
      <c r="AV112" s="133">
        <v>33095000</v>
      </c>
      <c r="AW112" s="367"/>
      <c r="AX112" s="133"/>
      <c r="AY112" s="133"/>
      <c r="AZ112" s="353"/>
      <c r="BA112" s="133"/>
      <c r="BB112" s="133"/>
      <c r="BC112" s="367"/>
      <c r="BD112" s="133"/>
      <c r="BE112" s="133"/>
      <c r="BF112" s="298">
        <f t="shared" si="8"/>
        <v>62775000</v>
      </c>
      <c r="BG112" s="298">
        <f t="shared" si="9"/>
        <v>51290000</v>
      </c>
      <c r="BH112" s="298">
        <f t="shared" si="10"/>
        <v>33095000</v>
      </c>
      <c r="BI112" s="388" t="s">
        <v>1479</v>
      </c>
      <c r="BK112" s="34"/>
      <c r="BL112" s="34"/>
    </row>
    <row r="113" spans="1:64" s="16" customFormat="1" ht="117" customHeight="1" x14ac:dyDescent="0.2">
      <c r="A113" s="29">
        <v>312</v>
      </c>
      <c r="B113" s="325" t="s">
        <v>1203</v>
      </c>
      <c r="C113" s="29">
        <v>3</v>
      </c>
      <c r="D113" s="325" t="s">
        <v>1198</v>
      </c>
      <c r="E113" s="29">
        <v>32</v>
      </c>
      <c r="F113" s="325" t="s">
        <v>170</v>
      </c>
      <c r="G113" s="29" t="s">
        <v>465</v>
      </c>
      <c r="H113" s="325" t="s">
        <v>466</v>
      </c>
      <c r="I113" s="29" t="s">
        <v>465</v>
      </c>
      <c r="J113" s="30" t="s">
        <v>1246</v>
      </c>
      <c r="K113" s="297" t="s">
        <v>172</v>
      </c>
      <c r="L113" s="192">
        <v>3201008</v>
      </c>
      <c r="M113" s="30" t="s">
        <v>472</v>
      </c>
      <c r="N113" s="192">
        <v>3201008</v>
      </c>
      <c r="O113" s="30" t="s">
        <v>472</v>
      </c>
      <c r="P113" s="287" t="s">
        <v>473</v>
      </c>
      <c r="Q113" s="295" t="s">
        <v>474</v>
      </c>
      <c r="R113" s="287">
        <v>320100805</v>
      </c>
      <c r="S113" s="295" t="s">
        <v>474</v>
      </c>
      <c r="T113" s="299" t="s">
        <v>1470</v>
      </c>
      <c r="U113" s="311">
        <v>3</v>
      </c>
      <c r="V113" s="311"/>
      <c r="W113" s="328">
        <f t="shared" si="7"/>
        <v>3</v>
      </c>
      <c r="X113" s="530">
        <v>0</v>
      </c>
      <c r="Y113" s="296">
        <v>2020003630027</v>
      </c>
      <c r="Z113" s="28" t="s">
        <v>470</v>
      </c>
      <c r="AA113" s="297" t="s">
        <v>471</v>
      </c>
      <c r="AB113" s="136"/>
      <c r="AC113" s="136"/>
      <c r="AD113" s="136"/>
      <c r="AE113" s="136"/>
      <c r="AF113" s="136"/>
      <c r="AG113" s="136"/>
      <c r="AH113" s="136"/>
      <c r="AI113" s="136"/>
      <c r="AJ113" s="136"/>
      <c r="AK113" s="136"/>
      <c r="AL113" s="136"/>
      <c r="AM113" s="136"/>
      <c r="AN113" s="136"/>
      <c r="AO113" s="136"/>
      <c r="AP113" s="136"/>
      <c r="AQ113" s="136"/>
      <c r="AR113" s="136"/>
      <c r="AS113" s="136"/>
      <c r="AT113" s="353">
        <v>50000000</v>
      </c>
      <c r="AU113" s="133">
        <v>0</v>
      </c>
      <c r="AV113" s="133">
        <v>0</v>
      </c>
      <c r="AW113" s="367"/>
      <c r="AX113" s="133"/>
      <c r="AY113" s="133"/>
      <c r="AZ113" s="353"/>
      <c r="BA113" s="133"/>
      <c r="BB113" s="133"/>
      <c r="BC113" s="367"/>
      <c r="BD113" s="133"/>
      <c r="BE113" s="133"/>
      <c r="BF113" s="298">
        <f t="shared" si="8"/>
        <v>50000000</v>
      </c>
      <c r="BG113" s="298">
        <f t="shared" si="9"/>
        <v>0</v>
      </c>
      <c r="BH113" s="298">
        <f t="shared" si="10"/>
        <v>0</v>
      </c>
      <c r="BI113" s="388" t="s">
        <v>1479</v>
      </c>
      <c r="BK113" s="34"/>
      <c r="BL113" s="34"/>
    </row>
    <row r="114" spans="1:64" s="16" customFormat="1" ht="117" customHeight="1" x14ac:dyDescent="0.2">
      <c r="A114" s="29">
        <v>312</v>
      </c>
      <c r="B114" s="325" t="s">
        <v>1203</v>
      </c>
      <c r="C114" s="29">
        <v>3</v>
      </c>
      <c r="D114" s="325" t="s">
        <v>1198</v>
      </c>
      <c r="E114" s="29">
        <v>32</v>
      </c>
      <c r="F114" s="325" t="s">
        <v>170</v>
      </c>
      <c r="G114" s="29">
        <v>3202</v>
      </c>
      <c r="H114" s="325" t="s">
        <v>475</v>
      </c>
      <c r="I114" s="29">
        <v>3202</v>
      </c>
      <c r="J114" s="30" t="s">
        <v>1247</v>
      </c>
      <c r="K114" s="297" t="s">
        <v>172</v>
      </c>
      <c r="L114" s="192">
        <v>3202037</v>
      </c>
      <c r="M114" s="30" t="s">
        <v>478</v>
      </c>
      <c r="N114" s="192">
        <v>3202037</v>
      </c>
      <c r="O114" s="30" t="s">
        <v>478</v>
      </c>
      <c r="P114" s="287" t="s">
        <v>479</v>
      </c>
      <c r="Q114" s="295" t="s">
        <v>480</v>
      </c>
      <c r="R114" s="287">
        <v>320203704</v>
      </c>
      <c r="S114" s="295" t="s">
        <v>480</v>
      </c>
      <c r="T114" s="299" t="s">
        <v>1470</v>
      </c>
      <c r="U114" s="311">
        <v>90</v>
      </c>
      <c r="V114" s="311">
        <v>9</v>
      </c>
      <c r="W114" s="328">
        <f t="shared" si="7"/>
        <v>99</v>
      </c>
      <c r="X114" s="530">
        <v>0</v>
      </c>
      <c r="Y114" s="296">
        <v>2020003630086</v>
      </c>
      <c r="Z114" s="28" t="s">
        <v>1385</v>
      </c>
      <c r="AA114" s="297" t="s">
        <v>477</v>
      </c>
      <c r="AB114" s="44"/>
      <c r="AC114" s="44"/>
      <c r="AD114" s="44"/>
      <c r="AE114" s="44"/>
      <c r="AF114" s="44"/>
      <c r="AG114" s="44"/>
      <c r="AH114" s="44"/>
      <c r="AI114" s="44"/>
      <c r="AJ114" s="44"/>
      <c r="AK114" s="44"/>
      <c r="AL114" s="44"/>
      <c r="AM114" s="44"/>
      <c r="AN114" s="44"/>
      <c r="AO114" s="44"/>
      <c r="AP114" s="44"/>
      <c r="AQ114" s="44"/>
      <c r="AR114" s="44"/>
      <c r="AS114" s="44"/>
      <c r="AT114" s="353">
        <v>50000000</v>
      </c>
      <c r="AU114" s="133"/>
      <c r="AV114" s="133"/>
      <c r="AW114" s="367"/>
      <c r="AX114" s="133"/>
      <c r="AY114" s="133"/>
      <c r="AZ114" s="353"/>
      <c r="BA114" s="133"/>
      <c r="BB114" s="133"/>
      <c r="BC114" s="367"/>
      <c r="BD114" s="133"/>
      <c r="BE114" s="133"/>
      <c r="BF114" s="298">
        <f t="shared" si="8"/>
        <v>50000000</v>
      </c>
      <c r="BG114" s="298">
        <f t="shared" si="9"/>
        <v>0</v>
      </c>
      <c r="BH114" s="298">
        <f t="shared" si="10"/>
        <v>0</v>
      </c>
      <c r="BI114" s="388" t="s">
        <v>1479</v>
      </c>
      <c r="BK114" s="34"/>
      <c r="BL114" s="34"/>
    </row>
    <row r="115" spans="1:64" s="16" customFormat="1" ht="117" customHeight="1" x14ac:dyDescent="0.2">
      <c r="A115" s="29">
        <v>312</v>
      </c>
      <c r="B115" s="325" t="s">
        <v>1203</v>
      </c>
      <c r="C115" s="29">
        <v>3</v>
      </c>
      <c r="D115" s="325" t="s">
        <v>1198</v>
      </c>
      <c r="E115" s="29">
        <v>32</v>
      </c>
      <c r="F115" s="325" t="s">
        <v>170</v>
      </c>
      <c r="G115" s="29">
        <v>3202</v>
      </c>
      <c r="H115" s="325" t="s">
        <v>475</v>
      </c>
      <c r="I115" s="29">
        <v>3202</v>
      </c>
      <c r="J115" s="30" t="s">
        <v>1247</v>
      </c>
      <c r="K115" s="297" t="s">
        <v>172</v>
      </c>
      <c r="L115" s="29" t="s">
        <v>31</v>
      </c>
      <c r="M115" s="30" t="s">
        <v>481</v>
      </c>
      <c r="N115" s="90">
        <v>3202037</v>
      </c>
      <c r="O115" s="30" t="s">
        <v>478</v>
      </c>
      <c r="P115" s="29" t="s">
        <v>31</v>
      </c>
      <c r="Q115" s="295" t="s">
        <v>482</v>
      </c>
      <c r="R115" s="90">
        <v>320203700</v>
      </c>
      <c r="S115" s="295" t="s">
        <v>483</v>
      </c>
      <c r="T115" s="299" t="s">
        <v>1470</v>
      </c>
      <c r="U115" s="311">
        <v>60</v>
      </c>
      <c r="V115" s="351">
        <v>1.7</v>
      </c>
      <c r="W115" s="370">
        <f t="shared" si="7"/>
        <v>61.7</v>
      </c>
      <c r="X115" s="530">
        <v>34.68</v>
      </c>
      <c r="Y115" s="296">
        <v>2020003630086</v>
      </c>
      <c r="Z115" s="28" t="s">
        <v>1385</v>
      </c>
      <c r="AA115" s="297" t="s">
        <v>477</v>
      </c>
      <c r="AB115" s="44"/>
      <c r="AC115" s="44"/>
      <c r="AD115" s="44"/>
      <c r="AE115" s="44"/>
      <c r="AF115" s="44"/>
      <c r="AG115" s="44"/>
      <c r="AH115" s="44"/>
      <c r="AI115" s="44"/>
      <c r="AJ115" s="44"/>
      <c r="AK115" s="44"/>
      <c r="AL115" s="44"/>
      <c r="AM115" s="44"/>
      <c r="AN115" s="44"/>
      <c r="AO115" s="44"/>
      <c r="AP115" s="44"/>
      <c r="AQ115" s="44"/>
      <c r="AR115" s="44"/>
      <c r="AS115" s="44"/>
      <c r="AT115" s="353">
        <f>599170989+13333647+693747421.84</f>
        <v>1306252057.8400002</v>
      </c>
      <c r="AU115" s="133">
        <v>441575000</v>
      </c>
      <c r="AV115" s="133">
        <v>246527333</v>
      </c>
      <c r="AW115" s="367"/>
      <c r="AX115" s="133"/>
      <c r="AY115" s="133"/>
      <c r="AZ115" s="353"/>
      <c r="BA115" s="133"/>
      <c r="BB115" s="133"/>
      <c r="BC115" s="367"/>
      <c r="BD115" s="133"/>
      <c r="BE115" s="133"/>
      <c r="BF115" s="298">
        <f t="shared" si="8"/>
        <v>1306252057.8400002</v>
      </c>
      <c r="BG115" s="298">
        <f t="shared" si="9"/>
        <v>441575000</v>
      </c>
      <c r="BH115" s="298">
        <f t="shared" si="10"/>
        <v>246527333</v>
      </c>
      <c r="BI115" s="388" t="s">
        <v>1479</v>
      </c>
      <c r="BK115" s="34"/>
      <c r="BL115" s="34"/>
    </row>
    <row r="116" spans="1:64" s="16" customFormat="1" ht="117" customHeight="1" x14ac:dyDescent="0.2">
      <c r="A116" s="29">
        <v>312</v>
      </c>
      <c r="B116" s="325" t="s">
        <v>1203</v>
      </c>
      <c r="C116" s="29">
        <v>3</v>
      </c>
      <c r="D116" s="325" t="s">
        <v>1198</v>
      </c>
      <c r="E116" s="29">
        <v>32</v>
      </c>
      <c r="F116" s="325" t="s">
        <v>170</v>
      </c>
      <c r="G116" s="29">
        <v>3202</v>
      </c>
      <c r="H116" s="325" t="s">
        <v>475</v>
      </c>
      <c r="I116" s="29">
        <v>3202</v>
      </c>
      <c r="J116" s="30" t="s">
        <v>1247</v>
      </c>
      <c r="K116" s="297" t="s">
        <v>172</v>
      </c>
      <c r="L116" s="29">
        <v>3202017</v>
      </c>
      <c r="M116" s="30" t="s">
        <v>484</v>
      </c>
      <c r="N116" s="192">
        <v>3202043</v>
      </c>
      <c r="O116" s="30" t="s">
        <v>485</v>
      </c>
      <c r="P116" s="29" t="s">
        <v>486</v>
      </c>
      <c r="Q116" s="295" t="s">
        <v>487</v>
      </c>
      <c r="R116" s="287">
        <v>320204300</v>
      </c>
      <c r="S116" s="295" t="s">
        <v>488</v>
      </c>
      <c r="T116" s="299" t="s">
        <v>1469</v>
      </c>
      <c r="U116" s="347">
        <v>1</v>
      </c>
      <c r="V116" s="347"/>
      <c r="W116" s="328">
        <f t="shared" si="7"/>
        <v>1</v>
      </c>
      <c r="X116" s="538">
        <v>0.5</v>
      </c>
      <c r="Y116" s="296">
        <v>2020003630086</v>
      </c>
      <c r="Z116" s="28" t="s">
        <v>1385</v>
      </c>
      <c r="AA116" s="297" t="s">
        <v>477</v>
      </c>
      <c r="AB116" s="44"/>
      <c r="AC116" s="44"/>
      <c r="AD116" s="44"/>
      <c r="AE116" s="44"/>
      <c r="AF116" s="44"/>
      <c r="AG116" s="44"/>
      <c r="AH116" s="44"/>
      <c r="AI116" s="44"/>
      <c r="AJ116" s="44"/>
      <c r="AK116" s="44"/>
      <c r="AL116" s="44"/>
      <c r="AM116" s="44"/>
      <c r="AN116" s="44"/>
      <c r="AO116" s="44"/>
      <c r="AP116" s="44"/>
      <c r="AQ116" s="44"/>
      <c r="AR116" s="44"/>
      <c r="AS116" s="44"/>
      <c r="AT116" s="353">
        <f>256787568+173436855</f>
        <v>430224423</v>
      </c>
      <c r="AU116" s="133">
        <v>54870000</v>
      </c>
      <c r="AV116" s="133">
        <v>39465000</v>
      </c>
      <c r="AW116" s="367"/>
      <c r="AX116" s="133"/>
      <c r="AY116" s="133"/>
      <c r="AZ116" s="353"/>
      <c r="BA116" s="133"/>
      <c r="BB116" s="133"/>
      <c r="BC116" s="367"/>
      <c r="BD116" s="133"/>
      <c r="BE116" s="133"/>
      <c r="BF116" s="298">
        <f t="shared" si="8"/>
        <v>430224423</v>
      </c>
      <c r="BG116" s="298">
        <f t="shared" si="9"/>
        <v>54870000</v>
      </c>
      <c r="BH116" s="298">
        <f t="shared" si="10"/>
        <v>39465000</v>
      </c>
      <c r="BI116" s="388" t="s">
        <v>1479</v>
      </c>
      <c r="BK116" s="34"/>
      <c r="BL116" s="34"/>
    </row>
    <row r="117" spans="1:64" s="16" customFormat="1" ht="117" customHeight="1" x14ac:dyDescent="0.2">
      <c r="A117" s="29">
        <v>312</v>
      </c>
      <c r="B117" s="325" t="s">
        <v>1203</v>
      </c>
      <c r="C117" s="29">
        <v>3</v>
      </c>
      <c r="D117" s="325" t="s">
        <v>1198</v>
      </c>
      <c r="E117" s="29">
        <v>32</v>
      </c>
      <c r="F117" s="325" t="s">
        <v>170</v>
      </c>
      <c r="G117" s="29">
        <v>3202</v>
      </c>
      <c r="H117" s="325" t="s">
        <v>475</v>
      </c>
      <c r="I117" s="29">
        <v>3202</v>
      </c>
      <c r="J117" s="30" t="s">
        <v>1247</v>
      </c>
      <c r="K117" s="297" t="s">
        <v>172</v>
      </c>
      <c r="L117" s="29" t="s">
        <v>31</v>
      </c>
      <c r="M117" s="30" t="s">
        <v>489</v>
      </c>
      <c r="N117" s="192">
        <v>3202014</v>
      </c>
      <c r="O117" s="30" t="s">
        <v>1136</v>
      </c>
      <c r="P117" s="29" t="s">
        <v>31</v>
      </c>
      <c r="Q117" s="295" t="s">
        <v>490</v>
      </c>
      <c r="R117" s="287">
        <v>320201402</v>
      </c>
      <c r="S117" s="295" t="s">
        <v>491</v>
      </c>
      <c r="T117" s="299" t="s">
        <v>1469</v>
      </c>
      <c r="U117" s="347">
        <v>1</v>
      </c>
      <c r="V117" s="347"/>
      <c r="W117" s="328">
        <f t="shared" si="7"/>
        <v>1</v>
      </c>
      <c r="X117" s="538">
        <v>0.75</v>
      </c>
      <c r="Y117" s="296">
        <v>2020003630028</v>
      </c>
      <c r="Z117" s="28" t="s">
        <v>492</v>
      </c>
      <c r="AA117" s="297" t="s">
        <v>493</v>
      </c>
      <c r="AB117" s="44"/>
      <c r="AC117" s="44"/>
      <c r="AD117" s="44"/>
      <c r="AE117" s="44"/>
      <c r="AF117" s="44"/>
      <c r="AG117" s="44"/>
      <c r="AH117" s="44"/>
      <c r="AI117" s="44"/>
      <c r="AJ117" s="44"/>
      <c r="AK117" s="44"/>
      <c r="AL117" s="44"/>
      <c r="AM117" s="44"/>
      <c r="AN117" s="44"/>
      <c r="AO117" s="44"/>
      <c r="AP117" s="44"/>
      <c r="AQ117" s="44"/>
      <c r="AR117" s="44"/>
      <c r="AS117" s="44"/>
      <c r="AT117" s="353">
        <f>36000000+15395000</f>
        <v>51395000</v>
      </c>
      <c r="AU117" s="133">
        <v>45900000</v>
      </c>
      <c r="AV117" s="133">
        <v>33830000</v>
      </c>
      <c r="AW117" s="367"/>
      <c r="AX117" s="133"/>
      <c r="AY117" s="133"/>
      <c r="AZ117" s="353"/>
      <c r="BA117" s="133"/>
      <c r="BB117" s="133"/>
      <c r="BC117" s="367"/>
      <c r="BD117" s="133"/>
      <c r="BE117" s="133"/>
      <c r="BF117" s="298">
        <f t="shared" si="8"/>
        <v>51395000</v>
      </c>
      <c r="BG117" s="298">
        <f t="shared" si="9"/>
        <v>45900000</v>
      </c>
      <c r="BH117" s="298">
        <f t="shared" si="10"/>
        <v>33830000</v>
      </c>
      <c r="BI117" s="388" t="s">
        <v>1479</v>
      </c>
      <c r="BK117" s="34"/>
      <c r="BL117" s="34"/>
    </row>
    <row r="118" spans="1:64" s="16" customFormat="1" ht="117" customHeight="1" x14ac:dyDescent="0.2">
      <c r="A118" s="29">
        <v>312</v>
      </c>
      <c r="B118" s="325" t="s">
        <v>1203</v>
      </c>
      <c r="C118" s="29">
        <v>3</v>
      </c>
      <c r="D118" s="325" t="s">
        <v>1198</v>
      </c>
      <c r="E118" s="29">
        <v>32</v>
      </c>
      <c r="F118" s="325" t="s">
        <v>170</v>
      </c>
      <c r="G118" s="29">
        <v>3202</v>
      </c>
      <c r="H118" s="325" t="s">
        <v>475</v>
      </c>
      <c r="I118" s="29">
        <v>3202</v>
      </c>
      <c r="J118" s="30" t="s">
        <v>1247</v>
      </c>
      <c r="K118" s="297" t="s">
        <v>172</v>
      </c>
      <c r="L118" s="29" t="s">
        <v>31</v>
      </c>
      <c r="M118" s="30" t="s">
        <v>494</v>
      </c>
      <c r="N118" s="29">
        <v>3202014</v>
      </c>
      <c r="O118" s="30" t="s">
        <v>1136</v>
      </c>
      <c r="P118" s="29" t="s">
        <v>31</v>
      </c>
      <c r="Q118" s="295" t="s">
        <v>495</v>
      </c>
      <c r="R118" s="29">
        <v>320201402</v>
      </c>
      <c r="S118" s="295" t="s">
        <v>491</v>
      </c>
      <c r="T118" s="299" t="s">
        <v>1470</v>
      </c>
      <c r="U118" s="347">
        <v>1</v>
      </c>
      <c r="V118" s="347"/>
      <c r="W118" s="328">
        <f t="shared" si="7"/>
        <v>1</v>
      </c>
      <c r="X118" s="538">
        <v>0.5</v>
      </c>
      <c r="Y118" s="296">
        <v>2020003630087</v>
      </c>
      <c r="Z118" s="30" t="s">
        <v>496</v>
      </c>
      <c r="AA118" s="297" t="s">
        <v>497</v>
      </c>
      <c r="AB118" s="44"/>
      <c r="AC118" s="44"/>
      <c r="AD118" s="44"/>
      <c r="AE118" s="44"/>
      <c r="AF118" s="44"/>
      <c r="AG118" s="44"/>
      <c r="AH118" s="44"/>
      <c r="AI118" s="44"/>
      <c r="AJ118" s="44"/>
      <c r="AK118" s="44"/>
      <c r="AL118" s="44"/>
      <c r="AM118" s="44"/>
      <c r="AN118" s="44"/>
      <c r="AO118" s="44"/>
      <c r="AP118" s="44"/>
      <c r="AQ118" s="44"/>
      <c r="AR118" s="44"/>
      <c r="AS118" s="44"/>
      <c r="AT118" s="353">
        <f>54000000+3600000+5550000+5830000</f>
        <v>68980000</v>
      </c>
      <c r="AU118" s="133">
        <v>50282500</v>
      </c>
      <c r="AV118" s="133">
        <v>29930000</v>
      </c>
      <c r="AW118" s="367"/>
      <c r="AX118" s="133"/>
      <c r="AY118" s="133"/>
      <c r="AZ118" s="353"/>
      <c r="BA118" s="133"/>
      <c r="BB118" s="133"/>
      <c r="BC118" s="367"/>
      <c r="BD118" s="133"/>
      <c r="BE118" s="133"/>
      <c r="BF118" s="298">
        <f t="shared" si="8"/>
        <v>68980000</v>
      </c>
      <c r="BG118" s="298">
        <f t="shared" si="9"/>
        <v>50282500</v>
      </c>
      <c r="BH118" s="298">
        <f t="shared" si="10"/>
        <v>29930000</v>
      </c>
      <c r="BI118" s="388" t="s">
        <v>1479</v>
      </c>
      <c r="BK118" s="34"/>
      <c r="BL118" s="34"/>
    </row>
    <row r="119" spans="1:64" s="16" customFormat="1" ht="117" customHeight="1" x14ac:dyDescent="0.2">
      <c r="A119" s="29">
        <v>312</v>
      </c>
      <c r="B119" s="325" t="s">
        <v>1203</v>
      </c>
      <c r="C119" s="29">
        <v>3</v>
      </c>
      <c r="D119" s="325" t="s">
        <v>1198</v>
      </c>
      <c r="E119" s="29">
        <v>32</v>
      </c>
      <c r="F119" s="325" t="s">
        <v>170</v>
      </c>
      <c r="G119" s="29" t="s">
        <v>498</v>
      </c>
      <c r="H119" s="325" t="s">
        <v>499</v>
      </c>
      <c r="I119" s="29" t="s">
        <v>498</v>
      </c>
      <c r="J119" s="30" t="s">
        <v>1248</v>
      </c>
      <c r="K119" s="297" t="s">
        <v>172</v>
      </c>
      <c r="L119" s="192">
        <v>3204012</v>
      </c>
      <c r="M119" s="30" t="s">
        <v>500</v>
      </c>
      <c r="N119" s="192">
        <v>3204012</v>
      </c>
      <c r="O119" s="30" t="s">
        <v>500</v>
      </c>
      <c r="P119" s="287" t="s">
        <v>501</v>
      </c>
      <c r="Q119" s="295" t="s">
        <v>502</v>
      </c>
      <c r="R119" s="287">
        <v>320401200</v>
      </c>
      <c r="S119" s="295" t="s">
        <v>502</v>
      </c>
      <c r="T119" s="299" t="s">
        <v>1470</v>
      </c>
      <c r="U119" s="311">
        <v>4</v>
      </c>
      <c r="V119" s="311">
        <v>1</v>
      </c>
      <c r="W119" s="328">
        <f t="shared" si="7"/>
        <v>5</v>
      </c>
      <c r="X119" s="530">
        <v>4</v>
      </c>
      <c r="Y119" s="296">
        <v>2020003630029</v>
      </c>
      <c r="Z119" s="28" t="s">
        <v>503</v>
      </c>
      <c r="AA119" s="297" t="s">
        <v>504</v>
      </c>
      <c r="AB119" s="44"/>
      <c r="AC119" s="44"/>
      <c r="AD119" s="44"/>
      <c r="AE119" s="44"/>
      <c r="AF119" s="44"/>
      <c r="AG119" s="44"/>
      <c r="AH119" s="44"/>
      <c r="AI119" s="44"/>
      <c r="AJ119" s="44"/>
      <c r="AK119" s="44"/>
      <c r="AL119" s="44"/>
      <c r="AM119" s="44"/>
      <c r="AN119" s="44"/>
      <c r="AO119" s="44"/>
      <c r="AP119" s="44"/>
      <c r="AQ119" s="44"/>
      <c r="AR119" s="44"/>
      <c r="AS119" s="44"/>
      <c r="AT119" s="353">
        <f>120000000+50000000+16200000-50000000</f>
        <v>136200000</v>
      </c>
      <c r="AU119" s="133">
        <v>72800000</v>
      </c>
      <c r="AV119" s="133">
        <v>62900000</v>
      </c>
      <c r="AW119" s="367"/>
      <c r="AX119" s="133"/>
      <c r="AY119" s="133"/>
      <c r="AZ119" s="353"/>
      <c r="BA119" s="133"/>
      <c r="BB119" s="133"/>
      <c r="BC119" s="367"/>
      <c r="BD119" s="133"/>
      <c r="BE119" s="133"/>
      <c r="BF119" s="298">
        <f t="shared" si="8"/>
        <v>136200000</v>
      </c>
      <c r="BG119" s="298">
        <f t="shared" si="9"/>
        <v>72800000</v>
      </c>
      <c r="BH119" s="298">
        <f t="shared" si="10"/>
        <v>62900000</v>
      </c>
      <c r="BI119" s="388" t="s">
        <v>1479</v>
      </c>
      <c r="BK119" s="34"/>
      <c r="BL119" s="34"/>
    </row>
    <row r="120" spans="1:64" s="16" customFormat="1" ht="117" customHeight="1" x14ac:dyDescent="0.2">
      <c r="A120" s="29">
        <v>312</v>
      </c>
      <c r="B120" s="325" t="s">
        <v>1203</v>
      </c>
      <c r="C120" s="29">
        <v>3</v>
      </c>
      <c r="D120" s="325" t="s">
        <v>1198</v>
      </c>
      <c r="E120" s="29">
        <v>32</v>
      </c>
      <c r="F120" s="325" t="s">
        <v>170</v>
      </c>
      <c r="G120" s="29">
        <v>3205</v>
      </c>
      <c r="H120" s="325" t="s">
        <v>171</v>
      </c>
      <c r="I120" s="29">
        <v>3205</v>
      </c>
      <c r="J120" s="30" t="s">
        <v>1249</v>
      </c>
      <c r="K120" s="297" t="s">
        <v>172</v>
      </c>
      <c r="L120" s="192" t="s">
        <v>505</v>
      </c>
      <c r="M120" s="30" t="s">
        <v>506</v>
      </c>
      <c r="N120" s="192" t="s">
        <v>505</v>
      </c>
      <c r="O120" s="30" t="s">
        <v>506</v>
      </c>
      <c r="P120" s="29" t="s">
        <v>507</v>
      </c>
      <c r="Q120" s="30" t="s">
        <v>508</v>
      </c>
      <c r="R120" s="29">
        <v>320500900</v>
      </c>
      <c r="S120" s="295" t="s">
        <v>508</v>
      </c>
      <c r="T120" s="299" t="s">
        <v>1470</v>
      </c>
      <c r="U120" s="311">
        <v>200</v>
      </c>
      <c r="V120" s="311">
        <v>200</v>
      </c>
      <c r="W120" s="328">
        <f t="shared" si="7"/>
        <v>400</v>
      </c>
      <c r="X120" s="530">
        <v>16</v>
      </c>
      <c r="Y120" s="296">
        <v>2020003630030</v>
      </c>
      <c r="Z120" s="28" t="s">
        <v>1183</v>
      </c>
      <c r="AA120" s="297" t="s">
        <v>509</v>
      </c>
      <c r="AB120" s="43"/>
      <c r="AC120" s="43"/>
      <c r="AD120" s="43"/>
      <c r="AE120" s="44"/>
      <c r="AF120" s="44"/>
      <c r="AG120" s="44"/>
      <c r="AH120" s="44"/>
      <c r="AI120" s="44"/>
      <c r="AJ120" s="44"/>
      <c r="AK120" s="44"/>
      <c r="AL120" s="44"/>
      <c r="AM120" s="44"/>
      <c r="AN120" s="44"/>
      <c r="AO120" s="44"/>
      <c r="AP120" s="44"/>
      <c r="AQ120" s="44"/>
      <c r="AR120" s="44"/>
      <c r="AS120" s="44"/>
      <c r="AT120" s="353">
        <f>20000000+62000000</f>
        <v>82000000</v>
      </c>
      <c r="AU120" s="133">
        <v>62000000</v>
      </c>
      <c r="AV120" s="133">
        <v>3500000</v>
      </c>
      <c r="AW120" s="367"/>
      <c r="AX120" s="133"/>
      <c r="AY120" s="133"/>
      <c r="AZ120" s="353"/>
      <c r="BA120" s="133"/>
      <c r="BB120" s="133"/>
      <c r="BC120" s="367"/>
      <c r="BD120" s="133"/>
      <c r="BE120" s="133"/>
      <c r="BF120" s="298">
        <f t="shared" si="8"/>
        <v>82000000</v>
      </c>
      <c r="BG120" s="298">
        <f t="shared" si="9"/>
        <v>62000000</v>
      </c>
      <c r="BH120" s="298">
        <f t="shared" si="10"/>
        <v>3500000</v>
      </c>
      <c r="BI120" s="388" t="s">
        <v>1479</v>
      </c>
      <c r="BK120" s="34"/>
      <c r="BL120" s="34"/>
    </row>
    <row r="121" spans="1:64" s="16" customFormat="1" ht="117" customHeight="1" x14ac:dyDescent="0.2">
      <c r="A121" s="29">
        <v>312</v>
      </c>
      <c r="B121" s="325" t="s">
        <v>1203</v>
      </c>
      <c r="C121" s="29">
        <v>3</v>
      </c>
      <c r="D121" s="325" t="s">
        <v>1198</v>
      </c>
      <c r="E121" s="29">
        <v>32</v>
      </c>
      <c r="F121" s="325" t="s">
        <v>170</v>
      </c>
      <c r="G121" s="29">
        <v>3205</v>
      </c>
      <c r="H121" s="325" t="s">
        <v>171</v>
      </c>
      <c r="I121" s="29">
        <v>3205</v>
      </c>
      <c r="J121" s="30" t="s">
        <v>1249</v>
      </c>
      <c r="K121" s="297" t="s">
        <v>172</v>
      </c>
      <c r="L121" s="192" t="s">
        <v>510</v>
      </c>
      <c r="M121" s="30" t="s">
        <v>511</v>
      </c>
      <c r="N121" s="192" t="s">
        <v>510</v>
      </c>
      <c r="O121" s="30" t="s">
        <v>511</v>
      </c>
      <c r="P121" s="29" t="s">
        <v>512</v>
      </c>
      <c r="Q121" s="30" t="s">
        <v>513</v>
      </c>
      <c r="R121" s="29">
        <v>320501400</v>
      </c>
      <c r="S121" s="295" t="s">
        <v>513</v>
      </c>
      <c r="T121" s="299" t="s">
        <v>1470</v>
      </c>
      <c r="U121" s="311">
        <v>20</v>
      </c>
      <c r="V121" s="311">
        <v>10</v>
      </c>
      <c r="W121" s="328">
        <f t="shared" si="7"/>
        <v>30</v>
      </c>
      <c r="X121" s="530">
        <v>16</v>
      </c>
      <c r="Y121" s="296">
        <v>2020003630030</v>
      </c>
      <c r="Z121" s="28" t="s">
        <v>1183</v>
      </c>
      <c r="AA121" s="297" t="s">
        <v>509</v>
      </c>
      <c r="AB121" s="43"/>
      <c r="AC121" s="43"/>
      <c r="AD121" s="43"/>
      <c r="AE121" s="44"/>
      <c r="AF121" s="44"/>
      <c r="AG121" s="44"/>
      <c r="AH121" s="44"/>
      <c r="AI121" s="44"/>
      <c r="AJ121" s="44"/>
      <c r="AK121" s="44"/>
      <c r="AL121" s="44"/>
      <c r="AM121" s="44"/>
      <c r="AN121" s="44"/>
      <c r="AO121" s="44"/>
      <c r="AP121" s="44"/>
      <c r="AQ121" s="44"/>
      <c r="AR121" s="44"/>
      <c r="AS121" s="44"/>
      <c r="AT121" s="353">
        <f>20000000+20000000+3770000</f>
        <v>43770000</v>
      </c>
      <c r="AU121" s="133">
        <v>31080000</v>
      </c>
      <c r="AV121" s="133">
        <v>7310000</v>
      </c>
      <c r="AW121" s="367"/>
      <c r="AX121" s="133"/>
      <c r="AY121" s="133"/>
      <c r="AZ121" s="353"/>
      <c r="BA121" s="133"/>
      <c r="BB121" s="133"/>
      <c r="BC121" s="367"/>
      <c r="BD121" s="133"/>
      <c r="BE121" s="133"/>
      <c r="BF121" s="298">
        <f t="shared" si="8"/>
        <v>43770000</v>
      </c>
      <c r="BG121" s="298">
        <f t="shared" si="9"/>
        <v>31080000</v>
      </c>
      <c r="BH121" s="298">
        <f t="shared" si="10"/>
        <v>7310000</v>
      </c>
      <c r="BI121" s="388" t="s">
        <v>1479</v>
      </c>
      <c r="BK121" s="34"/>
      <c r="BL121" s="34"/>
    </row>
    <row r="122" spans="1:64" s="16" customFormat="1" ht="117" customHeight="1" x14ac:dyDescent="0.2">
      <c r="A122" s="29">
        <v>312</v>
      </c>
      <c r="B122" s="325" t="s">
        <v>1203</v>
      </c>
      <c r="C122" s="29">
        <v>3</v>
      </c>
      <c r="D122" s="325" t="s">
        <v>1198</v>
      </c>
      <c r="E122" s="29">
        <v>32</v>
      </c>
      <c r="F122" s="325" t="s">
        <v>170</v>
      </c>
      <c r="G122" s="29">
        <v>3205</v>
      </c>
      <c r="H122" s="325" t="s">
        <v>171</v>
      </c>
      <c r="I122" s="29">
        <v>3205</v>
      </c>
      <c r="J122" s="30" t="s">
        <v>1249</v>
      </c>
      <c r="K122" s="297" t="s">
        <v>172</v>
      </c>
      <c r="L122" s="192">
        <v>3205010</v>
      </c>
      <c r="M122" s="30" t="s">
        <v>173</v>
      </c>
      <c r="N122" s="192">
        <v>3205010</v>
      </c>
      <c r="O122" s="30" t="s">
        <v>173</v>
      </c>
      <c r="P122" s="29" t="s">
        <v>174</v>
      </c>
      <c r="Q122" s="30" t="s">
        <v>175</v>
      </c>
      <c r="R122" s="29">
        <v>320501000</v>
      </c>
      <c r="S122" s="295" t="s">
        <v>175</v>
      </c>
      <c r="T122" s="299" t="s">
        <v>1470</v>
      </c>
      <c r="U122" s="311">
        <v>1</v>
      </c>
      <c r="V122" s="311">
        <v>1</v>
      </c>
      <c r="W122" s="328">
        <f t="shared" si="7"/>
        <v>2</v>
      </c>
      <c r="X122" s="530">
        <v>0</v>
      </c>
      <c r="Y122" s="296">
        <v>2020003630030</v>
      </c>
      <c r="Z122" s="28" t="s">
        <v>1183</v>
      </c>
      <c r="AA122" s="297" t="s">
        <v>509</v>
      </c>
      <c r="AB122" s="43"/>
      <c r="AC122" s="43"/>
      <c r="AD122" s="43"/>
      <c r="AE122" s="44"/>
      <c r="AF122" s="44"/>
      <c r="AG122" s="44"/>
      <c r="AH122" s="44"/>
      <c r="AI122" s="44"/>
      <c r="AJ122" s="44"/>
      <c r="AK122" s="44"/>
      <c r="AL122" s="44"/>
      <c r="AM122" s="44"/>
      <c r="AN122" s="44"/>
      <c r="AO122" s="44"/>
      <c r="AP122" s="44"/>
      <c r="AQ122" s="44"/>
      <c r="AR122" s="44"/>
      <c r="AS122" s="44"/>
      <c r="AT122" s="353">
        <v>42000000</v>
      </c>
      <c r="AU122" s="133">
        <v>0</v>
      </c>
      <c r="AV122" s="133">
        <v>0</v>
      </c>
      <c r="AW122" s="367"/>
      <c r="AX122" s="133"/>
      <c r="AY122" s="133"/>
      <c r="AZ122" s="353"/>
      <c r="BA122" s="133"/>
      <c r="BB122" s="133"/>
      <c r="BC122" s="367"/>
      <c r="BD122" s="133"/>
      <c r="BE122" s="133"/>
      <c r="BF122" s="298">
        <f t="shared" si="8"/>
        <v>42000000</v>
      </c>
      <c r="BG122" s="298">
        <f t="shared" si="9"/>
        <v>0</v>
      </c>
      <c r="BH122" s="298">
        <f t="shared" si="10"/>
        <v>0</v>
      </c>
      <c r="BI122" s="388" t="s">
        <v>1479</v>
      </c>
      <c r="BK122" s="34"/>
      <c r="BL122" s="34"/>
    </row>
    <row r="123" spans="1:64" s="16" customFormat="1" ht="117" customHeight="1" x14ac:dyDescent="0.2">
      <c r="A123" s="29">
        <v>312</v>
      </c>
      <c r="B123" s="325" t="s">
        <v>1203</v>
      </c>
      <c r="C123" s="29">
        <v>3</v>
      </c>
      <c r="D123" s="325" t="s">
        <v>1198</v>
      </c>
      <c r="E123" s="29">
        <v>32</v>
      </c>
      <c r="F123" s="325" t="s">
        <v>170</v>
      </c>
      <c r="G123" s="29" t="s">
        <v>514</v>
      </c>
      <c r="H123" s="325" t="s">
        <v>515</v>
      </c>
      <c r="I123" s="29" t="s">
        <v>514</v>
      </c>
      <c r="J123" s="30" t="s">
        <v>1250</v>
      </c>
      <c r="K123" s="297" t="s">
        <v>172</v>
      </c>
      <c r="L123" s="192" t="s">
        <v>516</v>
      </c>
      <c r="M123" s="30" t="s">
        <v>517</v>
      </c>
      <c r="N123" s="192" t="s">
        <v>516</v>
      </c>
      <c r="O123" s="30" t="s">
        <v>517</v>
      </c>
      <c r="P123" s="287" t="s">
        <v>518</v>
      </c>
      <c r="Q123" s="295" t="s">
        <v>519</v>
      </c>
      <c r="R123" s="287">
        <v>320600500</v>
      </c>
      <c r="S123" s="295" t="s">
        <v>519</v>
      </c>
      <c r="T123" s="299" t="s">
        <v>1470</v>
      </c>
      <c r="U123" s="311">
        <v>4</v>
      </c>
      <c r="V123" s="311">
        <v>2</v>
      </c>
      <c r="W123" s="328">
        <f t="shared" si="7"/>
        <v>6</v>
      </c>
      <c r="X123" s="530">
        <v>5</v>
      </c>
      <c r="Y123" s="296">
        <v>2020003630088</v>
      </c>
      <c r="Z123" s="28" t="s">
        <v>1184</v>
      </c>
      <c r="AA123" s="297" t="s">
        <v>520</v>
      </c>
      <c r="AB123" s="44"/>
      <c r="AC123" s="44"/>
      <c r="AD123" s="44"/>
      <c r="AE123" s="44"/>
      <c r="AF123" s="44"/>
      <c r="AG123" s="44"/>
      <c r="AH123" s="44"/>
      <c r="AI123" s="44"/>
      <c r="AJ123" s="44"/>
      <c r="AK123" s="44"/>
      <c r="AL123" s="44"/>
      <c r="AM123" s="44"/>
      <c r="AN123" s="44"/>
      <c r="AO123" s="44"/>
      <c r="AP123" s="44"/>
      <c r="AQ123" s="44"/>
      <c r="AR123" s="44"/>
      <c r="AS123" s="44"/>
      <c r="AT123" s="353">
        <v>25000000</v>
      </c>
      <c r="AU123" s="133">
        <v>10070000</v>
      </c>
      <c r="AV123" s="133">
        <v>7070000</v>
      </c>
      <c r="AW123" s="367"/>
      <c r="AX123" s="133"/>
      <c r="AY123" s="133"/>
      <c r="AZ123" s="353"/>
      <c r="BA123" s="133"/>
      <c r="BB123" s="133"/>
      <c r="BC123" s="367"/>
      <c r="BD123" s="133"/>
      <c r="BE123" s="133"/>
      <c r="BF123" s="298">
        <f t="shared" si="8"/>
        <v>25000000</v>
      </c>
      <c r="BG123" s="298">
        <f t="shared" si="9"/>
        <v>10070000</v>
      </c>
      <c r="BH123" s="298">
        <f t="shared" si="10"/>
        <v>7070000</v>
      </c>
      <c r="BI123" s="388" t="s">
        <v>1479</v>
      </c>
      <c r="BK123" s="34"/>
      <c r="BL123" s="34"/>
    </row>
    <row r="124" spans="1:64" s="16" customFormat="1" ht="117" customHeight="1" x14ac:dyDescent="0.2">
      <c r="A124" s="29">
        <v>312</v>
      </c>
      <c r="B124" s="325" t="s">
        <v>1203</v>
      </c>
      <c r="C124" s="29">
        <v>3</v>
      </c>
      <c r="D124" s="325" t="s">
        <v>1198</v>
      </c>
      <c r="E124" s="29">
        <v>32</v>
      </c>
      <c r="F124" s="325" t="s">
        <v>170</v>
      </c>
      <c r="G124" s="29" t="s">
        <v>514</v>
      </c>
      <c r="H124" s="325" t="s">
        <v>515</v>
      </c>
      <c r="I124" s="29" t="s">
        <v>514</v>
      </c>
      <c r="J124" s="30" t="s">
        <v>1250</v>
      </c>
      <c r="K124" s="297" t="s">
        <v>172</v>
      </c>
      <c r="L124" s="192">
        <v>3206014</v>
      </c>
      <c r="M124" s="30" t="s">
        <v>521</v>
      </c>
      <c r="N124" s="192">
        <v>3206014</v>
      </c>
      <c r="O124" s="30" t="s">
        <v>521</v>
      </c>
      <c r="P124" s="287" t="s">
        <v>522</v>
      </c>
      <c r="Q124" s="295" t="s">
        <v>523</v>
      </c>
      <c r="R124" s="287">
        <v>320601400</v>
      </c>
      <c r="S124" s="295" t="s">
        <v>523</v>
      </c>
      <c r="T124" s="299" t="s">
        <v>1470</v>
      </c>
      <c r="U124" s="311">
        <v>2000</v>
      </c>
      <c r="V124" s="311">
        <v>18</v>
      </c>
      <c r="W124" s="328">
        <f t="shared" si="7"/>
        <v>2018</v>
      </c>
      <c r="X124" s="530">
        <v>5052</v>
      </c>
      <c r="Y124" s="296">
        <v>2020003630088</v>
      </c>
      <c r="Z124" s="28" t="s">
        <v>1184</v>
      </c>
      <c r="AA124" s="297" t="s">
        <v>520</v>
      </c>
      <c r="AB124" s="44"/>
      <c r="AC124" s="44"/>
      <c r="AD124" s="44"/>
      <c r="AE124" s="44"/>
      <c r="AF124" s="44"/>
      <c r="AG124" s="44"/>
      <c r="AH124" s="44"/>
      <c r="AI124" s="44"/>
      <c r="AJ124" s="44"/>
      <c r="AK124" s="44"/>
      <c r="AL124" s="44"/>
      <c r="AM124" s="44"/>
      <c r="AN124" s="44"/>
      <c r="AO124" s="44"/>
      <c r="AP124" s="44"/>
      <c r="AQ124" s="44"/>
      <c r="AR124" s="44"/>
      <c r="AS124" s="44"/>
      <c r="AT124" s="353">
        <f>18000000+5000000</f>
        <v>23000000</v>
      </c>
      <c r="AU124" s="133">
        <v>20327500</v>
      </c>
      <c r="AV124" s="133">
        <v>15000000</v>
      </c>
      <c r="AW124" s="367"/>
      <c r="AX124" s="133"/>
      <c r="AY124" s="133"/>
      <c r="AZ124" s="353"/>
      <c r="BA124" s="133"/>
      <c r="BB124" s="133"/>
      <c r="BC124" s="367"/>
      <c r="BD124" s="133"/>
      <c r="BE124" s="133"/>
      <c r="BF124" s="298">
        <f t="shared" si="8"/>
        <v>23000000</v>
      </c>
      <c r="BG124" s="298">
        <f t="shared" si="9"/>
        <v>20327500</v>
      </c>
      <c r="BH124" s="298">
        <f t="shared" si="10"/>
        <v>15000000</v>
      </c>
      <c r="BI124" s="388" t="s">
        <v>1479</v>
      </c>
      <c r="BK124" s="34"/>
      <c r="BL124" s="34"/>
    </row>
    <row r="125" spans="1:64" s="16" customFormat="1" ht="117" customHeight="1" x14ac:dyDescent="0.2">
      <c r="A125" s="29">
        <v>312</v>
      </c>
      <c r="B125" s="325" t="s">
        <v>1203</v>
      </c>
      <c r="C125" s="29">
        <v>3</v>
      </c>
      <c r="D125" s="325" t="s">
        <v>1198</v>
      </c>
      <c r="E125" s="29">
        <v>32</v>
      </c>
      <c r="F125" s="325" t="s">
        <v>170</v>
      </c>
      <c r="G125" s="29" t="s">
        <v>514</v>
      </c>
      <c r="H125" s="325" t="s">
        <v>515</v>
      </c>
      <c r="I125" s="29" t="s">
        <v>514</v>
      </c>
      <c r="J125" s="30" t="s">
        <v>1250</v>
      </c>
      <c r="K125" s="297" t="s">
        <v>172</v>
      </c>
      <c r="L125" s="192" t="s">
        <v>524</v>
      </c>
      <c r="M125" s="30" t="s">
        <v>525</v>
      </c>
      <c r="N125" s="192" t="s">
        <v>524</v>
      </c>
      <c r="O125" s="30" t="s">
        <v>525</v>
      </c>
      <c r="P125" s="287" t="s">
        <v>526</v>
      </c>
      <c r="Q125" s="295" t="s">
        <v>527</v>
      </c>
      <c r="R125" s="287">
        <v>320601500</v>
      </c>
      <c r="S125" s="295" t="s">
        <v>527</v>
      </c>
      <c r="T125" s="299" t="s">
        <v>1470</v>
      </c>
      <c r="U125" s="311">
        <v>30</v>
      </c>
      <c r="V125" s="311">
        <v>20</v>
      </c>
      <c r="W125" s="328">
        <f t="shared" si="7"/>
        <v>50</v>
      </c>
      <c r="X125" s="530">
        <v>9</v>
      </c>
      <c r="Y125" s="296">
        <v>2020003630088</v>
      </c>
      <c r="Z125" s="28" t="s">
        <v>1184</v>
      </c>
      <c r="AA125" s="297" t="s">
        <v>520</v>
      </c>
      <c r="AB125" s="44"/>
      <c r="AC125" s="44"/>
      <c r="AD125" s="44"/>
      <c r="AE125" s="44"/>
      <c r="AF125" s="44"/>
      <c r="AG125" s="44"/>
      <c r="AH125" s="44"/>
      <c r="AI125" s="44"/>
      <c r="AJ125" s="44"/>
      <c r="AK125" s="44"/>
      <c r="AL125" s="44"/>
      <c r="AM125" s="44"/>
      <c r="AN125" s="44"/>
      <c r="AO125" s="44"/>
      <c r="AP125" s="44"/>
      <c r="AQ125" s="44"/>
      <c r="AR125" s="44"/>
      <c r="AS125" s="44"/>
      <c r="AT125" s="353">
        <f>75000000+75000000</f>
        <v>150000000</v>
      </c>
      <c r="AU125" s="133">
        <v>75000000</v>
      </c>
      <c r="AV125" s="133">
        <v>75000000</v>
      </c>
      <c r="AW125" s="367"/>
      <c r="AX125" s="133"/>
      <c r="AY125" s="133"/>
      <c r="AZ125" s="353"/>
      <c r="BA125" s="133"/>
      <c r="BB125" s="133"/>
      <c r="BC125" s="367"/>
      <c r="BD125" s="133"/>
      <c r="BE125" s="133"/>
      <c r="BF125" s="298">
        <f t="shared" si="8"/>
        <v>150000000</v>
      </c>
      <c r="BG125" s="298">
        <f t="shared" si="9"/>
        <v>75000000</v>
      </c>
      <c r="BH125" s="298">
        <f t="shared" si="10"/>
        <v>75000000</v>
      </c>
      <c r="BI125" s="388" t="s">
        <v>1479</v>
      </c>
      <c r="BK125" s="34"/>
      <c r="BL125" s="34"/>
    </row>
    <row r="126" spans="1:64" s="16" customFormat="1" ht="117" customHeight="1" x14ac:dyDescent="0.2">
      <c r="A126" s="29">
        <v>313</v>
      </c>
      <c r="B126" s="325" t="s">
        <v>1514</v>
      </c>
      <c r="C126" s="29">
        <v>4</v>
      </c>
      <c r="D126" s="325" t="s">
        <v>1192</v>
      </c>
      <c r="E126" s="29">
        <v>45</v>
      </c>
      <c r="F126" s="325" t="s">
        <v>28</v>
      </c>
      <c r="G126" s="29" t="s">
        <v>31</v>
      </c>
      <c r="H126" s="325" t="s">
        <v>1227</v>
      </c>
      <c r="I126" s="29">
        <v>4599</v>
      </c>
      <c r="J126" s="30" t="s">
        <v>1228</v>
      </c>
      <c r="K126" s="297" t="s">
        <v>30</v>
      </c>
      <c r="L126" s="29" t="s">
        <v>31</v>
      </c>
      <c r="M126" s="297" t="s">
        <v>529</v>
      </c>
      <c r="N126" s="29">
        <v>4599023</v>
      </c>
      <c r="O126" s="30" t="s">
        <v>96</v>
      </c>
      <c r="P126" s="29" t="s">
        <v>31</v>
      </c>
      <c r="Q126" s="302" t="s">
        <v>530</v>
      </c>
      <c r="R126" s="29">
        <v>459902304</v>
      </c>
      <c r="S126" s="295" t="s">
        <v>531</v>
      </c>
      <c r="T126" s="299" t="s">
        <v>1469</v>
      </c>
      <c r="U126" s="347">
        <v>1</v>
      </c>
      <c r="V126" s="347"/>
      <c r="W126" s="328">
        <f t="shared" si="7"/>
        <v>1</v>
      </c>
      <c r="X126" s="538">
        <v>0.75</v>
      </c>
      <c r="Y126" s="39">
        <v>2021003630005</v>
      </c>
      <c r="Z126" s="297" t="s">
        <v>532</v>
      </c>
      <c r="AA126" s="297" t="s">
        <v>533</v>
      </c>
      <c r="AB126" s="44"/>
      <c r="AC126" s="44"/>
      <c r="AD126" s="44"/>
      <c r="AE126" s="44"/>
      <c r="AF126" s="44"/>
      <c r="AG126" s="44"/>
      <c r="AH126" s="44"/>
      <c r="AI126" s="44"/>
      <c r="AJ126" s="44"/>
      <c r="AK126" s="44"/>
      <c r="AL126" s="44"/>
      <c r="AM126" s="44"/>
      <c r="AN126" s="44"/>
      <c r="AO126" s="44"/>
      <c r="AP126" s="44"/>
      <c r="AQ126" s="44"/>
      <c r="AR126" s="44"/>
      <c r="AS126" s="44"/>
      <c r="AT126" s="535">
        <f>250000000-100000000+58000000+53200000+20000000</f>
        <v>281200000</v>
      </c>
      <c r="AU126" s="42">
        <v>235795000</v>
      </c>
      <c r="AV126" s="42">
        <v>176531500</v>
      </c>
      <c r="AW126" s="361"/>
      <c r="AX126" s="44"/>
      <c r="AY126" s="44"/>
      <c r="AZ126" s="358"/>
      <c r="BA126" s="44"/>
      <c r="BB126" s="44"/>
      <c r="BC126" s="361"/>
      <c r="BD126" s="44"/>
      <c r="BE126" s="44"/>
      <c r="BF126" s="298">
        <f t="shared" si="8"/>
        <v>281200000</v>
      </c>
      <c r="BG126" s="298">
        <f t="shared" si="9"/>
        <v>235795000</v>
      </c>
      <c r="BH126" s="298">
        <f t="shared" si="10"/>
        <v>176531500</v>
      </c>
      <c r="BI126" s="30" t="s">
        <v>1514</v>
      </c>
      <c r="BK126" s="34"/>
      <c r="BL126" s="34"/>
    </row>
    <row r="127" spans="1:64" s="16" customFormat="1" ht="117" customHeight="1" x14ac:dyDescent="0.2">
      <c r="A127" s="29">
        <v>313</v>
      </c>
      <c r="B127" s="325" t="s">
        <v>1514</v>
      </c>
      <c r="C127" s="29">
        <v>4</v>
      </c>
      <c r="D127" s="325" t="s">
        <v>1192</v>
      </c>
      <c r="E127" s="29">
        <v>45</v>
      </c>
      <c r="F127" s="325" t="s">
        <v>28</v>
      </c>
      <c r="G127" s="29" t="s">
        <v>31</v>
      </c>
      <c r="H127" s="325" t="s">
        <v>1227</v>
      </c>
      <c r="I127" s="29">
        <v>4599</v>
      </c>
      <c r="J127" s="30" t="s">
        <v>1228</v>
      </c>
      <c r="K127" s="297" t="s">
        <v>30</v>
      </c>
      <c r="L127" s="29" t="s">
        <v>31</v>
      </c>
      <c r="M127" s="30" t="s">
        <v>534</v>
      </c>
      <c r="N127" s="29">
        <v>4599029</v>
      </c>
      <c r="O127" s="30" t="s">
        <v>50</v>
      </c>
      <c r="P127" s="29" t="s">
        <v>31</v>
      </c>
      <c r="Q127" s="295" t="s">
        <v>535</v>
      </c>
      <c r="R127" s="90">
        <v>459902900</v>
      </c>
      <c r="S127" s="295" t="s">
        <v>52</v>
      </c>
      <c r="T127" s="299" t="s">
        <v>1469</v>
      </c>
      <c r="U127" s="347">
        <v>1</v>
      </c>
      <c r="V127" s="347"/>
      <c r="W127" s="328">
        <f t="shared" si="7"/>
        <v>1</v>
      </c>
      <c r="X127" s="538">
        <v>0.4</v>
      </c>
      <c r="Y127" s="296">
        <v>2020003630090</v>
      </c>
      <c r="Z127" s="30" t="s">
        <v>536</v>
      </c>
      <c r="AA127" s="297" t="s">
        <v>537</v>
      </c>
      <c r="AB127" s="44"/>
      <c r="AC127" s="44"/>
      <c r="AD127" s="44"/>
      <c r="AE127" s="44"/>
      <c r="AF127" s="44"/>
      <c r="AG127" s="44"/>
      <c r="AH127" s="44"/>
      <c r="AI127" s="44"/>
      <c r="AJ127" s="44"/>
      <c r="AK127" s="44"/>
      <c r="AL127" s="44"/>
      <c r="AM127" s="44"/>
      <c r="AN127" s="44"/>
      <c r="AO127" s="44"/>
      <c r="AP127" s="44"/>
      <c r="AQ127" s="44"/>
      <c r="AR127" s="44"/>
      <c r="AS127" s="44"/>
      <c r="AT127" s="535">
        <f>300000000+520000000+160000000+100000000+90000000+499400000+50000000</f>
        <v>1719400000</v>
      </c>
      <c r="AU127" s="42">
        <v>1176256705</v>
      </c>
      <c r="AV127" s="42">
        <v>654601886</v>
      </c>
      <c r="AW127" s="361"/>
      <c r="AX127" s="44"/>
      <c r="AY127" s="44"/>
      <c r="AZ127" s="358"/>
      <c r="BA127" s="44"/>
      <c r="BB127" s="44"/>
      <c r="BC127" s="361"/>
      <c r="BD127" s="44"/>
      <c r="BE127" s="44"/>
      <c r="BF127" s="298">
        <f t="shared" si="8"/>
        <v>1719400000</v>
      </c>
      <c r="BG127" s="298">
        <f t="shared" si="9"/>
        <v>1176256705</v>
      </c>
      <c r="BH127" s="298">
        <f t="shared" si="10"/>
        <v>654601886</v>
      </c>
      <c r="BI127" s="30" t="s">
        <v>1514</v>
      </c>
      <c r="BK127" s="34"/>
      <c r="BL127" s="34"/>
    </row>
    <row r="128" spans="1:64" s="16" customFormat="1" ht="117" customHeight="1" x14ac:dyDescent="0.2">
      <c r="A128" s="29">
        <v>313</v>
      </c>
      <c r="B128" s="325" t="s">
        <v>1514</v>
      </c>
      <c r="C128" s="29">
        <v>4</v>
      </c>
      <c r="D128" s="325" t="s">
        <v>1192</v>
      </c>
      <c r="E128" s="29">
        <v>45</v>
      </c>
      <c r="F128" s="325" t="s">
        <v>28</v>
      </c>
      <c r="G128" s="29">
        <v>4502</v>
      </c>
      <c r="H128" s="325" t="s">
        <v>1224</v>
      </c>
      <c r="I128" s="29">
        <v>4502</v>
      </c>
      <c r="J128" s="30" t="s">
        <v>1223</v>
      </c>
      <c r="K128" s="297" t="s">
        <v>48</v>
      </c>
      <c r="L128" s="29" t="s">
        <v>31</v>
      </c>
      <c r="M128" s="30" t="s">
        <v>538</v>
      </c>
      <c r="N128" s="29">
        <v>4502001</v>
      </c>
      <c r="O128" s="30" t="s">
        <v>58</v>
      </c>
      <c r="P128" s="29" t="s">
        <v>31</v>
      </c>
      <c r="Q128" s="295" t="s">
        <v>539</v>
      </c>
      <c r="R128" s="29">
        <v>450200100</v>
      </c>
      <c r="S128" s="295" t="s">
        <v>60</v>
      </c>
      <c r="T128" s="299" t="s">
        <v>1469</v>
      </c>
      <c r="U128" s="311">
        <v>30</v>
      </c>
      <c r="V128" s="311"/>
      <c r="W128" s="328">
        <f t="shared" si="7"/>
        <v>30</v>
      </c>
      <c r="X128" s="530">
        <v>23</v>
      </c>
      <c r="Y128" s="296">
        <v>2020003630031</v>
      </c>
      <c r="Z128" s="30" t="s">
        <v>540</v>
      </c>
      <c r="AA128" s="297" t="s">
        <v>541</v>
      </c>
      <c r="AB128" s="136"/>
      <c r="AC128" s="136"/>
      <c r="AD128" s="136"/>
      <c r="AE128" s="136"/>
      <c r="AF128" s="136"/>
      <c r="AG128" s="136"/>
      <c r="AH128" s="136"/>
      <c r="AI128" s="136"/>
      <c r="AJ128" s="136"/>
      <c r="AK128" s="136"/>
      <c r="AL128" s="136"/>
      <c r="AM128" s="136"/>
      <c r="AN128" s="136"/>
      <c r="AO128" s="136"/>
      <c r="AP128" s="136"/>
      <c r="AQ128" s="136"/>
      <c r="AR128" s="136"/>
      <c r="AS128" s="136"/>
      <c r="AT128" s="535">
        <f>145000000+40052800+26400000+30000000+30000000</f>
        <v>271452800</v>
      </c>
      <c r="AU128" s="42">
        <v>223685832</v>
      </c>
      <c r="AV128" s="42">
        <v>154300000</v>
      </c>
      <c r="AW128" s="364"/>
      <c r="AX128" s="136"/>
      <c r="AY128" s="136"/>
      <c r="AZ128" s="402"/>
      <c r="BA128" s="136"/>
      <c r="BB128" s="136"/>
      <c r="BC128" s="364"/>
      <c r="BD128" s="136"/>
      <c r="BE128" s="136"/>
      <c r="BF128" s="298">
        <f t="shared" si="8"/>
        <v>271452800</v>
      </c>
      <c r="BG128" s="298">
        <f t="shared" si="9"/>
        <v>223685832</v>
      </c>
      <c r="BH128" s="298">
        <f t="shared" si="10"/>
        <v>154300000</v>
      </c>
      <c r="BI128" s="30" t="s">
        <v>1514</v>
      </c>
      <c r="BK128" s="34"/>
      <c r="BL128" s="34"/>
    </row>
    <row r="129" spans="1:64" s="16" customFormat="1" ht="117" customHeight="1" x14ac:dyDescent="0.2">
      <c r="A129" s="29">
        <v>314</v>
      </c>
      <c r="B129" s="325" t="s">
        <v>1204</v>
      </c>
      <c r="C129" s="29">
        <v>1</v>
      </c>
      <c r="D129" s="325" t="s">
        <v>1201</v>
      </c>
      <c r="E129" s="29">
        <v>22</v>
      </c>
      <c r="F129" s="325" t="s">
        <v>124</v>
      </c>
      <c r="G129" s="29">
        <v>2201</v>
      </c>
      <c r="H129" s="325" t="s">
        <v>229</v>
      </c>
      <c r="I129" s="29">
        <v>2201</v>
      </c>
      <c r="J129" s="30" t="s">
        <v>1242</v>
      </c>
      <c r="K129" s="297" t="s">
        <v>543</v>
      </c>
      <c r="L129" s="29">
        <v>2201030</v>
      </c>
      <c r="M129" s="30" t="s">
        <v>544</v>
      </c>
      <c r="N129" s="29">
        <v>2201030</v>
      </c>
      <c r="O129" s="30" t="s">
        <v>544</v>
      </c>
      <c r="P129" s="107">
        <v>220103000</v>
      </c>
      <c r="Q129" s="295" t="s">
        <v>545</v>
      </c>
      <c r="R129" s="107">
        <v>220103000</v>
      </c>
      <c r="S129" s="295" t="s">
        <v>545</v>
      </c>
      <c r="T129" s="299" t="s">
        <v>1469</v>
      </c>
      <c r="U129" s="311">
        <v>2500</v>
      </c>
      <c r="V129" s="311"/>
      <c r="W129" s="328">
        <f t="shared" si="7"/>
        <v>2500</v>
      </c>
      <c r="X129" s="300">
        <v>2031</v>
      </c>
      <c r="Y129" s="296">
        <v>2020003630091</v>
      </c>
      <c r="Z129" s="30" t="s">
        <v>546</v>
      </c>
      <c r="AA129" s="297" t="s">
        <v>547</v>
      </c>
      <c r="AB129" s="44"/>
      <c r="AC129" s="44"/>
      <c r="AD129" s="44"/>
      <c r="AE129" s="44"/>
      <c r="AF129" s="44"/>
      <c r="AG129" s="44"/>
      <c r="AH129" s="44"/>
      <c r="AI129" s="44"/>
      <c r="AJ129" s="44"/>
      <c r="AK129" s="44"/>
      <c r="AL129" s="44"/>
      <c r="AM129" s="44"/>
      <c r="AN129" s="528">
        <f>1410325000-78898983-78898984</f>
        <v>1252527033</v>
      </c>
      <c r="AO129" s="44">
        <v>1148984612.5</v>
      </c>
      <c r="AP129" s="44">
        <v>738745602</v>
      </c>
      <c r="AQ129" s="44"/>
      <c r="AR129" s="44"/>
      <c r="AS129" s="44"/>
      <c r="AT129" s="356"/>
      <c r="AU129" s="42"/>
      <c r="AV129" s="42"/>
      <c r="AW129" s="361"/>
      <c r="AX129" s="44"/>
      <c r="AY129" s="44"/>
      <c r="AZ129" s="358"/>
      <c r="BA129" s="44"/>
      <c r="BB129" s="44"/>
      <c r="BC129" s="361"/>
      <c r="BD129" s="44"/>
      <c r="BE129" s="44"/>
      <c r="BF129" s="298">
        <f t="shared" si="8"/>
        <v>1252527033</v>
      </c>
      <c r="BG129" s="298">
        <f t="shared" si="9"/>
        <v>1148984612.5</v>
      </c>
      <c r="BH129" s="298">
        <f t="shared" si="10"/>
        <v>738745602</v>
      </c>
      <c r="BI129" s="386" t="s">
        <v>1482</v>
      </c>
      <c r="BK129" s="34"/>
      <c r="BL129" s="34"/>
    </row>
    <row r="130" spans="1:64" s="16" customFormat="1" ht="117" customHeight="1" x14ac:dyDescent="0.2">
      <c r="A130" s="29">
        <v>314</v>
      </c>
      <c r="B130" s="325" t="s">
        <v>1204</v>
      </c>
      <c r="C130" s="29">
        <v>1</v>
      </c>
      <c r="D130" s="325" t="s">
        <v>1201</v>
      </c>
      <c r="E130" s="29">
        <v>22</v>
      </c>
      <c r="F130" s="325" t="s">
        <v>124</v>
      </c>
      <c r="G130" s="29">
        <v>2201</v>
      </c>
      <c r="H130" s="325" t="s">
        <v>229</v>
      </c>
      <c r="I130" s="29">
        <v>2201</v>
      </c>
      <c r="J130" s="30" t="s">
        <v>1242</v>
      </c>
      <c r="K130" s="297" t="s">
        <v>548</v>
      </c>
      <c r="L130" s="29">
        <v>2201033</v>
      </c>
      <c r="M130" s="30" t="s">
        <v>549</v>
      </c>
      <c r="N130" s="29">
        <v>2201033</v>
      </c>
      <c r="O130" s="30" t="s">
        <v>549</v>
      </c>
      <c r="P130" s="107">
        <v>220103300</v>
      </c>
      <c r="Q130" s="295" t="s">
        <v>550</v>
      </c>
      <c r="R130" s="107">
        <v>220103300</v>
      </c>
      <c r="S130" s="295" t="s">
        <v>550</v>
      </c>
      <c r="T130" s="299" t="s">
        <v>1470</v>
      </c>
      <c r="U130" s="311">
        <v>9000</v>
      </c>
      <c r="V130" s="311"/>
      <c r="W130" s="328">
        <f t="shared" si="7"/>
        <v>9000</v>
      </c>
      <c r="X130" s="300">
        <v>0</v>
      </c>
      <c r="Y130" s="296">
        <v>2020003630091</v>
      </c>
      <c r="Z130" s="30" t="s">
        <v>546</v>
      </c>
      <c r="AA130" s="297" t="s">
        <v>547</v>
      </c>
      <c r="AB130" s="44"/>
      <c r="AC130" s="44"/>
      <c r="AD130" s="44"/>
      <c r="AE130" s="44"/>
      <c r="AF130" s="44"/>
      <c r="AG130" s="44"/>
      <c r="AH130" s="44"/>
      <c r="AI130" s="44"/>
      <c r="AJ130" s="44"/>
      <c r="AK130" s="44"/>
      <c r="AL130" s="44"/>
      <c r="AM130" s="44"/>
      <c r="AN130" s="44"/>
      <c r="AO130" s="44"/>
      <c r="AP130" s="44"/>
      <c r="AQ130" s="44"/>
      <c r="AR130" s="44"/>
      <c r="AS130" s="44"/>
      <c r="AT130" s="354">
        <f>18000000-8000000</f>
        <v>10000000</v>
      </c>
      <c r="AU130" s="108">
        <v>0</v>
      </c>
      <c r="AV130" s="108">
        <v>0</v>
      </c>
      <c r="AW130" s="361"/>
      <c r="AX130" s="44"/>
      <c r="AY130" s="44"/>
      <c r="AZ130" s="358"/>
      <c r="BA130" s="44"/>
      <c r="BB130" s="44"/>
      <c r="BC130" s="361"/>
      <c r="BD130" s="44"/>
      <c r="BE130" s="44"/>
      <c r="BF130" s="298">
        <f t="shared" si="8"/>
        <v>10000000</v>
      </c>
      <c r="BG130" s="298">
        <f t="shared" si="9"/>
        <v>0</v>
      </c>
      <c r="BH130" s="298">
        <f t="shared" si="10"/>
        <v>0</v>
      </c>
      <c r="BI130" s="386" t="s">
        <v>1482</v>
      </c>
      <c r="BK130" s="34"/>
      <c r="BL130" s="34"/>
    </row>
    <row r="131" spans="1:64" s="16" customFormat="1" ht="117" customHeight="1" x14ac:dyDescent="0.2">
      <c r="A131" s="29">
        <v>314</v>
      </c>
      <c r="B131" s="325" t="s">
        <v>1204</v>
      </c>
      <c r="C131" s="29">
        <v>1</v>
      </c>
      <c r="D131" s="325" t="s">
        <v>1201</v>
      </c>
      <c r="E131" s="29">
        <v>22</v>
      </c>
      <c r="F131" s="325" t="s">
        <v>124</v>
      </c>
      <c r="G131" s="29">
        <v>2201</v>
      </c>
      <c r="H131" s="325" t="s">
        <v>229</v>
      </c>
      <c r="I131" s="29">
        <v>2201</v>
      </c>
      <c r="J131" s="30" t="s">
        <v>1242</v>
      </c>
      <c r="K131" s="297" t="s">
        <v>551</v>
      </c>
      <c r="L131" s="29">
        <v>2201032</v>
      </c>
      <c r="M131" s="30" t="s">
        <v>552</v>
      </c>
      <c r="N131" s="29">
        <v>2201032</v>
      </c>
      <c r="O131" s="30" t="s">
        <v>552</v>
      </c>
      <c r="P131" s="192">
        <v>220103200</v>
      </c>
      <c r="Q131" s="295" t="s">
        <v>553</v>
      </c>
      <c r="R131" s="192">
        <v>220103200</v>
      </c>
      <c r="S131" s="295" t="s">
        <v>553</v>
      </c>
      <c r="T131" s="299" t="s">
        <v>1470</v>
      </c>
      <c r="U131" s="311">
        <v>200</v>
      </c>
      <c r="V131" s="311"/>
      <c r="W131" s="328">
        <f t="shared" si="7"/>
        <v>200</v>
      </c>
      <c r="X131" s="300">
        <v>261</v>
      </c>
      <c r="Y131" s="296">
        <v>2020003630091</v>
      </c>
      <c r="Z131" s="30" t="s">
        <v>546</v>
      </c>
      <c r="AA131" s="297" t="s">
        <v>547</v>
      </c>
      <c r="AB131" s="44"/>
      <c r="AC131" s="44"/>
      <c r="AD131" s="44"/>
      <c r="AE131" s="44"/>
      <c r="AF131" s="44"/>
      <c r="AG131" s="44"/>
      <c r="AH131" s="44"/>
      <c r="AI131" s="44"/>
      <c r="AJ131" s="44"/>
      <c r="AK131" s="44"/>
      <c r="AL131" s="44"/>
      <c r="AM131" s="44"/>
      <c r="AN131" s="44"/>
      <c r="AO131" s="44"/>
      <c r="AP131" s="44"/>
      <c r="AQ131" s="44"/>
      <c r="AR131" s="44"/>
      <c r="AS131" s="44"/>
      <c r="AT131" s="354">
        <f>10000000-5000000+12310000</f>
        <v>17310000</v>
      </c>
      <c r="AU131" s="108">
        <v>17275000</v>
      </c>
      <c r="AV131" s="108">
        <v>0</v>
      </c>
      <c r="AW131" s="361"/>
      <c r="AX131" s="44"/>
      <c r="AY131" s="44"/>
      <c r="AZ131" s="358"/>
      <c r="BA131" s="44"/>
      <c r="BB131" s="44"/>
      <c r="BC131" s="361"/>
      <c r="BD131" s="44"/>
      <c r="BE131" s="44"/>
      <c r="BF131" s="298">
        <f t="shared" si="8"/>
        <v>17310000</v>
      </c>
      <c r="BG131" s="298">
        <f t="shared" si="9"/>
        <v>17275000</v>
      </c>
      <c r="BH131" s="298">
        <f t="shared" si="10"/>
        <v>0</v>
      </c>
      <c r="BI131" s="386" t="s">
        <v>1482</v>
      </c>
      <c r="BK131" s="34"/>
      <c r="BL131" s="34"/>
    </row>
    <row r="132" spans="1:64" s="16" customFormat="1" ht="117" customHeight="1" x14ac:dyDescent="0.2">
      <c r="A132" s="29">
        <v>314</v>
      </c>
      <c r="B132" s="325" t="s">
        <v>1204</v>
      </c>
      <c r="C132" s="29">
        <v>1</v>
      </c>
      <c r="D132" s="325" t="s">
        <v>1201</v>
      </c>
      <c r="E132" s="29">
        <v>22</v>
      </c>
      <c r="F132" s="325" t="s">
        <v>124</v>
      </c>
      <c r="G132" s="29">
        <v>2201</v>
      </c>
      <c r="H132" s="325" t="s">
        <v>229</v>
      </c>
      <c r="I132" s="29">
        <v>2201</v>
      </c>
      <c r="J132" s="30" t="s">
        <v>1242</v>
      </c>
      <c r="K132" s="297" t="s">
        <v>554</v>
      </c>
      <c r="L132" s="29">
        <v>2201055</v>
      </c>
      <c r="M132" s="30" t="s">
        <v>555</v>
      </c>
      <c r="N132" s="29">
        <v>2201055</v>
      </c>
      <c r="O132" s="30" t="s">
        <v>555</v>
      </c>
      <c r="P132" s="107">
        <v>220105500</v>
      </c>
      <c r="Q132" s="295" t="s">
        <v>556</v>
      </c>
      <c r="R132" s="107">
        <v>220105500</v>
      </c>
      <c r="S132" s="295" t="s">
        <v>556</v>
      </c>
      <c r="T132" s="299" t="s">
        <v>1469</v>
      </c>
      <c r="U132" s="311">
        <v>1</v>
      </c>
      <c r="V132" s="311"/>
      <c r="W132" s="328">
        <f t="shared" si="7"/>
        <v>1</v>
      </c>
      <c r="X132" s="300">
        <v>1</v>
      </c>
      <c r="Y132" s="296">
        <v>2020003630091</v>
      </c>
      <c r="Z132" s="28" t="s">
        <v>546</v>
      </c>
      <c r="AA132" s="297" t="s">
        <v>547</v>
      </c>
      <c r="AB132" s="44"/>
      <c r="AC132" s="44"/>
      <c r="AD132" s="44"/>
      <c r="AE132" s="44"/>
      <c r="AF132" s="44"/>
      <c r="AG132" s="44"/>
      <c r="AH132" s="44"/>
      <c r="AI132" s="44"/>
      <c r="AJ132" s="44"/>
      <c r="AK132" s="44"/>
      <c r="AL132" s="44"/>
      <c r="AM132" s="44"/>
      <c r="AN132" s="528">
        <f>51000000-4254320</f>
        <v>46745680</v>
      </c>
      <c r="AO132" s="44">
        <v>20000000</v>
      </c>
      <c r="AP132" s="44">
        <v>20000000</v>
      </c>
      <c r="AQ132" s="44"/>
      <c r="AR132" s="44"/>
      <c r="AS132" s="44"/>
      <c r="AT132" s="356">
        <v>0</v>
      </c>
      <c r="AU132" s="42"/>
      <c r="AV132" s="42"/>
      <c r="AW132" s="361"/>
      <c r="AX132" s="44"/>
      <c r="AY132" s="44"/>
      <c r="AZ132" s="358"/>
      <c r="BA132" s="44"/>
      <c r="BB132" s="44"/>
      <c r="BC132" s="361"/>
      <c r="BD132" s="44"/>
      <c r="BE132" s="44"/>
      <c r="BF132" s="298">
        <f t="shared" si="8"/>
        <v>46745680</v>
      </c>
      <c r="BG132" s="298">
        <f t="shared" si="9"/>
        <v>20000000</v>
      </c>
      <c r="BH132" s="298">
        <f t="shared" si="10"/>
        <v>20000000</v>
      </c>
      <c r="BI132" s="386" t="s">
        <v>1482</v>
      </c>
      <c r="BK132" s="34"/>
      <c r="BL132" s="34"/>
    </row>
    <row r="133" spans="1:64" s="16" customFormat="1" ht="117" customHeight="1" x14ac:dyDescent="0.2">
      <c r="A133" s="29">
        <v>314</v>
      </c>
      <c r="B133" s="325" t="s">
        <v>1204</v>
      </c>
      <c r="C133" s="29">
        <v>1</v>
      </c>
      <c r="D133" s="325" t="s">
        <v>1201</v>
      </c>
      <c r="E133" s="29">
        <v>22</v>
      </c>
      <c r="F133" s="325" t="s">
        <v>124</v>
      </c>
      <c r="G133" s="29">
        <v>2201</v>
      </c>
      <c r="H133" s="325" t="s">
        <v>229</v>
      </c>
      <c r="I133" s="29">
        <v>2201</v>
      </c>
      <c r="J133" s="30" t="s">
        <v>1242</v>
      </c>
      <c r="K133" s="297" t="s">
        <v>557</v>
      </c>
      <c r="L133" s="29">
        <v>2201067</v>
      </c>
      <c r="M133" s="30" t="s">
        <v>558</v>
      </c>
      <c r="N133" s="29">
        <v>2201067</v>
      </c>
      <c r="O133" s="30" t="s">
        <v>558</v>
      </c>
      <c r="P133" s="192">
        <v>220106700</v>
      </c>
      <c r="Q133" s="295" t="s">
        <v>559</v>
      </c>
      <c r="R133" s="192">
        <v>220106700</v>
      </c>
      <c r="S133" s="295" t="s">
        <v>559</v>
      </c>
      <c r="T133" s="299" t="s">
        <v>1469</v>
      </c>
      <c r="U133" s="311">
        <v>54</v>
      </c>
      <c r="V133" s="311"/>
      <c r="W133" s="328">
        <f t="shared" si="7"/>
        <v>54</v>
      </c>
      <c r="X133" s="300">
        <v>43</v>
      </c>
      <c r="Y133" s="296">
        <v>2020003630091</v>
      </c>
      <c r="Z133" s="28" t="s">
        <v>546</v>
      </c>
      <c r="AA133" s="297" t="s">
        <v>547</v>
      </c>
      <c r="AB133" s="44"/>
      <c r="AC133" s="44"/>
      <c r="AD133" s="44"/>
      <c r="AE133" s="44"/>
      <c r="AF133" s="44"/>
      <c r="AG133" s="44"/>
      <c r="AH133" s="44"/>
      <c r="AI133" s="44"/>
      <c r="AJ133" s="44"/>
      <c r="AK133" s="44"/>
      <c r="AL133" s="44"/>
      <c r="AM133" s="44"/>
      <c r="AN133" s="44"/>
      <c r="AO133" s="44"/>
      <c r="AP133" s="44"/>
      <c r="AQ133" s="44"/>
      <c r="AR133" s="44"/>
      <c r="AS133" s="44"/>
      <c r="AT133" s="354">
        <v>10000000</v>
      </c>
      <c r="AU133" s="108">
        <v>10000000</v>
      </c>
      <c r="AV133" s="108">
        <v>8885000</v>
      </c>
      <c r="AW133" s="361"/>
      <c r="AX133" s="44"/>
      <c r="AY133" s="44"/>
      <c r="AZ133" s="358"/>
      <c r="BA133" s="44"/>
      <c r="BB133" s="44"/>
      <c r="BC133" s="361"/>
      <c r="BD133" s="44"/>
      <c r="BE133" s="44"/>
      <c r="BF133" s="298">
        <f t="shared" si="8"/>
        <v>10000000</v>
      </c>
      <c r="BG133" s="298">
        <f t="shared" si="9"/>
        <v>10000000</v>
      </c>
      <c r="BH133" s="298">
        <f t="shared" si="10"/>
        <v>8885000</v>
      </c>
      <c r="BI133" s="386" t="s">
        <v>1482</v>
      </c>
      <c r="BK133" s="34"/>
      <c r="BL133" s="34"/>
    </row>
    <row r="134" spans="1:64" s="16" customFormat="1" ht="117" customHeight="1" x14ac:dyDescent="0.2">
      <c r="A134" s="29">
        <v>314</v>
      </c>
      <c r="B134" s="325" t="s">
        <v>1204</v>
      </c>
      <c r="C134" s="29">
        <v>1</v>
      </c>
      <c r="D134" s="325" t="s">
        <v>1201</v>
      </c>
      <c r="E134" s="29">
        <v>22</v>
      </c>
      <c r="F134" s="325" t="s">
        <v>124</v>
      </c>
      <c r="G134" s="29">
        <v>2201</v>
      </c>
      <c r="H134" s="325" t="s">
        <v>229</v>
      </c>
      <c r="I134" s="29">
        <v>2201</v>
      </c>
      <c r="J134" s="30" t="s">
        <v>1242</v>
      </c>
      <c r="K134" s="297" t="s">
        <v>557</v>
      </c>
      <c r="L134" s="29">
        <v>2201028</v>
      </c>
      <c r="M134" s="30" t="s">
        <v>560</v>
      </c>
      <c r="N134" s="29">
        <v>2201028</v>
      </c>
      <c r="O134" s="30" t="s">
        <v>560</v>
      </c>
      <c r="P134" s="107">
        <v>220102801</v>
      </c>
      <c r="Q134" s="295" t="s">
        <v>561</v>
      </c>
      <c r="R134" s="107">
        <v>220102801</v>
      </c>
      <c r="S134" s="295" t="s">
        <v>561</v>
      </c>
      <c r="T134" s="299" t="s">
        <v>1469</v>
      </c>
      <c r="U134" s="311">
        <v>36000</v>
      </c>
      <c r="V134" s="311"/>
      <c r="W134" s="328">
        <f t="shared" si="7"/>
        <v>36000</v>
      </c>
      <c r="X134" s="300">
        <v>29625</v>
      </c>
      <c r="Y134" s="296">
        <v>2020003630091</v>
      </c>
      <c r="Z134" s="30" t="s">
        <v>546</v>
      </c>
      <c r="AA134" s="297" t="s">
        <v>547</v>
      </c>
      <c r="AB134" s="44"/>
      <c r="AC134" s="44"/>
      <c r="AD134" s="44"/>
      <c r="AE134" s="44"/>
      <c r="AF134" s="44"/>
      <c r="AG134" s="44"/>
      <c r="AH134" s="44"/>
      <c r="AI134" s="44"/>
      <c r="AJ134" s="44"/>
      <c r="AK134" s="44"/>
      <c r="AL134" s="44"/>
      <c r="AM134" s="44"/>
      <c r="AN134" s="528">
        <f>1675000+3309366</f>
        <v>4984366</v>
      </c>
      <c r="AO134" s="108">
        <v>4900000</v>
      </c>
      <c r="AP134" s="108">
        <v>4900000</v>
      </c>
      <c r="AQ134" s="44"/>
      <c r="AR134" s="44"/>
      <c r="AS134" s="44"/>
      <c r="AT134" s="354">
        <f>250000000+225377120.55+1391068738+4200000000-50000000-30000000-844841845-200000000</f>
        <v>4941604013.5500002</v>
      </c>
      <c r="AU134" s="108">
        <v>2363480793.1800003</v>
      </c>
      <c r="AV134" s="108">
        <v>1202879574</v>
      </c>
      <c r="AW134" s="529">
        <v>150081.03</v>
      </c>
      <c r="AX134" s="108"/>
      <c r="AY134" s="108"/>
      <c r="AZ134" s="354"/>
      <c r="BA134" s="108"/>
      <c r="BB134" s="108"/>
      <c r="BC134" s="366">
        <f>10000000+11000000000+872663092.48+581849058.05+433811595.4-1742525233-290000000</f>
        <v>10865798512.929998</v>
      </c>
      <c r="BD134" s="108">
        <v>10534139821</v>
      </c>
      <c r="BE134" s="108">
        <v>5182387287.0500002</v>
      </c>
      <c r="BF134" s="298">
        <f t="shared" si="8"/>
        <v>15812536973.509998</v>
      </c>
      <c r="BG134" s="298">
        <f t="shared" si="9"/>
        <v>12902520614.18</v>
      </c>
      <c r="BH134" s="298">
        <f t="shared" si="10"/>
        <v>6390166861.0500002</v>
      </c>
      <c r="BI134" s="386" t="s">
        <v>1482</v>
      </c>
      <c r="BK134" s="34"/>
      <c r="BL134" s="34"/>
    </row>
    <row r="135" spans="1:64" s="16" customFormat="1" ht="117" customHeight="1" x14ac:dyDescent="0.2">
      <c r="A135" s="29">
        <v>314</v>
      </c>
      <c r="B135" s="325" t="s">
        <v>1204</v>
      </c>
      <c r="C135" s="29">
        <v>1</v>
      </c>
      <c r="D135" s="325" t="s">
        <v>1201</v>
      </c>
      <c r="E135" s="29">
        <v>22</v>
      </c>
      <c r="F135" s="325" t="s">
        <v>124</v>
      </c>
      <c r="G135" s="29">
        <v>2201</v>
      </c>
      <c r="H135" s="325" t="s">
        <v>229</v>
      </c>
      <c r="I135" s="29">
        <v>2201</v>
      </c>
      <c r="J135" s="30" t="s">
        <v>1242</v>
      </c>
      <c r="K135" s="297" t="s">
        <v>557</v>
      </c>
      <c r="L135" s="29">
        <v>2201029</v>
      </c>
      <c r="M135" s="30" t="s">
        <v>562</v>
      </c>
      <c r="N135" s="29">
        <v>2201029</v>
      </c>
      <c r="O135" s="30" t="s">
        <v>562</v>
      </c>
      <c r="P135" s="107">
        <v>220102900</v>
      </c>
      <c r="Q135" s="295" t="s">
        <v>563</v>
      </c>
      <c r="R135" s="107">
        <v>220102900</v>
      </c>
      <c r="S135" s="295" t="s">
        <v>563</v>
      </c>
      <c r="T135" s="299" t="s">
        <v>1470</v>
      </c>
      <c r="U135" s="311">
        <v>1500</v>
      </c>
      <c r="V135" s="311">
        <v>204</v>
      </c>
      <c r="W135" s="328">
        <f t="shared" si="7"/>
        <v>1704</v>
      </c>
      <c r="X135" s="300">
        <v>2444</v>
      </c>
      <c r="Y135" s="296">
        <v>2020003630091</v>
      </c>
      <c r="Z135" s="30" t="s">
        <v>546</v>
      </c>
      <c r="AA135" s="297" t="s">
        <v>547</v>
      </c>
      <c r="AB135" s="44"/>
      <c r="AC135" s="44"/>
      <c r="AD135" s="44"/>
      <c r="AE135" s="44">
        <f>10000000+60000000+50000000</f>
        <v>120000000</v>
      </c>
      <c r="AF135" s="44">
        <v>120000000</v>
      </c>
      <c r="AG135" s="44">
        <v>120000000</v>
      </c>
      <c r="AH135" s="44"/>
      <c r="AI135" s="44"/>
      <c r="AJ135" s="44"/>
      <c r="AK135" s="44"/>
      <c r="AL135" s="44"/>
      <c r="AM135" s="44"/>
      <c r="AN135" s="44"/>
      <c r="AO135" s="44"/>
      <c r="AP135" s="44"/>
      <c r="AQ135" s="44"/>
      <c r="AR135" s="44"/>
      <c r="AS135" s="44"/>
      <c r="AT135" s="354">
        <f>380000000+32000000+30000000</f>
        <v>442000000</v>
      </c>
      <c r="AU135" s="108">
        <v>412000000</v>
      </c>
      <c r="AV135" s="108">
        <v>412000000</v>
      </c>
      <c r="AW135" s="361"/>
      <c r="AX135" s="44"/>
      <c r="AY135" s="44"/>
      <c r="AZ135" s="358"/>
      <c r="BA135" s="44"/>
      <c r="BB135" s="44"/>
      <c r="BC135" s="361"/>
      <c r="BD135" s="44"/>
      <c r="BE135" s="44"/>
      <c r="BF135" s="298">
        <f t="shared" si="8"/>
        <v>562000000</v>
      </c>
      <c r="BG135" s="298">
        <f t="shared" si="9"/>
        <v>532000000</v>
      </c>
      <c r="BH135" s="298">
        <f t="shared" si="10"/>
        <v>532000000</v>
      </c>
      <c r="BI135" s="386" t="s">
        <v>1482</v>
      </c>
      <c r="BK135" s="34"/>
      <c r="BL135" s="34"/>
    </row>
    <row r="136" spans="1:64" s="16" customFormat="1" ht="117" customHeight="1" x14ac:dyDescent="0.2">
      <c r="A136" s="29">
        <v>314</v>
      </c>
      <c r="B136" s="325" t="s">
        <v>1204</v>
      </c>
      <c r="C136" s="29">
        <v>1</v>
      </c>
      <c r="D136" s="325" t="s">
        <v>1201</v>
      </c>
      <c r="E136" s="29">
        <v>22</v>
      </c>
      <c r="F136" s="325" t="s">
        <v>124</v>
      </c>
      <c r="G136" s="29">
        <v>2201</v>
      </c>
      <c r="H136" s="325" t="s">
        <v>229</v>
      </c>
      <c r="I136" s="29">
        <v>2201</v>
      </c>
      <c r="J136" s="30" t="s">
        <v>1242</v>
      </c>
      <c r="K136" s="297" t="s">
        <v>126</v>
      </c>
      <c r="L136" s="29" t="s">
        <v>31</v>
      </c>
      <c r="M136" s="30" t="s">
        <v>564</v>
      </c>
      <c r="N136" s="29">
        <v>2201062</v>
      </c>
      <c r="O136" s="30" t="s">
        <v>128</v>
      </c>
      <c r="P136" s="29" t="s">
        <v>31</v>
      </c>
      <c r="Q136" s="295" t="s">
        <v>129</v>
      </c>
      <c r="R136" s="29">
        <v>220106200</v>
      </c>
      <c r="S136" s="30" t="s">
        <v>565</v>
      </c>
      <c r="T136" s="299" t="s">
        <v>1470</v>
      </c>
      <c r="U136" s="296">
        <v>15</v>
      </c>
      <c r="V136" s="296">
        <v>6</v>
      </c>
      <c r="W136" s="328">
        <f t="shared" si="7"/>
        <v>21</v>
      </c>
      <c r="X136" s="300">
        <v>7</v>
      </c>
      <c r="Y136" s="296">
        <v>2020003630091</v>
      </c>
      <c r="Z136" s="30" t="s">
        <v>546</v>
      </c>
      <c r="AA136" s="297" t="s">
        <v>547</v>
      </c>
      <c r="AB136" s="44"/>
      <c r="AC136" s="44"/>
      <c r="AD136" s="44"/>
      <c r="AE136" s="44"/>
      <c r="AF136" s="44"/>
      <c r="AG136" s="44"/>
      <c r="AH136" s="44"/>
      <c r="AI136" s="44"/>
      <c r="AJ136" s="44"/>
      <c r="AK136" s="44"/>
      <c r="AL136" s="44"/>
      <c r="AM136" s="44"/>
      <c r="AN136" s="44"/>
      <c r="AO136" s="44"/>
      <c r="AP136" s="44"/>
      <c r="AQ136" s="44"/>
      <c r="AR136" s="44"/>
      <c r="AS136" s="44"/>
      <c r="AT136" s="356">
        <f>30000000+19800000+6600000</f>
        <v>56400000</v>
      </c>
      <c r="AU136" s="42">
        <v>50200000</v>
      </c>
      <c r="AV136" s="42">
        <v>29200000</v>
      </c>
      <c r="AW136" s="361"/>
      <c r="AX136" s="44"/>
      <c r="AY136" s="44"/>
      <c r="AZ136" s="358"/>
      <c r="BA136" s="44"/>
      <c r="BB136" s="44"/>
      <c r="BC136" s="361"/>
      <c r="BD136" s="44"/>
      <c r="BE136" s="44"/>
      <c r="BF136" s="298">
        <f t="shared" si="8"/>
        <v>56400000</v>
      </c>
      <c r="BG136" s="298">
        <f t="shared" si="9"/>
        <v>50200000</v>
      </c>
      <c r="BH136" s="298">
        <f t="shared" si="10"/>
        <v>29200000</v>
      </c>
      <c r="BI136" s="386" t="s">
        <v>1482</v>
      </c>
      <c r="BK136" s="34"/>
      <c r="BL136" s="34"/>
    </row>
    <row r="137" spans="1:64" s="16" customFormat="1" ht="117" customHeight="1" x14ac:dyDescent="0.2">
      <c r="A137" s="29">
        <v>314</v>
      </c>
      <c r="B137" s="325" t="s">
        <v>1204</v>
      </c>
      <c r="C137" s="29">
        <v>1</v>
      </c>
      <c r="D137" s="325" t="s">
        <v>1201</v>
      </c>
      <c r="E137" s="29">
        <v>22</v>
      </c>
      <c r="F137" s="325" t="s">
        <v>124</v>
      </c>
      <c r="G137" s="29">
        <v>2201</v>
      </c>
      <c r="H137" s="325" t="s">
        <v>229</v>
      </c>
      <c r="I137" s="29">
        <v>2201</v>
      </c>
      <c r="J137" s="30" t="s">
        <v>1242</v>
      </c>
      <c r="K137" s="297" t="s">
        <v>566</v>
      </c>
      <c r="L137" s="29">
        <v>2201063</v>
      </c>
      <c r="M137" s="30" t="s">
        <v>567</v>
      </c>
      <c r="N137" s="29">
        <v>2201063</v>
      </c>
      <c r="O137" s="30" t="s">
        <v>567</v>
      </c>
      <c r="P137" s="192">
        <v>220106300</v>
      </c>
      <c r="Q137" s="295" t="s">
        <v>568</v>
      </c>
      <c r="R137" s="192">
        <v>220106300</v>
      </c>
      <c r="S137" s="30" t="s">
        <v>568</v>
      </c>
      <c r="T137" s="299" t="s">
        <v>1470</v>
      </c>
      <c r="U137" s="311">
        <v>2</v>
      </c>
      <c r="V137" s="311"/>
      <c r="W137" s="328">
        <f t="shared" ref="W137:W200" si="11">U137+V137</f>
        <v>2</v>
      </c>
      <c r="X137" s="300">
        <v>1</v>
      </c>
      <c r="Y137" s="296">
        <v>2020003630091</v>
      </c>
      <c r="Z137" s="28" t="s">
        <v>546</v>
      </c>
      <c r="AA137" s="297" t="s">
        <v>547</v>
      </c>
      <c r="AB137" s="44"/>
      <c r="AC137" s="44"/>
      <c r="AD137" s="44"/>
      <c r="AE137" s="44"/>
      <c r="AF137" s="44"/>
      <c r="AG137" s="44"/>
      <c r="AH137" s="44"/>
      <c r="AI137" s="44"/>
      <c r="AJ137" s="44"/>
      <c r="AK137" s="44"/>
      <c r="AL137" s="44"/>
      <c r="AM137" s="44"/>
      <c r="AN137" s="44"/>
      <c r="AO137" s="44"/>
      <c r="AP137" s="44"/>
      <c r="AQ137" s="44"/>
      <c r="AR137" s="44"/>
      <c r="AS137" s="44"/>
      <c r="AT137" s="354">
        <v>30000000</v>
      </c>
      <c r="AU137" s="108">
        <v>0</v>
      </c>
      <c r="AV137" s="108">
        <v>0</v>
      </c>
      <c r="AW137" s="361"/>
      <c r="AX137" s="44"/>
      <c r="AY137" s="44"/>
      <c r="AZ137" s="358"/>
      <c r="BA137" s="44"/>
      <c r="BB137" s="44"/>
      <c r="BC137" s="361"/>
      <c r="BD137" s="44"/>
      <c r="BE137" s="44"/>
      <c r="BF137" s="298">
        <f t="shared" si="8"/>
        <v>30000000</v>
      </c>
      <c r="BG137" s="298">
        <f t="shared" si="9"/>
        <v>0</v>
      </c>
      <c r="BH137" s="298">
        <f t="shared" si="10"/>
        <v>0</v>
      </c>
      <c r="BI137" s="386" t="s">
        <v>1482</v>
      </c>
      <c r="BK137" s="34"/>
      <c r="BL137" s="34"/>
    </row>
    <row r="138" spans="1:64" s="16" customFormat="1" ht="117" customHeight="1" x14ac:dyDescent="0.2">
      <c r="A138" s="29">
        <v>314</v>
      </c>
      <c r="B138" s="325" t="s">
        <v>1204</v>
      </c>
      <c r="C138" s="29">
        <v>1</v>
      </c>
      <c r="D138" s="325" t="s">
        <v>1201</v>
      </c>
      <c r="E138" s="29">
        <v>22</v>
      </c>
      <c r="F138" s="325" t="s">
        <v>124</v>
      </c>
      <c r="G138" s="29">
        <v>2201</v>
      </c>
      <c r="H138" s="325" t="s">
        <v>229</v>
      </c>
      <c r="I138" s="29">
        <v>2201</v>
      </c>
      <c r="J138" s="30" t="s">
        <v>1242</v>
      </c>
      <c r="K138" s="297" t="s">
        <v>566</v>
      </c>
      <c r="L138" s="29">
        <v>2201069</v>
      </c>
      <c r="M138" s="30" t="s">
        <v>569</v>
      </c>
      <c r="N138" s="29">
        <v>2201069</v>
      </c>
      <c r="O138" s="30" t="s">
        <v>569</v>
      </c>
      <c r="P138" s="192">
        <v>220106900</v>
      </c>
      <c r="Q138" s="295" t="s">
        <v>570</v>
      </c>
      <c r="R138" s="192">
        <v>220106900</v>
      </c>
      <c r="S138" s="295" t="s">
        <v>570</v>
      </c>
      <c r="T138" s="299" t="s">
        <v>1470</v>
      </c>
      <c r="U138" s="311">
        <v>5</v>
      </c>
      <c r="V138" s="311"/>
      <c r="W138" s="328">
        <f t="shared" si="11"/>
        <v>5</v>
      </c>
      <c r="X138" s="300">
        <v>3</v>
      </c>
      <c r="Y138" s="296">
        <v>2020003630091</v>
      </c>
      <c r="Z138" s="28" t="s">
        <v>546</v>
      </c>
      <c r="AA138" s="297" t="s">
        <v>547</v>
      </c>
      <c r="AB138" s="44"/>
      <c r="AC138" s="44"/>
      <c r="AD138" s="44"/>
      <c r="AE138" s="44">
        <f>200000000-60000000-50000000</f>
        <v>90000000</v>
      </c>
      <c r="AF138" s="44">
        <v>15000000</v>
      </c>
      <c r="AG138" s="44">
        <v>15000000</v>
      </c>
      <c r="AH138" s="44"/>
      <c r="AI138" s="44"/>
      <c r="AJ138" s="44"/>
      <c r="AK138" s="44"/>
      <c r="AL138" s="44"/>
      <c r="AM138" s="44"/>
      <c r="AN138" s="44">
        <f>5000000+3303649.73</f>
        <v>8303649.7300000004</v>
      </c>
      <c r="AO138" s="44">
        <v>0</v>
      </c>
      <c r="AP138" s="44">
        <v>0</v>
      </c>
      <c r="AQ138" s="44"/>
      <c r="AR138" s="44"/>
      <c r="AS138" s="44"/>
      <c r="AT138" s="354">
        <v>20000000</v>
      </c>
      <c r="AU138" s="108">
        <v>10000000</v>
      </c>
      <c r="AV138" s="108">
        <v>10000000</v>
      </c>
      <c r="AW138" s="361"/>
      <c r="AX138" s="44"/>
      <c r="AY138" s="44"/>
      <c r="AZ138" s="358"/>
      <c r="BA138" s="44"/>
      <c r="BB138" s="44"/>
      <c r="BC138" s="361"/>
      <c r="BD138" s="44"/>
      <c r="BE138" s="44"/>
      <c r="BF138" s="298">
        <f t="shared" si="8"/>
        <v>118303649.73</v>
      </c>
      <c r="BG138" s="298">
        <f t="shared" si="9"/>
        <v>25000000</v>
      </c>
      <c r="BH138" s="298">
        <f t="shared" si="10"/>
        <v>25000000</v>
      </c>
      <c r="BI138" s="386" t="s">
        <v>1482</v>
      </c>
      <c r="BK138" s="34"/>
      <c r="BL138" s="34"/>
    </row>
    <row r="139" spans="1:64" s="16" customFormat="1" ht="117" customHeight="1" x14ac:dyDescent="0.2">
      <c r="A139" s="29">
        <v>314</v>
      </c>
      <c r="B139" s="325" t="s">
        <v>1204</v>
      </c>
      <c r="C139" s="29">
        <v>1</v>
      </c>
      <c r="D139" s="325" t="s">
        <v>1201</v>
      </c>
      <c r="E139" s="29">
        <v>22</v>
      </c>
      <c r="F139" s="325" t="s">
        <v>124</v>
      </c>
      <c r="G139" s="29">
        <v>2201</v>
      </c>
      <c r="H139" s="325" t="s">
        <v>229</v>
      </c>
      <c r="I139" s="29">
        <v>2201</v>
      </c>
      <c r="J139" s="30" t="s">
        <v>1242</v>
      </c>
      <c r="K139" s="297" t="s">
        <v>571</v>
      </c>
      <c r="L139" s="29">
        <v>2201018</v>
      </c>
      <c r="M139" s="30" t="s">
        <v>572</v>
      </c>
      <c r="N139" s="29">
        <v>2201018</v>
      </c>
      <c r="O139" s="30" t="s">
        <v>572</v>
      </c>
      <c r="P139" s="192">
        <v>220101802</v>
      </c>
      <c r="Q139" s="295" t="s">
        <v>573</v>
      </c>
      <c r="R139" s="192">
        <v>220101802</v>
      </c>
      <c r="S139" s="295" t="s">
        <v>573</v>
      </c>
      <c r="T139" s="299" t="s">
        <v>1469</v>
      </c>
      <c r="U139" s="311">
        <v>1</v>
      </c>
      <c r="V139" s="311"/>
      <c r="W139" s="328">
        <f t="shared" si="11"/>
        <v>1</v>
      </c>
      <c r="X139" s="530">
        <v>1</v>
      </c>
      <c r="Y139" s="296">
        <v>2020003630092</v>
      </c>
      <c r="Z139" s="30" t="s">
        <v>574</v>
      </c>
      <c r="AA139" s="297" t="s">
        <v>575</v>
      </c>
      <c r="AB139" s="44"/>
      <c r="AC139" s="44"/>
      <c r="AD139" s="44"/>
      <c r="AE139" s="44"/>
      <c r="AF139" s="44"/>
      <c r="AG139" s="44"/>
      <c r="AH139" s="44"/>
      <c r="AI139" s="44"/>
      <c r="AJ139" s="44"/>
      <c r="AK139" s="44"/>
      <c r="AL139" s="44"/>
      <c r="AM139" s="44"/>
      <c r="AN139" s="44"/>
      <c r="AO139" s="44"/>
      <c r="AP139" s="44"/>
      <c r="AQ139" s="44"/>
      <c r="AR139" s="44"/>
      <c r="AS139" s="44"/>
      <c r="AT139" s="354">
        <f>6000000-1000000+2310000+5770000</f>
        <v>13080000</v>
      </c>
      <c r="AU139" s="108">
        <v>13080000</v>
      </c>
      <c r="AV139" s="108">
        <v>7310000</v>
      </c>
      <c r="AW139" s="361"/>
      <c r="AX139" s="44"/>
      <c r="AY139" s="44"/>
      <c r="AZ139" s="358"/>
      <c r="BA139" s="44"/>
      <c r="BB139" s="44"/>
      <c r="BC139" s="361"/>
      <c r="BD139" s="44"/>
      <c r="BE139" s="44"/>
      <c r="BF139" s="298">
        <f t="shared" si="8"/>
        <v>13080000</v>
      </c>
      <c r="BG139" s="298">
        <f t="shared" si="9"/>
        <v>13080000</v>
      </c>
      <c r="BH139" s="298">
        <f t="shared" si="10"/>
        <v>7310000</v>
      </c>
      <c r="BI139" s="386" t="s">
        <v>1482</v>
      </c>
      <c r="BK139" s="34"/>
      <c r="BL139" s="34"/>
    </row>
    <row r="140" spans="1:64" s="16" customFormat="1" ht="117" customHeight="1" x14ac:dyDescent="0.2">
      <c r="A140" s="29">
        <v>314</v>
      </c>
      <c r="B140" s="325" t="s">
        <v>1204</v>
      </c>
      <c r="C140" s="29">
        <v>1</v>
      </c>
      <c r="D140" s="325" t="s">
        <v>1201</v>
      </c>
      <c r="E140" s="29">
        <v>22</v>
      </c>
      <c r="F140" s="325" t="s">
        <v>124</v>
      </c>
      <c r="G140" s="29">
        <v>2201</v>
      </c>
      <c r="H140" s="325" t="s">
        <v>229</v>
      </c>
      <c r="I140" s="29">
        <v>2201</v>
      </c>
      <c r="J140" s="30" t="s">
        <v>1242</v>
      </c>
      <c r="K140" s="297" t="s">
        <v>576</v>
      </c>
      <c r="L140" s="29">
        <v>2201037</v>
      </c>
      <c r="M140" s="30" t="s">
        <v>577</v>
      </c>
      <c r="N140" s="29">
        <v>2201037</v>
      </c>
      <c r="O140" s="30" t="s">
        <v>577</v>
      </c>
      <c r="P140" s="107">
        <v>220103700</v>
      </c>
      <c r="Q140" s="295" t="s">
        <v>578</v>
      </c>
      <c r="R140" s="107">
        <v>220103700</v>
      </c>
      <c r="S140" s="295" t="s">
        <v>578</v>
      </c>
      <c r="T140" s="299" t="s">
        <v>1469</v>
      </c>
      <c r="U140" s="311">
        <v>54</v>
      </c>
      <c r="V140" s="311"/>
      <c r="W140" s="328">
        <f t="shared" si="11"/>
        <v>54</v>
      </c>
      <c r="X140" s="530">
        <v>54</v>
      </c>
      <c r="Y140" s="296">
        <v>2020003630092</v>
      </c>
      <c r="Z140" s="30" t="s">
        <v>574</v>
      </c>
      <c r="AA140" s="297" t="s">
        <v>575</v>
      </c>
      <c r="AB140" s="44"/>
      <c r="AC140" s="44"/>
      <c r="AD140" s="44"/>
      <c r="AE140" s="44"/>
      <c r="AF140" s="44"/>
      <c r="AG140" s="44"/>
      <c r="AH140" s="44"/>
      <c r="AI140" s="44"/>
      <c r="AJ140" s="44"/>
      <c r="AK140" s="44"/>
      <c r="AL140" s="44"/>
      <c r="AM140" s="44"/>
      <c r="AN140" s="44"/>
      <c r="AO140" s="44"/>
      <c r="AP140" s="44"/>
      <c r="AQ140" s="44"/>
      <c r="AR140" s="44"/>
      <c r="AS140" s="44"/>
      <c r="AT140" s="354">
        <v>10000000</v>
      </c>
      <c r="AU140" s="108">
        <v>10000000</v>
      </c>
      <c r="AV140" s="108">
        <v>10000000</v>
      </c>
      <c r="AW140" s="361"/>
      <c r="AX140" s="44"/>
      <c r="AY140" s="44"/>
      <c r="AZ140" s="358"/>
      <c r="BA140" s="44"/>
      <c r="BB140" s="44"/>
      <c r="BC140" s="361"/>
      <c r="BD140" s="44"/>
      <c r="BE140" s="44"/>
      <c r="BF140" s="298">
        <f t="shared" si="8"/>
        <v>10000000</v>
      </c>
      <c r="BG140" s="298">
        <f t="shared" si="9"/>
        <v>10000000</v>
      </c>
      <c r="BH140" s="298">
        <f t="shared" si="10"/>
        <v>10000000</v>
      </c>
      <c r="BI140" s="386" t="s">
        <v>1482</v>
      </c>
      <c r="BK140" s="34"/>
      <c r="BL140" s="34"/>
    </row>
    <row r="141" spans="1:64" s="16" customFormat="1" ht="117" customHeight="1" x14ac:dyDescent="0.2">
      <c r="A141" s="29">
        <v>314</v>
      </c>
      <c r="B141" s="325" t="s">
        <v>1204</v>
      </c>
      <c r="C141" s="29">
        <v>1</v>
      </c>
      <c r="D141" s="325" t="s">
        <v>1201</v>
      </c>
      <c r="E141" s="29">
        <v>22</v>
      </c>
      <c r="F141" s="325" t="s">
        <v>124</v>
      </c>
      <c r="G141" s="29">
        <v>2201</v>
      </c>
      <c r="H141" s="325" t="s">
        <v>229</v>
      </c>
      <c r="I141" s="29">
        <v>2201</v>
      </c>
      <c r="J141" s="30" t="s">
        <v>1242</v>
      </c>
      <c r="K141" s="297" t="s">
        <v>579</v>
      </c>
      <c r="L141" s="29">
        <v>2201007</v>
      </c>
      <c r="M141" s="30" t="s">
        <v>580</v>
      </c>
      <c r="N141" s="29">
        <v>2201073</v>
      </c>
      <c r="O141" s="30" t="s">
        <v>580</v>
      </c>
      <c r="P141" s="107">
        <v>220100700</v>
      </c>
      <c r="Q141" s="295" t="s">
        <v>581</v>
      </c>
      <c r="R141" s="192">
        <v>220107300</v>
      </c>
      <c r="S141" s="295" t="s">
        <v>581</v>
      </c>
      <c r="T141" s="299" t="s">
        <v>1470</v>
      </c>
      <c r="U141" s="311">
        <v>7915</v>
      </c>
      <c r="V141" s="311"/>
      <c r="W141" s="328">
        <f t="shared" si="11"/>
        <v>7915</v>
      </c>
      <c r="X141" s="311">
        <v>18466</v>
      </c>
      <c r="Y141" s="296">
        <v>2020003630093</v>
      </c>
      <c r="Z141" s="297" t="s">
        <v>582</v>
      </c>
      <c r="AA141" s="297" t="s">
        <v>583</v>
      </c>
      <c r="AB141" s="44"/>
      <c r="AC141" s="44"/>
      <c r="AD141" s="44"/>
      <c r="AE141" s="44"/>
      <c r="AF141" s="44"/>
      <c r="AG141" s="44"/>
      <c r="AH141" s="44"/>
      <c r="AI141" s="44"/>
      <c r="AJ141" s="44"/>
      <c r="AK141" s="44"/>
      <c r="AL141" s="44"/>
      <c r="AM141" s="44"/>
      <c r="AN141" s="44"/>
      <c r="AO141" s="44"/>
      <c r="AP141" s="44"/>
      <c r="AQ141" s="44"/>
      <c r="AR141" s="44"/>
      <c r="AS141" s="44"/>
      <c r="AT141" s="354">
        <f>20000000-17655000</f>
        <v>2345000</v>
      </c>
      <c r="AU141" s="108">
        <v>2345000</v>
      </c>
      <c r="AV141" s="108">
        <v>2345000</v>
      </c>
      <c r="AW141" s="361"/>
      <c r="AX141" s="44"/>
      <c r="AY141" s="44"/>
      <c r="AZ141" s="358"/>
      <c r="BA141" s="44"/>
      <c r="BB141" s="44"/>
      <c r="BC141" s="361"/>
      <c r="BD141" s="44"/>
      <c r="BE141" s="44"/>
      <c r="BF141" s="298">
        <f t="shared" si="8"/>
        <v>2345000</v>
      </c>
      <c r="BG141" s="298">
        <f t="shared" si="9"/>
        <v>2345000</v>
      </c>
      <c r="BH141" s="298">
        <f t="shared" si="10"/>
        <v>2345000</v>
      </c>
      <c r="BI141" s="386" t="s">
        <v>1482</v>
      </c>
      <c r="BK141" s="34"/>
      <c r="BL141" s="34"/>
    </row>
    <row r="142" spans="1:64" s="16" customFormat="1" ht="117" customHeight="1" x14ac:dyDescent="0.2">
      <c r="A142" s="29">
        <v>314</v>
      </c>
      <c r="B142" s="325" t="s">
        <v>1204</v>
      </c>
      <c r="C142" s="29">
        <v>1</v>
      </c>
      <c r="D142" s="325" t="s">
        <v>1201</v>
      </c>
      <c r="E142" s="29">
        <v>22</v>
      </c>
      <c r="F142" s="325" t="s">
        <v>124</v>
      </c>
      <c r="G142" s="29">
        <v>2201</v>
      </c>
      <c r="H142" s="325" t="s">
        <v>229</v>
      </c>
      <c r="I142" s="29">
        <v>2201</v>
      </c>
      <c r="J142" s="30" t="s">
        <v>1242</v>
      </c>
      <c r="K142" s="297" t="s">
        <v>584</v>
      </c>
      <c r="L142" s="29">
        <v>2201068</v>
      </c>
      <c r="M142" s="30" t="s">
        <v>231</v>
      </c>
      <c r="N142" s="29">
        <v>2201068</v>
      </c>
      <c r="O142" s="30" t="s">
        <v>231</v>
      </c>
      <c r="P142" s="107">
        <v>220106800</v>
      </c>
      <c r="Q142" s="295" t="s">
        <v>232</v>
      </c>
      <c r="R142" s="107">
        <v>220106800</v>
      </c>
      <c r="S142" s="295" t="s">
        <v>232</v>
      </c>
      <c r="T142" s="299" t="s">
        <v>1470</v>
      </c>
      <c r="U142" s="296">
        <v>76</v>
      </c>
      <c r="V142" s="296"/>
      <c r="W142" s="328">
        <f t="shared" si="11"/>
        <v>76</v>
      </c>
      <c r="X142" s="296">
        <v>66</v>
      </c>
      <c r="Y142" s="296">
        <v>2020003630093</v>
      </c>
      <c r="Z142" s="297" t="s">
        <v>582</v>
      </c>
      <c r="AA142" s="297" t="s">
        <v>583</v>
      </c>
      <c r="AB142" s="44"/>
      <c r="AC142" s="44"/>
      <c r="AD142" s="44"/>
      <c r="AE142" s="44"/>
      <c r="AF142" s="44"/>
      <c r="AG142" s="44"/>
      <c r="AH142" s="44"/>
      <c r="AI142" s="44"/>
      <c r="AJ142" s="44"/>
      <c r="AK142" s="44"/>
      <c r="AL142" s="44"/>
      <c r="AM142" s="44"/>
      <c r="AN142" s="44"/>
      <c r="AO142" s="44"/>
      <c r="AP142" s="44"/>
      <c r="AQ142" s="44"/>
      <c r="AR142" s="44"/>
      <c r="AS142" s="44"/>
      <c r="AT142" s="356">
        <v>18000000</v>
      </c>
      <c r="AU142" s="42">
        <v>0</v>
      </c>
      <c r="AV142" s="42">
        <v>0</v>
      </c>
      <c r="AW142" s="361"/>
      <c r="AX142" s="44"/>
      <c r="AY142" s="44"/>
      <c r="AZ142" s="358"/>
      <c r="BA142" s="44"/>
      <c r="BB142" s="44"/>
      <c r="BC142" s="361"/>
      <c r="BD142" s="44"/>
      <c r="BE142" s="44"/>
      <c r="BF142" s="298">
        <f t="shared" si="8"/>
        <v>18000000</v>
      </c>
      <c r="BG142" s="298">
        <f t="shared" si="9"/>
        <v>0</v>
      </c>
      <c r="BH142" s="298">
        <f t="shared" si="10"/>
        <v>0</v>
      </c>
      <c r="BI142" s="386" t="s">
        <v>1482</v>
      </c>
      <c r="BK142" s="34"/>
      <c r="BL142" s="34"/>
    </row>
    <row r="143" spans="1:64" s="16" customFormat="1" ht="117" customHeight="1" x14ac:dyDescent="0.2">
      <c r="A143" s="29">
        <v>314</v>
      </c>
      <c r="B143" s="325" t="s">
        <v>1204</v>
      </c>
      <c r="C143" s="29">
        <v>1</v>
      </c>
      <c r="D143" s="325" t="s">
        <v>1201</v>
      </c>
      <c r="E143" s="29">
        <v>22</v>
      </c>
      <c r="F143" s="325" t="s">
        <v>124</v>
      </c>
      <c r="G143" s="29">
        <v>2201</v>
      </c>
      <c r="H143" s="325" t="s">
        <v>229</v>
      </c>
      <c r="I143" s="29">
        <v>2201</v>
      </c>
      <c r="J143" s="30" t="s">
        <v>1242</v>
      </c>
      <c r="K143" s="297" t="s">
        <v>566</v>
      </c>
      <c r="L143" s="29">
        <v>2201026</v>
      </c>
      <c r="M143" s="30" t="s">
        <v>585</v>
      </c>
      <c r="N143" s="29">
        <v>2201026</v>
      </c>
      <c r="O143" s="30" t="s">
        <v>585</v>
      </c>
      <c r="P143" s="107">
        <v>220102600</v>
      </c>
      <c r="Q143" s="295" t="s">
        <v>586</v>
      </c>
      <c r="R143" s="107">
        <v>220102600</v>
      </c>
      <c r="S143" s="295" t="s">
        <v>586</v>
      </c>
      <c r="T143" s="299" t="s">
        <v>1470</v>
      </c>
      <c r="U143" s="311">
        <v>22</v>
      </c>
      <c r="V143" s="311"/>
      <c r="W143" s="311">
        <f t="shared" si="11"/>
        <v>22</v>
      </c>
      <c r="X143" s="311">
        <v>2</v>
      </c>
      <c r="Y143" s="296">
        <v>2020003630093</v>
      </c>
      <c r="Z143" s="297" t="s">
        <v>582</v>
      </c>
      <c r="AA143" s="297" t="s">
        <v>583</v>
      </c>
      <c r="AB143" s="44"/>
      <c r="AC143" s="44"/>
      <c r="AD143" s="44"/>
      <c r="AE143" s="44"/>
      <c r="AF143" s="44"/>
      <c r="AG143" s="44"/>
      <c r="AH143" s="44"/>
      <c r="AI143" s="44"/>
      <c r="AJ143" s="44"/>
      <c r="AK143" s="44"/>
      <c r="AL143" s="44"/>
      <c r="AM143" s="44"/>
      <c r="AN143" s="44">
        <f>1675000-1675000</f>
        <v>0</v>
      </c>
      <c r="AO143" s="44"/>
      <c r="AP143" s="44"/>
      <c r="AQ143" s="44"/>
      <c r="AR143" s="44"/>
      <c r="AS143" s="44"/>
      <c r="AT143" s="356">
        <v>18000000</v>
      </c>
      <c r="AU143" s="42">
        <v>0</v>
      </c>
      <c r="AV143" s="42">
        <v>0</v>
      </c>
      <c r="AW143" s="361"/>
      <c r="AX143" s="44"/>
      <c r="AY143" s="44"/>
      <c r="AZ143" s="358"/>
      <c r="BA143" s="44"/>
      <c r="BB143" s="44"/>
      <c r="BC143" s="361"/>
      <c r="BD143" s="44"/>
      <c r="BE143" s="44"/>
      <c r="BF143" s="298">
        <f t="shared" si="8"/>
        <v>18000000</v>
      </c>
      <c r="BG143" s="298">
        <f t="shared" si="9"/>
        <v>0</v>
      </c>
      <c r="BH143" s="298">
        <f t="shared" si="10"/>
        <v>0</v>
      </c>
      <c r="BI143" s="386" t="s">
        <v>1482</v>
      </c>
      <c r="BK143" s="34"/>
      <c r="BL143" s="34"/>
    </row>
    <row r="144" spans="1:64" s="16" customFormat="1" ht="171" customHeight="1" x14ac:dyDescent="0.2">
      <c r="A144" s="29">
        <v>314</v>
      </c>
      <c r="B144" s="325" t="s">
        <v>1204</v>
      </c>
      <c r="C144" s="29">
        <v>1</v>
      </c>
      <c r="D144" s="325" t="s">
        <v>1201</v>
      </c>
      <c r="E144" s="29">
        <v>22</v>
      </c>
      <c r="F144" s="325" t="s">
        <v>124</v>
      </c>
      <c r="G144" s="29">
        <v>2201</v>
      </c>
      <c r="H144" s="325" t="s">
        <v>229</v>
      </c>
      <c r="I144" s="29">
        <v>2201</v>
      </c>
      <c r="J144" s="30" t="s">
        <v>1242</v>
      </c>
      <c r="K144" s="297" t="s">
        <v>579</v>
      </c>
      <c r="L144" s="29">
        <v>2201009</v>
      </c>
      <c r="M144" s="30" t="s">
        <v>587</v>
      </c>
      <c r="N144" s="29">
        <v>2201074</v>
      </c>
      <c r="O144" s="30" t="s">
        <v>587</v>
      </c>
      <c r="P144" s="107">
        <v>220100900</v>
      </c>
      <c r="Q144" s="295" t="s">
        <v>588</v>
      </c>
      <c r="R144" s="192">
        <v>220107400</v>
      </c>
      <c r="S144" s="295" t="s">
        <v>589</v>
      </c>
      <c r="T144" s="299" t="s">
        <v>1470</v>
      </c>
      <c r="U144" s="311">
        <v>604</v>
      </c>
      <c r="V144" s="311"/>
      <c r="W144" s="328">
        <f t="shared" si="11"/>
        <v>604</v>
      </c>
      <c r="X144" s="311">
        <v>301</v>
      </c>
      <c r="Y144" s="296">
        <v>2020003630093</v>
      </c>
      <c r="Z144" s="297" t="s">
        <v>582</v>
      </c>
      <c r="AA144" s="297" t="s">
        <v>583</v>
      </c>
      <c r="AB144" s="44"/>
      <c r="AC144" s="44"/>
      <c r="AD144" s="44"/>
      <c r="AE144" s="44"/>
      <c r="AF144" s="44"/>
      <c r="AG144" s="44"/>
      <c r="AH144" s="44"/>
      <c r="AI144" s="44"/>
      <c r="AJ144" s="44"/>
      <c r="AK144" s="44"/>
      <c r="AL144" s="44"/>
      <c r="AM144" s="44"/>
      <c r="AN144" s="44"/>
      <c r="AO144" s="44"/>
      <c r="AP144" s="44"/>
      <c r="AQ144" s="44"/>
      <c r="AR144" s="44"/>
      <c r="AS144" s="44"/>
      <c r="AT144" s="354">
        <f>20000000-15000000+15000000</f>
        <v>20000000</v>
      </c>
      <c r="AU144" s="108">
        <v>0</v>
      </c>
      <c r="AV144" s="108">
        <v>0</v>
      </c>
      <c r="AW144" s="361"/>
      <c r="AX144" s="44"/>
      <c r="AY144" s="44"/>
      <c r="AZ144" s="358"/>
      <c r="BA144" s="44"/>
      <c r="BB144" s="44"/>
      <c r="BC144" s="361"/>
      <c r="BD144" s="44"/>
      <c r="BE144" s="44"/>
      <c r="BF144" s="298">
        <f t="shared" si="8"/>
        <v>20000000</v>
      </c>
      <c r="BG144" s="298">
        <f t="shared" si="9"/>
        <v>0</v>
      </c>
      <c r="BH144" s="298">
        <f t="shared" si="10"/>
        <v>0</v>
      </c>
      <c r="BI144" s="386" t="s">
        <v>1482</v>
      </c>
      <c r="BK144" s="34"/>
      <c r="BL144" s="34"/>
    </row>
    <row r="145" spans="1:64" s="16" customFormat="1" ht="171" customHeight="1" x14ac:dyDescent="0.2">
      <c r="A145" s="29">
        <v>314</v>
      </c>
      <c r="B145" s="325" t="s">
        <v>1204</v>
      </c>
      <c r="C145" s="29">
        <v>1</v>
      </c>
      <c r="D145" s="325" t="s">
        <v>1201</v>
      </c>
      <c r="E145" s="29">
        <v>22</v>
      </c>
      <c r="F145" s="325" t="s">
        <v>124</v>
      </c>
      <c r="G145" s="29">
        <v>2201</v>
      </c>
      <c r="H145" s="325" t="s">
        <v>229</v>
      </c>
      <c r="I145" s="29">
        <v>2201</v>
      </c>
      <c r="J145" s="30" t="s">
        <v>1242</v>
      </c>
      <c r="K145" s="297" t="s">
        <v>579</v>
      </c>
      <c r="L145" s="29">
        <v>2201010</v>
      </c>
      <c r="M145" s="30" t="s">
        <v>590</v>
      </c>
      <c r="N145" s="29">
        <v>2201074</v>
      </c>
      <c r="O145" s="30" t="s">
        <v>591</v>
      </c>
      <c r="P145" s="107">
        <v>220101000</v>
      </c>
      <c r="Q145" s="295" t="s">
        <v>592</v>
      </c>
      <c r="R145" s="192">
        <v>220107400</v>
      </c>
      <c r="S145" s="295" t="s">
        <v>589</v>
      </c>
      <c r="T145" s="299" t="s">
        <v>1469</v>
      </c>
      <c r="U145" s="311">
        <v>94</v>
      </c>
      <c r="V145" s="311"/>
      <c r="W145" s="328">
        <f t="shared" si="11"/>
        <v>94</v>
      </c>
      <c r="X145" s="311">
        <v>115</v>
      </c>
      <c r="Y145" s="296">
        <v>2020003630093</v>
      </c>
      <c r="Z145" s="297" t="s">
        <v>582</v>
      </c>
      <c r="AA145" s="297" t="s">
        <v>583</v>
      </c>
      <c r="AB145" s="44"/>
      <c r="AC145" s="44"/>
      <c r="AD145" s="44"/>
      <c r="AE145" s="44"/>
      <c r="AF145" s="44"/>
      <c r="AG145" s="44"/>
      <c r="AH145" s="44"/>
      <c r="AI145" s="44"/>
      <c r="AJ145" s="44"/>
      <c r="AK145" s="44"/>
      <c r="AL145" s="44"/>
      <c r="AM145" s="44"/>
      <c r="AN145" s="44"/>
      <c r="AO145" s="44"/>
      <c r="AP145" s="44"/>
      <c r="AQ145" s="44"/>
      <c r="AR145" s="44"/>
      <c r="AS145" s="44"/>
      <c r="AT145" s="354">
        <f>20000000-15000000</f>
        <v>5000000</v>
      </c>
      <c r="AU145" s="108">
        <v>0</v>
      </c>
      <c r="AV145" s="108">
        <v>0</v>
      </c>
      <c r="AW145" s="361"/>
      <c r="AX145" s="44"/>
      <c r="AY145" s="44"/>
      <c r="AZ145" s="358"/>
      <c r="BA145" s="44"/>
      <c r="BB145" s="44"/>
      <c r="BC145" s="361"/>
      <c r="BD145" s="44"/>
      <c r="BE145" s="44"/>
      <c r="BF145" s="298">
        <f t="shared" si="8"/>
        <v>5000000</v>
      </c>
      <c r="BG145" s="298">
        <f t="shared" si="9"/>
        <v>0</v>
      </c>
      <c r="BH145" s="298">
        <f t="shared" si="10"/>
        <v>0</v>
      </c>
      <c r="BI145" s="386" t="s">
        <v>1482</v>
      </c>
      <c r="BK145" s="34"/>
      <c r="BL145" s="34"/>
    </row>
    <row r="146" spans="1:64" s="16" customFormat="1" ht="117" customHeight="1" x14ac:dyDescent="0.2">
      <c r="A146" s="29">
        <v>314</v>
      </c>
      <c r="B146" s="325" t="s">
        <v>1204</v>
      </c>
      <c r="C146" s="29">
        <v>1</v>
      </c>
      <c r="D146" s="325" t="s">
        <v>1201</v>
      </c>
      <c r="E146" s="29">
        <v>22</v>
      </c>
      <c r="F146" s="325" t="s">
        <v>124</v>
      </c>
      <c r="G146" s="29">
        <v>2201</v>
      </c>
      <c r="H146" s="325" t="s">
        <v>229</v>
      </c>
      <c r="I146" s="29">
        <v>2201</v>
      </c>
      <c r="J146" s="30" t="s">
        <v>1242</v>
      </c>
      <c r="K146" s="297" t="s">
        <v>593</v>
      </c>
      <c r="L146" s="29">
        <v>2201035</v>
      </c>
      <c r="M146" s="30" t="s">
        <v>594</v>
      </c>
      <c r="N146" s="29">
        <v>2201035</v>
      </c>
      <c r="O146" s="30" t="s">
        <v>594</v>
      </c>
      <c r="P146" s="192">
        <v>220103500</v>
      </c>
      <c r="Q146" s="295" t="s">
        <v>595</v>
      </c>
      <c r="R146" s="192">
        <v>220103500</v>
      </c>
      <c r="S146" s="295" t="s">
        <v>595</v>
      </c>
      <c r="T146" s="299" t="s">
        <v>1470</v>
      </c>
      <c r="U146" s="311">
        <v>9</v>
      </c>
      <c r="V146" s="311"/>
      <c r="W146" s="328">
        <f t="shared" si="11"/>
        <v>9</v>
      </c>
      <c r="X146" s="311">
        <v>6</v>
      </c>
      <c r="Y146" s="296">
        <v>2020003630093</v>
      </c>
      <c r="Z146" s="297" t="s">
        <v>582</v>
      </c>
      <c r="AA146" s="297" t="s">
        <v>583</v>
      </c>
      <c r="AB146" s="44"/>
      <c r="AC146" s="44"/>
      <c r="AD146" s="44"/>
      <c r="AE146" s="44"/>
      <c r="AF146" s="44"/>
      <c r="AG146" s="44"/>
      <c r="AH146" s="44"/>
      <c r="AI146" s="44"/>
      <c r="AJ146" s="44"/>
      <c r="AK146" s="44"/>
      <c r="AL146" s="44"/>
      <c r="AM146" s="44"/>
      <c r="AN146" s="44"/>
      <c r="AO146" s="44"/>
      <c r="AP146" s="44"/>
      <c r="AQ146" s="44"/>
      <c r="AR146" s="44"/>
      <c r="AS146" s="44"/>
      <c r="AT146" s="354">
        <f>10000000+10000000</f>
        <v>20000000</v>
      </c>
      <c r="AU146" s="108">
        <v>20000000</v>
      </c>
      <c r="AV146" s="108">
        <v>13000000</v>
      </c>
      <c r="AW146" s="361"/>
      <c r="AX146" s="44"/>
      <c r="AY146" s="44"/>
      <c r="AZ146" s="358"/>
      <c r="BA146" s="44"/>
      <c r="BB146" s="44"/>
      <c r="BC146" s="361"/>
      <c r="BD146" s="44"/>
      <c r="BE146" s="44"/>
      <c r="BF146" s="298">
        <f t="shared" si="8"/>
        <v>20000000</v>
      </c>
      <c r="BG146" s="298">
        <f t="shared" si="9"/>
        <v>20000000</v>
      </c>
      <c r="BH146" s="298">
        <f t="shared" si="10"/>
        <v>13000000</v>
      </c>
      <c r="BI146" s="386" t="s">
        <v>1482</v>
      </c>
      <c r="BK146" s="34"/>
      <c r="BL146" s="34"/>
    </row>
    <row r="147" spans="1:64" s="16" customFormat="1" ht="117" customHeight="1" x14ac:dyDescent="0.2">
      <c r="A147" s="29">
        <v>314</v>
      </c>
      <c r="B147" s="325" t="s">
        <v>1204</v>
      </c>
      <c r="C147" s="29">
        <v>1</v>
      </c>
      <c r="D147" s="325" t="s">
        <v>1201</v>
      </c>
      <c r="E147" s="29">
        <v>22</v>
      </c>
      <c r="F147" s="325" t="s">
        <v>124</v>
      </c>
      <c r="G147" s="29">
        <v>2201</v>
      </c>
      <c r="H147" s="325" t="s">
        <v>229</v>
      </c>
      <c r="I147" s="29">
        <v>2201</v>
      </c>
      <c r="J147" s="30" t="s">
        <v>1242</v>
      </c>
      <c r="K147" s="297" t="s">
        <v>557</v>
      </c>
      <c r="L147" s="29">
        <v>2201046</v>
      </c>
      <c r="M147" s="30" t="s">
        <v>596</v>
      </c>
      <c r="N147" s="29">
        <v>2201046</v>
      </c>
      <c r="O147" s="30" t="s">
        <v>596</v>
      </c>
      <c r="P147" s="107">
        <v>220104602</v>
      </c>
      <c r="Q147" s="295" t="s">
        <v>597</v>
      </c>
      <c r="R147" s="107">
        <v>220104602</v>
      </c>
      <c r="S147" s="295" t="s">
        <v>597</v>
      </c>
      <c r="T147" s="299" t="s">
        <v>1470</v>
      </c>
      <c r="U147" s="311">
        <v>18</v>
      </c>
      <c r="V147" s="311"/>
      <c r="W147" s="328">
        <f t="shared" si="11"/>
        <v>18</v>
      </c>
      <c r="X147" s="311">
        <v>5</v>
      </c>
      <c r="Y147" s="296">
        <v>2020003630093</v>
      </c>
      <c r="Z147" s="297" t="s">
        <v>582</v>
      </c>
      <c r="AA147" s="297" t="s">
        <v>583</v>
      </c>
      <c r="AB147" s="44"/>
      <c r="AC147" s="44"/>
      <c r="AD147" s="44"/>
      <c r="AE147" s="108"/>
      <c r="AF147" s="108"/>
      <c r="AG147" s="108"/>
      <c r="AH147" s="44"/>
      <c r="AI147" s="44"/>
      <c r="AJ147" s="44"/>
      <c r="AK147" s="44"/>
      <c r="AL147" s="44"/>
      <c r="AM147" s="44"/>
      <c r="AN147" s="44"/>
      <c r="AO147" s="44"/>
      <c r="AP147" s="44"/>
      <c r="AQ147" s="44"/>
      <c r="AR147" s="44"/>
      <c r="AS147" s="44"/>
      <c r="AT147" s="356">
        <f>10000000+9000000</f>
        <v>19000000</v>
      </c>
      <c r="AU147" s="42">
        <v>6650000</v>
      </c>
      <c r="AV147" s="42">
        <v>4650000</v>
      </c>
      <c r="AW147" s="361"/>
      <c r="AX147" s="44"/>
      <c r="AY147" s="44"/>
      <c r="AZ147" s="358"/>
      <c r="BA147" s="44"/>
      <c r="BB147" s="44"/>
      <c r="BC147" s="361"/>
      <c r="BD147" s="44"/>
      <c r="BE147" s="44"/>
      <c r="BF147" s="298">
        <f t="shared" si="8"/>
        <v>19000000</v>
      </c>
      <c r="BG147" s="298">
        <f t="shared" si="9"/>
        <v>6650000</v>
      </c>
      <c r="BH147" s="298">
        <f t="shared" si="10"/>
        <v>4650000</v>
      </c>
      <c r="BI147" s="386" t="s">
        <v>1482</v>
      </c>
      <c r="BK147" s="34"/>
      <c r="BL147" s="34"/>
    </row>
    <row r="148" spans="1:64" s="16" customFormat="1" ht="117" customHeight="1" x14ac:dyDescent="0.2">
      <c r="A148" s="29">
        <v>314</v>
      </c>
      <c r="B148" s="325" t="s">
        <v>1204</v>
      </c>
      <c r="C148" s="29">
        <v>1</v>
      </c>
      <c r="D148" s="325" t="s">
        <v>1201</v>
      </c>
      <c r="E148" s="29">
        <v>22</v>
      </c>
      <c r="F148" s="325" t="s">
        <v>124</v>
      </c>
      <c r="G148" s="29">
        <v>2201</v>
      </c>
      <c r="H148" s="325" t="s">
        <v>229</v>
      </c>
      <c r="I148" s="29">
        <v>2201</v>
      </c>
      <c r="J148" s="30" t="s">
        <v>1242</v>
      </c>
      <c r="K148" s="297" t="s">
        <v>557</v>
      </c>
      <c r="L148" s="29">
        <v>2201054</v>
      </c>
      <c r="M148" s="30" t="s">
        <v>598</v>
      </c>
      <c r="N148" s="29">
        <v>2201054</v>
      </c>
      <c r="O148" s="30" t="s">
        <v>598</v>
      </c>
      <c r="P148" s="192">
        <v>220105400</v>
      </c>
      <c r="Q148" s="295" t="s">
        <v>599</v>
      </c>
      <c r="R148" s="192">
        <v>220105400</v>
      </c>
      <c r="S148" s="295" t="s">
        <v>599</v>
      </c>
      <c r="T148" s="299" t="s">
        <v>1469</v>
      </c>
      <c r="U148" s="311">
        <v>11</v>
      </c>
      <c r="V148" s="311"/>
      <c r="W148" s="328">
        <f t="shared" si="11"/>
        <v>11</v>
      </c>
      <c r="X148" s="311">
        <v>11</v>
      </c>
      <c r="Y148" s="296">
        <v>2020003630093</v>
      </c>
      <c r="Z148" s="297" t="s">
        <v>582</v>
      </c>
      <c r="AA148" s="297" t="s">
        <v>583</v>
      </c>
      <c r="AB148" s="44"/>
      <c r="AC148" s="44"/>
      <c r="AD148" s="44"/>
      <c r="AE148" s="44"/>
      <c r="AF148" s="44"/>
      <c r="AG148" s="44"/>
      <c r="AH148" s="44"/>
      <c r="AI148" s="44"/>
      <c r="AJ148" s="44"/>
      <c r="AK148" s="44"/>
      <c r="AL148" s="44"/>
      <c r="AM148" s="44"/>
      <c r="AN148" s="44"/>
      <c r="AO148" s="44"/>
      <c r="AP148" s="44"/>
      <c r="AQ148" s="44"/>
      <c r="AR148" s="44"/>
      <c r="AS148" s="44"/>
      <c r="AT148" s="354">
        <f>10000000+5770000</f>
        <v>15770000</v>
      </c>
      <c r="AU148" s="108">
        <v>15676500</v>
      </c>
      <c r="AV148" s="108">
        <v>8425000</v>
      </c>
      <c r="AW148" s="361"/>
      <c r="AX148" s="44"/>
      <c r="AY148" s="44"/>
      <c r="AZ148" s="358"/>
      <c r="BA148" s="44"/>
      <c r="BB148" s="44"/>
      <c r="BC148" s="361"/>
      <c r="BD148" s="44"/>
      <c r="BE148" s="44"/>
      <c r="BF148" s="298">
        <f t="shared" si="8"/>
        <v>15770000</v>
      </c>
      <c r="BG148" s="298">
        <f t="shared" si="9"/>
        <v>15676500</v>
      </c>
      <c r="BH148" s="298">
        <f t="shared" si="10"/>
        <v>8425000</v>
      </c>
      <c r="BI148" s="386" t="s">
        <v>1482</v>
      </c>
      <c r="BK148" s="34"/>
      <c r="BL148" s="34"/>
    </row>
    <row r="149" spans="1:64" s="16" customFormat="1" ht="117" customHeight="1" x14ac:dyDescent="0.2">
      <c r="A149" s="29">
        <v>314</v>
      </c>
      <c r="B149" s="325" t="s">
        <v>1204</v>
      </c>
      <c r="C149" s="29">
        <v>1</v>
      </c>
      <c r="D149" s="325" t="s">
        <v>1201</v>
      </c>
      <c r="E149" s="29">
        <v>22</v>
      </c>
      <c r="F149" s="325" t="s">
        <v>124</v>
      </c>
      <c r="G149" s="29">
        <v>2201</v>
      </c>
      <c r="H149" s="325" t="s">
        <v>229</v>
      </c>
      <c r="I149" s="29">
        <v>2201</v>
      </c>
      <c r="J149" s="30" t="s">
        <v>1242</v>
      </c>
      <c r="K149" s="297" t="s">
        <v>554</v>
      </c>
      <c r="L149" s="29">
        <v>2201061</v>
      </c>
      <c r="M149" s="30" t="s">
        <v>600</v>
      </c>
      <c r="N149" s="29">
        <v>2201061</v>
      </c>
      <c r="O149" s="30" t="s">
        <v>600</v>
      </c>
      <c r="P149" s="192">
        <v>220106102</v>
      </c>
      <c r="Q149" s="295" t="s">
        <v>601</v>
      </c>
      <c r="R149" s="192">
        <v>220106102</v>
      </c>
      <c r="S149" s="30" t="s">
        <v>601</v>
      </c>
      <c r="T149" s="299" t="s">
        <v>1470</v>
      </c>
      <c r="U149" s="311">
        <v>14</v>
      </c>
      <c r="V149" s="311"/>
      <c r="W149" s="328">
        <f t="shared" si="11"/>
        <v>14</v>
      </c>
      <c r="X149" s="311">
        <v>14</v>
      </c>
      <c r="Y149" s="296">
        <v>2020003630093</v>
      </c>
      <c r="Z149" s="297" t="s">
        <v>582</v>
      </c>
      <c r="AA149" s="297" t="s">
        <v>583</v>
      </c>
      <c r="AB149" s="44"/>
      <c r="AC149" s="44"/>
      <c r="AD149" s="44"/>
      <c r="AE149" s="44"/>
      <c r="AF149" s="44"/>
      <c r="AG149" s="44"/>
      <c r="AH149" s="44"/>
      <c r="AI149" s="44"/>
      <c r="AJ149" s="44"/>
      <c r="AK149" s="44"/>
      <c r="AL149" s="44"/>
      <c r="AM149" s="44"/>
      <c r="AN149" s="44"/>
      <c r="AO149" s="44"/>
      <c r="AP149" s="44"/>
      <c r="AQ149" s="44"/>
      <c r="AR149" s="44"/>
      <c r="AS149" s="44"/>
      <c r="AT149" s="354">
        <f>10000000+6000000</f>
        <v>16000000</v>
      </c>
      <c r="AU149" s="108">
        <v>16000000</v>
      </c>
      <c r="AV149" s="108">
        <v>16000000</v>
      </c>
      <c r="AW149" s="361"/>
      <c r="AX149" s="44"/>
      <c r="AY149" s="44"/>
      <c r="AZ149" s="358"/>
      <c r="BA149" s="44"/>
      <c r="BB149" s="44"/>
      <c r="BC149" s="361"/>
      <c r="BD149" s="44"/>
      <c r="BE149" s="44"/>
      <c r="BF149" s="298">
        <f t="shared" si="8"/>
        <v>16000000</v>
      </c>
      <c r="BG149" s="298">
        <f t="shared" si="9"/>
        <v>16000000</v>
      </c>
      <c r="BH149" s="298">
        <f t="shared" si="10"/>
        <v>16000000</v>
      </c>
      <c r="BI149" s="386" t="s">
        <v>1482</v>
      </c>
      <c r="BK149" s="34"/>
      <c r="BL149" s="34"/>
    </row>
    <row r="150" spans="1:64" s="16" customFormat="1" ht="117" customHeight="1" x14ac:dyDescent="0.2">
      <c r="A150" s="29">
        <v>314</v>
      </c>
      <c r="B150" s="325" t="s">
        <v>1204</v>
      </c>
      <c r="C150" s="29">
        <v>1</v>
      </c>
      <c r="D150" s="325" t="s">
        <v>1201</v>
      </c>
      <c r="E150" s="29">
        <v>22</v>
      </c>
      <c r="F150" s="325" t="s">
        <v>124</v>
      </c>
      <c r="G150" s="29">
        <v>2201</v>
      </c>
      <c r="H150" s="325" t="s">
        <v>229</v>
      </c>
      <c r="I150" s="29">
        <v>2201</v>
      </c>
      <c r="J150" s="30" t="s">
        <v>1242</v>
      </c>
      <c r="K150" s="301" t="s">
        <v>636</v>
      </c>
      <c r="L150" s="29">
        <v>2201066</v>
      </c>
      <c r="M150" s="30" t="s">
        <v>602</v>
      </c>
      <c r="N150" s="29">
        <v>2201066</v>
      </c>
      <c r="O150" s="30" t="s">
        <v>602</v>
      </c>
      <c r="P150" s="192">
        <v>220106600</v>
      </c>
      <c r="Q150" s="295" t="s">
        <v>603</v>
      </c>
      <c r="R150" s="192">
        <v>220106600</v>
      </c>
      <c r="S150" s="295" t="s">
        <v>603</v>
      </c>
      <c r="T150" s="299" t="s">
        <v>1470</v>
      </c>
      <c r="U150" s="311">
        <v>10000</v>
      </c>
      <c r="V150" s="311">
        <v>2533</v>
      </c>
      <c r="W150" s="328">
        <f t="shared" si="11"/>
        <v>12533</v>
      </c>
      <c r="X150" s="311">
        <v>0</v>
      </c>
      <c r="Y150" s="296">
        <v>2020003630093</v>
      </c>
      <c r="Z150" s="297" t="s">
        <v>582</v>
      </c>
      <c r="AA150" s="297" t="s">
        <v>583</v>
      </c>
      <c r="AB150" s="44"/>
      <c r="AC150" s="44"/>
      <c r="AD150" s="44"/>
      <c r="AE150" s="44"/>
      <c r="AF150" s="44"/>
      <c r="AG150" s="44"/>
      <c r="AH150" s="44"/>
      <c r="AI150" s="44"/>
      <c r="AJ150" s="44"/>
      <c r="AK150" s="44"/>
      <c r="AL150" s="44"/>
      <c r="AM150" s="44"/>
      <c r="AN150" s="44"/>
      <c r="AO150" s="44"/>
      <c r="AP150" s="44"/>
      <c r="AQ150" s="44"/>
      <c r="AR150" s="44"/>
      <c r="AS150" s="44"/>
      <c r="AT150" s="354">
        <f>10000000+5770000+17655000</f>
        <v>33425000</v>
      </c>
      <c r="AU150" s="108">
        <v>9425000</v>
      </c>
      <c r="AV150" s="108">
        <v>9425000</v>
      </c>
      <c r="AW150" s="361"/>
      <c r="AX150" s="44"/>
      <c r="AY150" s="44"/>
      <c r="AZ150" s="358"/>
      <c r="BA150" s="44"/>
      <c r="BB150" s="44"/>
      <c r="BC150" s="361"/>
      <c r="BD150" s="44"/>
      <c r="BE150" s="44"/>
      <c r="BF150" s="298">
        <f t="shared" si="8"/>
        <v>33425000</v>
      </c>
      <c r="BG150" s="298">
        <f t="shared" si="9"/>
        <v>9425000</v>
      </c>
      <c r="BH150" s="298">
        <f t="shared" si="10"/>
        <v>9425000</v>
      </c>
      <c r="BI150" s="386" t="s">
        <v>1482</v>
      </c>
      <c r="BK150" s="34"/>
      <c r="BL150" s="34"/>
    </row>
    <row r="151" spans="1:64" s="16" customFormat="1" ht="117" customHeight="1" x14ac:dyDescent="0.2">
      <c r="A151" s="29">
        <v>314</v>
      </c>
      <c r="B151" s="325" t="s">
        <v>1204</v>
      </c>
      <c r="C151" s="29">
        <v>1</v>
      </c>
      <c r="D151" s="325" t="s">
        <v>1201</v>
      </c>
      <c r="E151" s="29">
        <v>22</v>
      </c>
      <c r="F151" s="325" t="s">
        <v>124</v>
      </c>
      <c r="G151" s="29">
        <v>2201</v>
      </c>
      <c r="H151" s="325" t="s">
        <v>229</v>
      </c>
      <c r="I151" s="29">
        <v>2201</v>
      </c>
      <c r="J151" s="30" t="s">
        <v>1242</v>
      </c>
      <c r="K151" s="297" t="s">
        <v>604</v>
      </c>
      <c r="L151" s="29">
        <v>2201006</v>
      </c>
      <c r="M151" s="30" t="s">
        <v>605</v>
      </c>
      <c r="N151" s="29">
        <v>2201006</v>
      </c>
      <c r="O151" s="30" t="s">
        <v>605</v>
      </c>
      <c r="P151" s="107">
        <v>220100600</v>
      </c>
      <c r="Q151" s="295" t="s">
        <v>606</v>
      </c>
      <c r="R151" s="107">
        <v>220100600</v>
      </c>
      <c r="S151" s="295" t="s">
        <v>606</v>
      </c>
      <c r="T151" s="299" t="s">
        <v>1469</v>
      </c>
      <c r="U151" s="311">
        <v>54</v>
      </c>
      <c r="V151" s="311"/>
      <c r="W151" s="328">
        <f t="shared" si="11"/>
        <v>54</v>
      </c>
      <c r="X151" s="530">
        <v>54</v>
      </c>
      <c r="Y151" s="296">
        <v>2020003630016</v>
      </c>
      <c r="Z151" s="30" t="s">
        <v>607</v>
      </c>
      <c r="AA151" s="297" t="s">
        <v>608</v>
      </c>
      <c r="AB151" s="44"/>
      <c r="AC151" s="44"/>
      <c r="AD151" s="44"/>
      <c r="AE151" s="44"/>
      <c r="AF151" s="44"/>
      <c r="AG151" s="44"/>
      <c r="AH151" s="44"/>
      <c r="AI151" s="44"/>
      <c r="AJ151" s="44"/>
      <c r="AK151" s="44"/>
      <c r="AL151" s="44"/>
      <c r="AM151" s="44"/>
      <c r="AN151" s="137"/>
      <c r="AO151" s="137"/>
      <c r="AP151" s="137"/>
      <c r="AQ151" s="44"/>
      <c r="AR151" s="44"/>
      <c r="AS151" s="44"/>
      <c r="AT151" s="354">
        <f>10000000+241470000+90210000+100000000+20000000+200000000</f>
        <v>661680000</v>
      </c>
      <c r="AU151" s="108">
        <v>404920000</v>
      </c>
      <c r="AV151" s="108">
        <v>279773333.33000004</v>
      </c>
      <c r="AW151" s="361"/>
      <c r="AX151" s="44"/>
      <c r="AY151" s="44"/>
      <c r="AZ151" s="358"/>
      <c r="BA151" s="44"/>
      <c r="BB151" s="44"/>
      <c r="BC151" s="361"/>
      <c r="BD151" s="44"/>
      <c r="BE151" s="44"/>
      <c r="BF151" s="298">
        <f t="shared" si="8"/>
        <v>661680000</v>
      </c>
      <c r="BG151" s="298">
        <f t="shared" si="9"/>
        <v>404920000</v>
      </c>
      <c r="BH151" s="298">
        <f t="shared" si="10"/>
        <v>279773333.33000004</v>
      </c>
      <c r="BI151" s="386" t="s">
        <v>1482</v>
      </c>
      <c r="BK151" s="34"/>
      <c r="BL151" s="34"/>
    </row>
    <row r="152" spans="1:64" s="16" customFormat="1" ht="117" customHeight="1" x14ac:dyDescent="0.2">
      <c r="A152" s="29">
        <v>314</v>
      </c>
      <c r="B152" s="325" t="s">
        <v>1204</v>
      </c>
      <c r="C152" s="29">
        <v>1</v>
      </c>
      <c r="D152" s="325" t="s">
        <v>1201</v>
      </c>
      <c r="E152" s="29">
        <v>22</v>
      </c>
      <c r="F152" s="325" t="s">
        <v>124</v>
      </c>
      <c r="G152" s="29">
        <v>2201</v>
      </c>
      <c r="H152" s="325" t="s">
        <v>229</v>
      </c>
      <c r="I152" s="29">
        <v>2201</v>
      </c>
      <c r="J152" s="30" t="s">
        <v>1242</v>
      </c>
      <c r="K152" s="297" t="s">
        <v>604</v>
      </c>
      <c r="L152" s="29">
        <v>2201015</v>
      </c>
      <c r="M152" s="30" t="s">
        <v>609</v>
      </c>
      <c r="N152" s="29">
        <v>2201015</v>
      </c>
      <c r="O152" s="30" t="s">
        <v>609</v>
      </c>
      <c r="P152" s="192">
        <v>220101500</v>
      </c>
      <c r="Q152" s="295" t="s">
        <v>610</v>
      </c>
      <c r="R152" s="192">
        <v>220101500</v>
      </c>
      <c r="S152" s="295" t="s">
        <v>610</v>
      </c>
      <c r="T152" s="299" t="s">
        <v>1469</v>
      </c>
      <c r="U152" s="311">
        <v>11</v>
      </c>
      <c r="V152" s="311"/>
      <c r="W152" s="328">
        <f t="shared" si="11"/>
        <v>11</v>
      </c>
      <c r="X152" s="530">
        <v>0</v>
      </c>
      <c r="Y152" s="296">
        <v>2020003630016</v>
      </c>
      <c r="Z152" s="30" t="s">
        <v>607</v>
      </c>
      <c r="AA152" s="297" t="s">
        <v>608</v>
      </c>
      <c r="AB152" s="44"/>
      <c r="AC152" s="44"/>
      <c r="AD152" s="44"/>
      <c r="AE152" s="44"/>
      <c r="AF152" s="44"/>
      <c r="AG152" s="44"/>
      <c r="AH152" s="44"/>
      <c r="AI152" s="44"/>
      <c r="AJ152" s="44"/>
      <c r="AK152" s="44"/>
      <c r="AL152" s="44"/>
      <c r="AM152" s="44"/>
      <c r="AN152" s="44"/>
      <c r="AO152" s="44"/>
      <c r="AP152" s="44"/>
      <c r="AQ152" s="44"/>
      <c r="AR152" s="44"/>
      <c r="AS152" s="44"/>
      <c r="AT152" s="354">
        <f>12000000-7000000+12310000</f>
        <v>17310000</v>
      </c>
      <c r="AU152" s="108">
        <v>0</v>
      </c>
      <c r="AV152" s="108">
        <v>0</v>
      </c>
      <c r="AW152" s="361"/>
      <c r="AX152" s="44"/>
      <c r="AY152" s="44"/>
      <c r="AZ152" s="358"/>
      <c r="BA152" s="44"/>
      <c r="BB152" s="44"/>
      <c r="BC152" s="361"/>
      <c r="BD152" s="44"/>
      <c r="BE152" s="44"/>
      <c r="BF152" s="298">
        <f t="shared" si="8"/>
        <v>17310000</v>
      </c>
      <c r="BG152" s="298">
        <f t="shared" si="9"/>
        <v>0</v>
      </c>
      <c r="BH152" s="298">
        <f t="shared" si="10"/>
        <v>0</v>
      </c>
      <c r="BI152" s="386" t="s">
        <v>1482</v>
      </c>
      <c r="BK152" s="34"/>
      <c r="BL152" s="34"/>
    </row>
    <row r="153" spans="1:64" s="16" customFormat="1" ht="117" customHeight="1" x14ac:dyDescent="0.2">
      <c r="A153" s="29">
        <v>314</v>
      </c>
      <c r="B153" s="325" t="s">
        <v>1204</v>
      </c>
      <c r="C153" s="29">
        <v>1</v>
      </c>
      <c r="D153" s="325" t="s">
        <v>1201</v>
      </c>
      <c r="E153" s="29">
        <v>22</v>
      </c>
      <c r="F153" s="325" t="s">
        <v>124</v>
      </c>
      <c r="G153" s="29">
        <v>2201</v>
      </c>
      <c r="H153" s="325" t="s">
        <v>229</v>
      </c>
      <c r="I153" s="29">
        <v>2201</v>
      </c>
      <c r="J153" s="30" t="s">
        <v>1242</v>
      </c>
      <c r="K153" s="297" t="s">
        <v>557</v>
      </c>
      <c r="L153" s="29">
        <v>2201042</v>
      </c>
      <c r="M153" s="30" t="s">
        <v>611</v>
      </c>
      <c r="N153" s="29">
        <v>2201042</v>
      </c>
      <c r="O153" s="30" t="s">
        <v>611</v>
      </c>
      <c r="P153" s="192">
        <v>220104200</v>
      </c>
      <c r="Q153" s="295" t="s">
        <v>612</v>
      </c>
      <c r="R153" s="192">
        <v>220104200</v>
      </c>
      <c r="S153" s="295" t="s">
        <v>612</v>
      </c>
      <c r="T153" s="299" t="s">
        <v>1470</v>
      </c>
      <c r="U153" s="311">
        <v>6000</v>
      </c>
      <c r="V153" s="311"/>
      <c r="W153" s="328">
        <f t="shared" si="11"/>
        <v>6000</v>
      </c>
      <c r="X153" s="530">
        <v>97</v>
      </c>
      <c r="Y153" s="296">
        <v>2020003630016</v>
      </c>
      <c r="Z153" s="30" t="s">
        <v>607</v>
      </c>
      <c r="AA153" s="297" t="s">
        <v>608</v>
      </c>
      <c r="AB153" s="44"/>
      <c r="AC153" s="44"/>
      <c r="AD153" s="44"/>
      <c r="AE153" s="44"/>
      <c r="AF153" s="44"/>
      <c r="AG153" s="44"/>
      <c r="AH153" s="44"/>
      <c r="AI153" s="44"/>
      <c r="AJ153" s="44"/>
      <c r="AK153" s="44"/>
      <c r="AL153" s="44"/>
      <c r="AM153" s="44"/>
      <c r="AN153" s="44"/>
      <c r="AO153" s="44"/>
      <c r="AP153" s="44"/>
      <c r="AQ153" s="44"/>
      <c r="AR153" s="44"/>
      <c r="AS153" s="44"/>
      <c r="AT153" s="356">
        <v>10000000</v>
      </c>
      <c r="AU153" s="42">
        <v>7885000</v>
      </c>
      <c r="AV153" s="42">
        <v>7885000</v>
      </c>
      <c r="AW153" s="361"/>
      <c r="AX153" s="44"/>
      <c r="AY153" s="44"/>
      <c r="AZ153" s="358"/>
      <c r="BA153" s="44"/>
      <c r="BB153" s="44"/>
      <c r="BC153" s="361"/>
      <c r="BD153" s="44"/>
      <c r="BE153" s="44"/>
      <c r="BF153" s="298">
        <f t="shared" si="8"/>
        <v>10000000</v>
      </c>
      <c r="BG153" s="298">
        <f t="shared" si="9"/>
        <v>7885000</v>
      </c>
      <c r="BH153" s="298">
        <f t="shared" si="10"/>
        <v>7885000</v>
      </c>
      <c r="BI153" s="386" t="s">
        <v>1482</v>
      </c>
      <c r="BK153" s="34"/>
      <c r="BL153" s="34"/>
    </row>
    <row r="154" spans="1:64" s="16" customFormat="1" ht="117" customHeight="1" x14ac:dyDescent="0.2">
      <c r="A154" s="29">
        <v>314</v>
      </c>
      <c r="B154" s="325" t="s">
        <v>1204</v>
      </c>
      <c r="C154" s="29">
        <v>1</v>
      </c>
      <c r="D154" s="325" t="s">
        <v>1201</v>
      </c>
      <c r="E154" s="29">
        <v>22</v>
      </c>
      <c r="F154" s="325" t="s">
        <v>124</v>
      </c>
      <c r="G154" s="29">
        <v>2201</v>
      </c>
      <c r="H154" s="325" t="s">
        <v>229</v>
      </c>
      <c r="I154" s="29">
        <v>2201</v>
      </c>
      <c r="J154" s="30" t="s">
        <v>1242</v>
      </c>
      <c r="K154" s="297" t="s">
        <v>126</v>
      </c>
      <c r="L154" s="29">
        <v>2201071</v>
      </c>
      <c r="M154" s="132" t="s">
        <v>613</v>
      </c>
      <c r="N154" s="29">
        <v>2201071</v>
      </c>
      <c r="O154" s="132" t="s">
        <v>613</v>
      </c>
      <c r="P154" s="107">
        <v>220107100</v>
      </c>
      <c r="Q154" s="295" t="s">
        <v>614</v>
      </c>
      <c r="R154" s="107">
        <v>220107100</v>
      </c>
      <c r="S154" s="295" t="s">
        <v>614</v>
      </c>
      <c r="T154" s="299" t="s">
        <v>1469</v>
      </c>
      <c r="U154" s="311">
        <v>54</v>
      </c>
      <c r="V154" s="311"/>
      <c r="W154" s="328">
        <f t="shared" si="11"/>
        <v>54</v>
      </c>
      <c r="X154" s="530">
        <v>54</v>
      </c>
      <c r="Y154" s="296">
        <v>2020003630016</v>
      </c>
      <c r="Z154" s="28" t="s">
        <v>607</v>
      </c>
      <c r="AA154" s="297" t="s">
        <v>608</v>
      </c>
      <c r="AB154" s="137"/>
      <c r="AC154" s="137"/>
      <c r="AD154" s="137"/>
      <c r="AE154" s="137">
        <f>2508409585-100000000</f>
        <v>2408409585</v>
      </c>
      <c r="AF154" s="137">
        <v>2408409585</v>
      </c>
      <c r="AG154" s="137">
        <v>2408409585</v>
      </c>
      <c r="AH154" s="137"/>
      <c r="AI154" s="137"/>
      <c r="AJ154" s="137"/>
      <c r="AK154" s="137"/>
      <c r="AL154" s="137"/>
      <c r="AM154" s="137"/>
      <c r="AN154" s="137">
        <f>148302000000+80000000+29000000000+1447985935.52-3303649.73+4284304</f>
        <v>178830966589.78998</v>
      </c>
      <c r="AO154" s="137">
        <v>118570199108.83</v>
      </c>
      <c r="AP154" s="137">
        <v>117593108418</v>
      </c>
      <c r="AQ154" s="137"/>
      <c r="AR154" s="137"/>
      <c r="AS154" s="137"/>
      <c r="AT154" s="356">
        <f>3890647242-50000000-90000000-750647242+500000000+180000000+326689566.65+2700000000+178370199-50000000+100000000+844841845+36600000</f>
        <v>7816501610.6499996</v>
      </c>
      <c r="AU154" s="108">
        <v>6302653747.5</v>
      </c>
      <c r="AV154" s="108">
        <v>2846671337.8099999</v>
      </c>
      <c r="AW154" s="108"/>
      <c r="AX154" s="108">
        <v>0</v>
      </c>
      <c r="AY154" s="108">
        <v>0</v>
      </c>
      <c r="AZ154" s="354"/>
      <c r="BA154" s="108"/>
      <c r="BB154" s="108"/>
      <c r="BC154" s="531">
        <v>318992344.52999997</v>
      </c>
      <c r="BD154" s="137">
        <v>318991920</v>
      </c>
      <c r="BE154" s="137">
        <v>310934499</v>
      </c>
      <c r="BF154" s="298">
        <f t="shared" si="8"/>
        <v>189374870129.96997</v>
      </c>
      <c r="BG154" s="298">
        <f t="shared" si="9"/>
        <v>127600254361.33</v>
      </c>
      <c r="BH154" s="298">
        <f t="shared" si="10"/>
        <v>123159123839.81</v>
      </c>
      <c r="BI154" s="386" t="s">
        <v>1482</v>
      </c>
      <c r="BK154" s="34"/>
      <c r="BL154" s="34"/>
    </row>
    <row r="155" spans="1:64" s="16" customFormat="1" ht="117" customHeight="1" x14ac:dyDescent="0.2">
      <c r="A155" s="29">
        <v>314</v>
      </c>
      <c r="B155" s="325" t="s">
        <v>1204</v>
      </c>
      <c r="C155" s="29">
        <v>1</v>
      </c>
      <c r="D155" s="325" t="s">
        <v>1201</v>
      </c>
      <c r="E155" s="29">
        <v>22</v>
      </c>
      <c r="F155" s="325" t="s">
        <v>124</v>
      </c>
      <c r="G155" s="29">
        <v>2201</v>
      </c>
      <c r="H155" s="325" t="s">
        <v>229</v>
      </c>
      <c r="I155" s="29">
        <v>2201</v>
      </c>
      <c r="J155" s="30" t="s">
        <v>1242</v>
      </c>
      <c r="K155" s="297" t="s">
        <v>557</v>
      </c>
      <c r="L155" s="29">
        <v>2201050</v>
      </c>
      <c r="M155" s="30" t="s">
        <v>615</v>
      </c>
      <c r="N155" s="29">
        <v>2201050</v>
      </c>
      <c r="O155" s="30" t="s">
        <v>615</v>
      </c>
      <c r="P155" s="192">
        <v>220105000</v>
      </c>
      <c r="Q155" s="295" t="s">
        <v>616</v>
      </c>
      <c r="R155" s="192">
        <v>220105000</v>
      </c>
      <c r="S155" s="295" t="s">
        <v>616</v>
      </c>
      <c r="T155" s="299" t="s">
        <v>1470</v>
      </c>
      <c r="U155" s="311">
        <v>8000</v>
      </c>
      <c r="V155" s="311">
        <v>2350</v>
      </c>
      <c r="W155" s="328">
        <f t="shared" si="11"/>
        <v>10350</v>
      </c>
      <c r="X155" s="530">
        <v>10350</v>
      </c>
      <c r="Y155" s="296">
        <v>2020003630094</v>
      </c>
      <c r="Z155" s="28" t="s">
        <v>617</v>
      </c>
      <c r="AA155" s="297" t="s">
        <v>618</v>
      </c>
      <c r="AB155" s="44"/>
      <c r="AC155" s="44"/>
      <c r="AD155" s="44"/>
      <c r="AE155" s="44"/>
      <c r="AF155" s="44"/>
      <c r="AG155" s="44"/>
      <c r="AH155" s="44"/>
      <c r="AI155" s="44"/>
      <c r="AJ155" s="44"/>
      <c r="AK155" s="44"/>
      <c r="AL155" s="44"/>
      <c r="AM155" s="44"/>
      <c r="AN155" s="108">
        <f>622000000-622000000</f>
        <v>0</v>
      </c>
      <c r="AO155" s="108"/>
      <c r="AP155" s="108"/>
      <c r="AQ155" s="44"/>
      <c r="AR155" s="44"/>
      <c r="AS155" s="44"/>
      <c r="AT155" s="354">
        <f>10000000+5770000</f>
        <v>15770000</v>
      </c>
      <c r="AU155" s="108">
        <v>14165000</v>
      </c>
      <c r="AV155" s="108">
        <v>12885000</v>
      </c>
      <c r="AW155" s="361"/>
      <c r="AX155" s="44"/>
      <c r="AY155" s="44"/>
      <c r="AZ155" s="358"/>
      <c r="BA155" s="44"/>
      <c r="BB155" s="44"/>
      <c r="BC155" s="361"/>
      <c r="BD155" s="44"/>
      <c r="BE155" s="44"/>
      <c r="BF155" s="298">
        <f t="shared" si="8"/>
        <v>15770000</v>
      </c>
      <c r="BG155" s="298">
        <f>AC155+AF155+AI155+AL155+AO155+AR155+AU155+AX155+BD155</f>
        <v>14165000</v>
      </c>
      <c r="BH155" s="298">
        <f>AD155+AG155+AJ155+AM155+AP155+AS155+AV155+AY155+BE155</f>
        <v>12885000</v>
      </c>
      <c r="BI155" s="386" t="s">
        <v>1482</v>
      </c>
      <c r="BK155" s="34"/>
      <c r="BL155" s="34"/>
    </row>
    <row r="156" spans="1:64" s="16" customFormat="1" ht="117" customHeight="1" x14ac:dyDescent="0.2">
      <c r="A156" s="29">
        <v>314</v>
      </c>
      <c r="B156" s="325" t="s">
        <v>1204</v>
      </c>
      <c r="C156" s="29">
        <v>1</v>
      </c>
      <c r="D156" s="325" t="s">
        <v>1201</v>
      </c>
      <c r="E156" s="29">
        <v>22</v>
      </c>
      <c r="F156" s="325" t="s">
        <v>124</v>
      </c>
      <c r="G156" s="29">
        <v>2201</v>
      </c>
      <c r="H156" s="325" t="s">
        <v>229</v>
      </c>
      <c r="I156" s="29">
        <v>2201</v>
      </c>
      <c r="J156" s="30" t="s">
        <v>1242</v>
      </c>
      <c r="K156" s="297" t="s">
        <v>557</v>
      </c>
      <c r="L156" s="29">
        <v>2201050</v>
      </c>
      <c r="M156" s="30" t="s">
        <v>615</v>
      </c>
      <c r="N156" s="29">
        <v>2201050</v>
      </c>
      <c r="O156" s="30" t="s">
        <v>615</v>
      </c>
      <c r="P156" s="107">
        <v>220105001</v>
      </c>
      <c r="Q156" s="295" t="s">
        <v>619</v>
      </c>
      <c r="R156" s="107">
        <v>220105001</v>
      </c>
      <c r="S156" s="295" t="s">
        <v>619</v>
      </c>
      <c r="T156" s="299" t="s">
        <v>1469</v>
      </c>
      <c r="U156" s="311">
        <v>150</v>
      </c>
      <c r="V156" s="311"/>
      <c r="W156" s="328">
        <f t="shared" si="11"/>
        <v>150</v>
      </c>
      <c r="X156" s="530">
        <v>73</v>
      </c>
      <c r="Y156" s="296">
        <v>2020003630094</v>
      </c>
      <c r="Z156" s="28" t="s">
        <v>617</v>
      </c>
      <c r="AA156" s="297" t="s">
        <v>618</v>
      </c>
      <c r="AB156" s="44"/>
      <c r="AC156" s="44"/>
      <c r="AD156" s="44"/>
      <c r="AE156" s="44"/>
      <c r="AF156" s="44"/>
      <c r="AG156" s="44"/>
      <c r="AH156" s="44"/>
      <c r="AI156" s="44"/>
      <c r="AJ156" s="44"/>
      <c r="AK156" s="44"/>
      <c r="AL156" s="44"/>
      <c r="AM156" s="44"/>
      <c r="AN156" s="137">
        <f>622000000-28554059</f>
        <v>593445941</v>
      </c>
      <c r="AO156" s="44">
        <v>550000205.92999995</v>
      </c>
      <c r="AP156" s="44">
        <v>0</v>
      </c>
      <c r="AQ156" s="44"/>
      <c r="AR156" s="44"/>
      <c r="AS156" s="44"/>
      <c r="AT156" s="358">
        <v>0</v>
      </c>
      <c r="AU156" s="44"/>
      <c r="AV156" s="44"/>
      <c r="AW156" s="361"/>
      <c r="AX156" s="44"/>
      <c r="AY156" s="44"/>
      <c r="AZ156" s="358"/>
      <c r="BA156" s="44"/>
      <c r="BB156" s="44"/>
      <c r="BC156" s="361"/>
      <c r="BD156" s="44"/>
      <c r="BE156" s="44"/>
      <c r="BF156" s="298">
        <f t="shared" si="8"/>
        <v>593445941</v>
      </c>
      <c r="BG156" s="298">
        <f t="shared" si="9"/>
        <v>550000205.92999995</v>
      </c>
      <c r="BH156" s="298">
        <f t="shared" si="10"/>
        <v>0</v>
      </c>
      <c r="BI156" s="386" t="s">
        <v>1482</v>
      </c>
      <c r="BK156" s="34"/>
      <c r="BL156" s="34"/>
    </row>
    <row r="157" spans="1:64" s="16" customFormat="1" ht="117" customHeight="1" x14ac:dyDescent="0.2">
      <c r="A157" s="29">
        <v>314</v>
      </c>
      <c r="B157" s="325" t="s">
        <v>1204</v>
      </c>
      <c r="C157" s="29">
        <v>1</v>
      </c>
      <c r="D157" s="325" t="s">
        <v>1201</v>
      </c>
      <c r="E157" s="29">
        <v>22</v>
      </c>
      <c r="F157" s="325" t="s">
        <v>124</v>
      </c>
      <c r="G157" s="29">
        <v>2201</v>
      </c>
      <c r="H157" s="325" t="s">
        <v>229</v>
      </c>
      <c r="I157" s="29">
        <v>2201</v>
      </c>
      <c r="J157" s="30" t="s">
        <v>1242</v>
      </c>
      <c r="K157" s="301" t="s">
        <v>566</v>
      </c>
      <c r="L157" s="29" t="s">
        <v>31</v>
      </c>
      <c r="M157" s="30" t="s">
        <v>620</v>
      </c>
      <c r="N157" s="29">
        <v>2201001</v>
      </c>
      <c r="O157" s="30" t="s">
        <v>193</v>
      </c>
      <c r="P157" s="29" t="s">
        <v>31</v>
      </c>
      <c r="Q157" s="295" t="s">
        <v>621</v>
      </c>
      <c r="R157" s="192">
        <v>220100100</v>
      </c>
      <c r="S157" s="295" t="s">
        <v>622</v>
      </c>
      <c r="T157" s="299" t="s">
        <v>1469</v>
      </c>
      <c r="U157" s="311">
        <v>2</v>
      </c>
      <c r="V157" s="311"/>
      <c r="W157" s="328">
        <f t="shared" si="11"/>
        <v>2</v>
      </c>
      <c r="X157" s="530">
        <v>1.5</v>
      </c>
      <c r="Y157" s="296">
        <v>2020003630094</v>
      </c>
      <c r="Z157" s="28" t="s">
        <v>617</v>
      </c>
      <c r="AA157" s="297" t="s">
        <v>618</v>
      </c>
      <c r="AB157" s="44"/>
      <c r="AC157" s="44"/>
      <c r="AD157" s="44"/>
      <c r="AE157" s="44"/>
      <c r="AF157" s="44"/>
      <c r="AG157" s="44"/>
      <c r="AH157" s="44"/>
      <c r="AI157" s="44"/>
      <c r="AJ157" s="44"/>
      <c r="AK157" s="44"/>
      <c r="AL157" s="44"/>
      <c r="AM157" s="44"/>
      <c r="AN157" s="44"/>
      <c r="AO157" s="44"/>
      <c r="AP157" s="44"/>
      <c r="AQ157" s="44"/>
      <c r="AR157" s="44"/>
      <c r="AS157" s="44"/>
      <c r="AT157" s="354">
        <f>10000000+1800000</f>
        <v>11800000</v>
      </c>
      <c r="AU157" s="108">
        <v>11800000</v>
      </c>
      <c r="AV157" s="108">
        <v>7310000</v>
      </c>
      <c r="AW157" s="361"/>
      <c r="AX157" s="44"/>
      <c r="AY157" s="44"/>
      <c r="AZ157" s="358"/>
      <c r="BA157" s="44"/>
      <c r="BB157" s="44"/>
      <c r="BC157" s="361"/>
      <c r="BD157" s="44"/>
      <c r="BE157" s="44"/>
      <c r="BF157" s="298">
        <f t="shared" si="8"/>
        <v>11800000</v>
      </c>
      <c r="BG157" s="298">
        <f t="shared" si="9"/>
        <v>11800000</v>
      </c>
      <c r="BH157" s="298">
        <f t="shared" si="10"/>
        <v>7310000</v>
      </c>
      <c r="BI157" s="386" t="s">
        <v>1482</v>
      </c>
      <c r="BK157" s="34"/>
      <c r="BL157" s="34"/>
    </row>
    <row r="158" spans="1:64" s="16" customFormat="1" ht="117" customHeight="1" x14ac:dyDescent="0.2">
      <c r="A158" s="29">
        <v>314</v>
      </c>
      <c r="B158" s="325" t="s">
        <v>1204</v>
      </c>
      <c r="C158" s="29">
        <v>1</v>
      </c>
      <c r="D158" s="325" t="s">
        <v>1201</v>
      </c>
      <c r="E158" s="29">
        <v>22</v>
      </c>
      <c r="F158" s="325" t="s">
        <v>124</v>
      </c>
      <c r="G158" s="29">
        <v>2201</v>
      </c>
      <c r="H158" s="325" t="s">
        <v>229</v>
      </c>
      <c r="I158" s="29">
        <v>2201</v>
      </c>
      <c r="J158" s="30" t="s">
        <v>1242</v>
      </c>
      <c r="K158" s="297" t="s">
        <v>623</v>
      </c>
      <c r="L158" s="29">
        <v>2201034</v>
      </c>
      <c r="M158" s="30" t="s">
        <v>624</v>
      </c>
      <c r="N158" s="29">
        <v>2201034</v>
      </c>
      <c r="O158" s="30" t="s">
        <v>624</v>
      </c>
      <c r="P158" s="107">
        <v>220103400</v>
      </c>
      <c r="Q158" s="295" t="s">
        <v>625</v>
      </c>
      <c r="R158" s="107">
        <v>220103400</v>
      </c>
      <c r="S158" s="295" t="s">
        <v>625</v>
      </c>
      <c r="T158" s="299" t="s">
        <v>1470</v>
      </c>
      <c r="U158" s="311">
        <v>5000</v>
      </c>
      <c r="V158" s="311">
        <v>740</v>
      </c>
      <c r="W158" s="328">
        <f t="shared" si="11"/>
        <v>5740</v>
      </c>
      <c r="X158" s="530">
        <v>11642</v>
      </c>
      <c r="Y158" s="296">
        <v>2020003630015</v>
      </c>
      <c r="Z158" s="28" t="s">
        <v>626</v>
      </c>
      <c r="AA158" s="297" t="s">
        <v>627</v>
      </c>
      <c r="AB158" s="44"/>
      <c r="AC158" s="44"/>
      <c r="AD158" s="44"/>
      <c r="AE158" s="44"/>
      <c r="AF158" s="44"/>
      <c r="AG158" s="44"/>
      <c r="AH158" s="44"/>
      <c r="AI158" s="44"/>
      <c r="AJ158" s="44"/>
      <c r="AK158" s="44"/>
      <c r="AL158" s="44"/>
      <c r="AM158" s="44"/>
      <c r="AN158" s="44"/>
      <c r="AO158" s="44"/>
      <c r="AP158" s="44"/>
      <c r="AQ158" s="44"/>
      <c r="AR158" s="44"/>
      <c r="AS158" s="44"/>
      <c r="AT158" s="354">
        <v>10000000</v>
      </c>
      <c r="AU158" s="108">
        <v>9000000</v>
      </c>
      <c r="AV158" s="108">
        <v>9000000</v>
      </c>
      <c r="AW158" s="361"/>
      <c r="AX158" s="44"/>
      <c r="AY158" s="44"/>
      <c r="AZ158" s="358"/>
      <c r="BA158" s="44"/>
      <c r="BB158" s="44"/>
      <c r="BC158" s="361"/>
      <c r="BD158" s="44"/>
      <c r="BE158" s="44"/>
      <c r="BF158" s="298">
        <f t="shared" si="8"/>
        <v>10000000</v>
      </c>
      <c r="BG158" s="298">
        <f t="shared" si="9"/>
        <v>9000000</v>
      </c>
      <c r="BH158" s="298">
        <f t="shared" si="10"/>
        <v>9000000</v>
      </c>
      <c r="BI158" s="386" t="s">
        <v>1482</v>
      </c>
      <c r="BK158" s="34"/>
      <c r="BL158" s="34"/>
    </row>
    <row r="159" spans="1:64" s="16" customFormat="1" ht="117" customHeight="1" x14ac:dyDescent="0.2">
      <c r="A159" s="29">
        <v>314</v>
      </c>
      <c r="B159" s="325" t="s">
        <v>1204</v>
      </c>
      <c r="C159" s="29">
        <v>1</v>
      </c>
      <c r="D159" s="325" t="s">
        <v>1201</v>
      </c>
      <c r="E159" s="29">
        <v>22</v>
      </c>
      <c r="F159" s="325" t="s">
        <v>124</v>
      </c>
      <c r="G159" s="29">
        <v>2201</v>
      </c>
      <c r="H159" s="325" t="s">
        <v>229</v>
      </c>
      <c r="I159" s="29">
        <v>2201</v>
      </c>
      <c r="J159" s="30" t="s">
        <v>1242</v>
      </c>
      <c r="K159" s="297" t="s">
        <v>623</v>
      </c>
      <c r="L159" s="29">
        <v>2201034</v>
      </c>
      <c r="M159" s="30" t="s">
        <v>628</v>
      </c>
      <c r="N159" s="29">
        <v>2201034</v>
      </c>
      <c r="O159" s="30" t="s">
        <v>628</v>
      </c>
      <c r="P159" s="192">
        <v>220103401</v>
      </c>
      <c r="Q159" s="295" t="s">
        <v>629</v>
      </c>
      <c r="R159" s="192">
        <v>220103401</v>
      </c>
      <c r="S159" s="295" t="s">
        <v>629</v>
      </c>
      <c r="T159" s="299" t="s">
        <v>1469</v>
      </c>
      <c r="U159" s="311">
        <v>54</v>
      </c>
      <c r="V159" s="311"/>
      <c r="W159" s="328">
        <f t="shared" si="11"/>
        <v>54</v>
      </c>
      <c r="X159" s="530">
        <v>38</v>
      </c>
      <c r="Y159" s="296">
        <v>2020003630015</v>
      </c>
      <c r="Z159" s="28" t="s">
        <v>626</v>
      </c>
      <c r="AA159" s="297" t="s">
        <v>627</v>
      </c>
      <c r="AB159" s="44"/>
      <c r="AC159" s="44"/>
      <c r="AD159" s="44"/>
      <c r="AE159" s="44"/>
      <c r="AF159" s="44"/>
      <c r="AG159" s="44"/>
      <c r="AH159" s="44"/>
      <c r="AI159" s="44"/>
      <c r="AJ159" s="44"/>
      <c r="AK159" s="44"/>
      <c r="AL159" s="44"/>
      <c r="AM159" s="44"/>
      <c r="AN159" s="44"/>
      <c r="AO159" s="44"/>
      <c r="AP159" s="44"/>
      <c r="AQ159" s="44"/>
      <c r="AR159" s="44"/>
      <c r="AS159" s="44"/>
      <c r="AT159" s="354">
        <v>10000000</v>
      </c>
      <c r="AU159" s="108">
        <v>8655000</v>
      </c>
      <c r="AV159" s="108">
        <v>8655000</v>
      </c>
      <c r="AW159" s="361"/>
      <c r="AX159" s="44"/>
      <c r="AY159" s="44"/>
      <c r="AZ159" s="358"/>
      <c r="BA159" s="44"/>
      <c r="BB159" s="44"/>
      <c r="BC159" s="361"/>
      <c r="BD159" s="44"/>
      <c r="BE159" s="44"/>
      <c r="BF159" s="298">
        <f t="shared" si="8"/>
        <v>10000000</v>
      </c>
      <c r="BG159" s="298">
        <f t="shared" si="9"/>
        <v>8655000</v>
      </c>
      <c r="BH159" s="298">
        <f t="shared" si="10"/>
        <v>8655000</v>
      </c>
      <c r="BI159" s="386" t="s">
        <v>1482</v>
      </c>
      <c r="BK159" s="34"/>
      <c r="BL159" s="34"/>
    </row>
    <row r="160" spans="1:64" s="16" customFormat="1" ht="117" customHeight="1" x14ac:dyDescent="0.2">
      <c r="A160" s="29">
        <v>314</v>
      </c>
      <c r="B160" s="325" t="s">
        <v>1204</v>
      </c>
      <c r="C160" s="29">
        <v>1</v>
      </c>
      <c r="D160" s="325" t="s">
        <v>1201</v>
      </c>
      <c r="E160" s="29">
        <v>22</v>
      </c>
      <c r="F160" s="325" t="s">
        <v>124</v>
      </c>
      <c r="G160" s="29">
        <v>2201</v>
      </c>
      <c r="H160" s="325" t="s">
        <v>229</v>
      </c>
      <c r="I160" s="29">
        <v>2201</v>
      </c>
      <c r="J160" s="30" t="s">
        <v>1242</v>
      </c>
      <c r="K160" s="297" t="s">
        <v>623</v>
      </c>
      <c r="L160" s="29">
        <v>2201060</v>
      </c>
      <c r="M160" s="30" t="s">
        <v>630</v>
      </c>
      <c r="N160" s="29">
        <v>2201060</v>
      </c>
      <c r="O160" s="30" t="s">
        <v>630</v>
      </c>
      <c r="P160" s="107">
        <v>220106000</v>
      </c>
      <c r="Q160" s="295" t="s">
        <v>631</v>
      </c>
      <c r="R160" s="107">
        <v>220106000</v>
      </c>
      <c r="S160" s="295" t="s">
        <v>631</v>
      </c>
      <c r="T160" s="299" t="s">
        <v>1470</v>
      </c>
      <c r="U160" s="311">
        <v>150</v>
      </c>
      <c r="V160" s="311">
        <v>47</v>
      </c>
      <c r="W160" s="328">
        <f t="shared" si="11"/>
        <v>197</v>
      </c>
      <c r="X160" s="530">
        <v>148</v>
      </c>
      <c r="Y160" s="296">
        <v>2020003630015</v>
      </c>
      <c r="Z160" s="28" t="s">
        <v>626</v>
      </c>
      <c r="AA160" s="297" t="s">
        <v>627</v>
      </c>
      <c r="AB160" s="44"/>
      <c r="AC160" s="44"/>
      <c r="AD160" s="44"/>
      <c r="AE160" s="44"/>
      <c r="AF160" s="44"/>
      <c r="AG160" s="44"/>
      <c r="AH160" s="44"/>
      <c r="AI160" s="44"/>
      <c r="AJ160" s="44"/>
      <c r="AK160" s="44"/>
      <c r="AL160" s="44"/>
      <c r="AM160" s="44"/>
      <c r="AN160" s="44"/>
      <c r="AO160" s="44"/>
      <c r="AP160" s="44"/>
      <c r="AQ160" s="44"/>
      <c r="AR160" s="44"/>
      <c r="AS160" s="44"/>
      <c r="AT160" s="354">
        <f>10000000-5000000</f>
        <v>5000000</v>
      </c>
      <c r="AU160" s="108">
        <v>0</v>
      </c>
      <c r="AV160" s="108">
        <v>0</v>
      </c>
      <c r="AW160" s="361"/>
      <c r="AX160" s="44"/>
      <c r="AY160" s="44"/>
      <c r="AZ160" s="358"/>
      <c r="BA160" s="44"/>
      <c r="BB160" s="44"/>
      <c r="BC160" s="361"/>
      <c r="BD160" s="44"/>
      <c r="BE160" s="44"/>
      <c r="BF160" s="298">
        <f t="shared" si="8"/>
        <v>5000000</v>
      </c>
      <c r="BG160" s="298">
        <f t="shared" si="9"/>
        <v>0</v>
      </c>
      <c r="BH160" s="298">
        <f t="shared" si="10"/>
        <v>0</v>
      </c>
      <c r="BI160" s="386" t="s">
        <v>1482</v>
      </c>
      <c r="BK160" s="34"/>
      <c r="BL160" s="34"/>
    </row>
    <row r="161" spans="1:64" s="16" customFormat="1" ht="117" customHeight="1" x14ac:dyDescent="0.2">
      <c r="A161" s="29">
        <v>314</v>
      </c>
      <c r="B161" s="325" t="s">
        <v>1204</v>
      </c>
      <c r="C161" s="29">
        <v>1</v>
      </c>
      <c r="D161" s="325" t="s">
        <v>1201</v>
      </c>
      <c r="E161" s="29">
        <v>22</v>
      </c>
      <c r="F161" s="325" t="s">
        <v>124</v>
      </c>
      <c r="G161" s="29">
        <v>2201</v>
      </c>
      <c r="H161" s="325" t="s">
        <v>229</v>
      </c>
      <c r="I161" s="29">
        <v>2201</v>
      </c>
      <c r="J161" s="30" t="s">
        <v>1242</v>
      </c>
      <c r="K161" s="297" t="s">
        <v>604</v>
      </c>
      <c r="L161" s="29">
        <v>2201001</v>
      </c>
      <c r="M161" s="30" t="s">
        <v>193</v>
      </c>
      <c r="N161" s="29">
        <v>2201001</v>
      </c>
      <c r="O161" s="30" t="s">
        <v>193</v>
      </c>
      <c r="P161" s="192">
        <v>220100100</v>
      </c>
      <c r="Q161" s="295" t="s">
        <v>622</v>
      </c>
      <c r="R161" s="192">
        <v>220100100</v>
      </c>
      <c r="S161" s="295" t="s">
        <v>622</v>
      </c>
      <c r="T161" s="299" t="s">
        <v>1469</v>
      </c>
      <c r="U161" s="311">
        <v>5</v>
      </c>
      <c r="V161" s="311"/>
      <c r="W161" s="328">
        <f t="shared" si="11"/>
        <v>5</v>
      </c>
      <c r="X161" s="530">
        <v>5</v>
      </c>
      <c r="Y161" s="296">
        <v>2020003630095</v>
      </c>
      <c r="Z161" s="28" t="s">
        <v>632</v>
      </c>
      <c r="AA161" s="286" t="s">
        <v>633</v>
      </c>
      <c r="AB161" s="44"/>
      <c r="AC161" s="44"/>
      <c r="AD161" s="44"/>
      <c r="AE161" s="44"/>
      <c r="AF161" s="44"/>
      <c r="AG161" s="44"/>
      <c r="AH161" s="44"/>
      <c r="AI161" s="44"/>
      <c r="AJ161" s="44"/>
      <c r="AK161" s="44"/>
      <c r="AL161" s="44"/>
      <c r="AM161" s="44"/>
      <c r="AN161" s="44"/>
      <c r="AO161" s="44"/>
      <c r="AP161" s="44"/>
      <c r="AQ161" s="44"/>
      <c r="AR161" s="44"/>
      <c r="AS161" s="44"/>
      <c r="AT161" s="354">
        <f>9000000+15149600</f>
        <v>24149600</v>
      </c>
      <c r="AU161" s="108">
        <v>18000000</v>
      </c>
      <c r="AV161" s="108">
        <v>9000000</v>
      </c>
      <c r="AW161" s="361"/>
      <c r="AX161" s="44"/>
      <c r="AY161" s="44"/>
      <c r="AZ161" s="358"/>
      <c r="BA161" s="44"/>
      <c r="BB161" s="44"/>
      <c r="BC161" s="361"/>
      <c r="BD161" s="44"/>
      <c r="BE161" s="44"/>
      <c r="BF161" s="298">
        <f t="shared" si="8"/>
        <v>24149600</v>
      </c>
      <c r="BG161" s="298">
        <f t="shared" si="9"/>
        <v>18000000</v>
      </c>
      <c r="BH161" s="298">
        <f t="shared" si="10"/>
        <v>9000000</v>
      </c>
      <c r="BI161" s="386" t="s">
        <v>1482</v>
      </c>
      <c r="BK161" s="34"/>
      <c r="BL161" s="34"/>
    </row>
    <row r="162" spans="1:64" s="26" customFormat="1" ht="117" customHeight="1" x14ac:dyDescent="0.25">
      <c r="A162" s="29">
        <v>314</v>
      </c>
      <c r="B162" s="325" t="s">
        <v>1204</v>
      </c>
      <c r="C162" s="29">
        <v>1</v>
      </c>
      <c r="D162" s="325" t="s">
        <v>1201</v>
      </c>
      <c r="E162" s="29">
        <v>22</v>
      </c>
      <c r="F162" s="325" t="s">
        <v>124</v>
      </c>
      <c r="G162" s="29">
        <v>2201</v>
      </c>
      <c r="H162" s="325" t="s">
        <v>229</v>
      </c>
      <c r="I162" s="29">
        <v>2201</v>
      </c>
      <c r="J162" s="30" t="s">
        <v>1242</v>
      </c>
      <c r="K162" s="297" t="s">
        <v>557</v>
      </c>
      <c r="L162" s="29">
        <v>2201048</v>
      </c>
      <c r="M162" s="30" t="s">
        <v>634</v>
      </c>
      <c r="N162" s="29">
        <v>2201048</v>
      </c>
      <c r="O162" s="30" t="s">
        <v>634</v>
      </c>
      <c r="P162" s="192">
        <v>220104801</v>
      </c>
      <c r="Q162" s="295" t="s">
        <v>635</v>
      </c>
      <c r="R162" s="192">
        <v>220104801</v>
      </c>
      <c r="S162" s="295" t="s">
        <v>635</v>
      </c>
      <c r="T162" s="299" t="s">
        <v>1469</v>
      </c>
      <c r="U162" s="311">
        <v>1</v>
      </c>
      <c r="V162" s="311"/>
      <c r="W162" s="328">
        <f t="shared" si="11"/>
        <v>1</v>
      </c>
      <c r="X162" s="530">
        <v>1</v>
      </c>
      <c r="Y162" s="296">
        <v>2020003630095</v>
      </c>
      <c r="Z162" s="28" t="s">
        <v>632</v>
      </c>
      <c r="AA162" s="286" t="s">
        <v>633</v>
      </c>
      <c r="AB162" s="44"/>
      <c r="AC162" s="44"/>
      <c r="AD162" s="44"/>
      <c r="AE162" s="44"/>
      <c r="AF162" s="44"/>
      <c r="AG162" s="44"/>
      <c r="AH162" s="44"/>
      <c r="AI162" s="44"/>
      <c r="AJ162" s="44"/>
      <c r="AK162" s="44"/>
      <c r="AL162" s="44"/>
      <c r="AM162" s="44"/>
      <c r="AN162" s="44"/>
      <c r="AO162" s="44"/>
      <c r="AP162" s="44"/>
      <c r="AQ162" s="44"/>
      <c r="AR162" s="44"/>
      <c r="AS162" s="44"/>
      <c r="AT162" s="354">
        <v>9000000</v>
      </c>
      <c r="AU162" s="108">
        <v>9000000</v>
      </c>
      <c r="AV162" s="108">
        <v>9000000</v>
      </c>
      <c r="AW162" s="361"/>
      <c r="AX162" s="44"/>
      <c r="AY162" s="44"/>
      <c r="AZ162" s="358"/>
      <c r="BA162" s="44"/>
      <c r="BB162" s="44"/>
      <c r="BC162" s="361"/>
      <c r="BD162" s="44"/>
      <c r="BE162" s="44"/>
      <c r="BF162" s="298">
        <f t="shared" si="8"/>
        <v>9000000</v>
      </c>
      <c r="BG162" s="298">
        <f t="shared" si="9"/>
        <v>9000000</v>
      </c>
      <c r="BH162" s="298">
        <f t="shared" si="10"/>
        <v>9000000</v>
      </c>
      <c r="BI162" s="386" t="s">
        <v>1482</v>
      </c>
      <c r="BL162" s="34"/>
    </row>
    <row r="163" spans="1:64" s="26" customFormat="1" ht="117" customHeight="1" x14ac:dyDescent="0.25">
      <c r="A163" s="29">
        <v>314</v>
      </c>
      <c r="B163" s="325" t="s">
        <v>1204</v>
      </c>
      <c r="C163" s="29">
        <v>1</v>
      </c>
      <c r="D163" s="325" t="s">
        <v>1201</v>
      </c>
      <c r="E163" s="29">
        <v>22</v>
      </c>
      <c r="F163" s="325" t="s">
        <v>124</v>
      </c>
      <c r="G163" s="29" t="s">
        <v>31</v>
      </c>
      <c r="H163" s="325" t="s">
        <v>1219</v>
      </c>
      <c r="I163" s="29">
        <v>2202</v>
      </c>
      <c r="J163" s="30" t="s">
        <v>1220</v>
      </c>
      <c r="K163" s="297" t="s">
        <v>636</v>
      </c>
      <c r="L163" s="29" t="s">
        <v>31</v>
      </c>
      <c r="M163" s="30" t="s">
        <v>637</v>
      </c>
      <c r="N163" s="29">
        <v>2202006</v>
      </c>
      <c r="O163" s="30" t="s">
        <v>637</v>
      </c>
      <c r="P163" s="29" t="s">
        <v>31</v>
      </c>
      <c r="Q163" s="295" t="s">
        <v>638</v>
      </c>
      <c r="R163" s="29">
        <v>220200604</v>
      </c>
      <c r="S163" s="295" t="s">
        <v>639</v>
      </c>
      <c r="T163" s="299" t="s">
        <v>1469</v>
      </c>
      <c r="U163" s="311">
        <v>2</v>
      </c>
      <c r="V163" s="311"/>
      <c r="W163" s="328">
        <f t="shared" si="11"/>
        <v>2</v>
      </c>
      <c r="X163" s="530">
        <v>2</v>
      </c>
      <c r="Y163" s="296">
        <v>2020003630096</v>
      </c>
      <c r="Z163" s="28" t="s">
        <v>640</v>
      </c>
      <c r="AA163" s="297" t="s">
        <v>641</v>
      </c>
      <c r="AB163" s="44"/>
      <c r="AC163" s="44"/>
      <c r="AD163" s="44"/>
      <c r="AE163" s="44">
        <v>50011354</v>
      </c>
      <c r="AF163" s="44">
        <v>0</v>
      </c>
      <c r="AG163" s="44">
        <v>0</v>
      </c>
      <c r="AH163" s="44"/>
      <c r="AI163" s="44"/>
      <c r="AJ163" s="44"/>
      <c r="AK163" s="44"/>
      <c r="AL163" s="44"/>
      <c r="AM163" s="44"/>
      <c r="AN163" s="133"/>
      <c r="AO163" s="133"/>
      <c r="AP163" s="133"/>
      <c r="AQ163" s="44"/>
      <c r="AR163" s="44"/>
      <c r="AS163" s="44"/>
      <c r="AT163" s="356">
        <f>100000000+2000000000-2000000000</f>
        <v>100000000</v>
      </c>
      <c r="AU163" s="42">
        <v>74837829</v>
      </c>
      <c r="AV163" s="42">
        <v>74837829</v>
      </c>
      <c r="AW163" s="361"/>
      <c r="AX163" s="44"/>
      <c r="AY163" s="44"/>
      <c r="AZ163" s="358"/>
      <c r="BA163" s="44"/>
      <c r="BB163" s="44"/>
      <c r="BC163" s="361"/>
      <c r="BD163" s="44"/>
      <c r="BE163" s="44"/>
      <c r="BF163" s="298">
        <f t="shared" si="8"/>
        <v>150011354</v>
      </c>
      <c r="BG163" s="298">
        <f t="shared" si="9"/>
        <v>74837829</v>
      </c>
      <c r="BH163" s="298">
        <f t="shared" si="10"/>
        <v>74837829</v>
      </c>
      <c r="BI163" s="386" t="s">
        <v>1482</v>
      </c>
      <c r="BL163" s="34"/>
    </row>
    <row r="164" spans="1:64" s="16" customFormat="1" ht="117" customHeight="1" x14ac:dyDescent="0.2">
      <c r="A164" s="29">
        <v>314</v>
      </c>
      <c r="B164" s="325" t="s">
        <v>1204</v>
      </c>
      <c r="C164" s="29">
        <v>2</v>
      </c>
      <c r="D164" s="325" t="s">
        <v>1197</v>
      </c>
      <c r="E164" s="29">
        <v>39</v>
      </c>
      <c r="F164" s="325" t="s">
        <v>1138</v>
      </c>
      <c r="G164" s="29">
        <v>3904</v>
      </c>
      <c r="H164" s="325" t="s">
        <v>1367</v>
      </c>
      <c r="I164" s="29">
        <v>3904</v>
      </c>
      <c r="J164" s="30" t="s">
        <v>1263</v>
      </c>
      <c r="K164" s="297" t="s">
        <v>643</v>
      </c>
      <c r="L164" s="29">
        <v>3904006</v>
      </c>
      <c r="M164" s="30" t="s">
        <v>644</v>
      </c>
      <c r="N164" s="29">
        <v>3904006</v>
      </c>
      <c r="O164" s="30" t="s">
        <v>644</v>
      </c>
      <c r="P164" s="300">
        <v>390400604</v>
      </c>
      <c r="Q164" s="295" t="s">
        <v>645</v>
      </c>
      <c r="R164" s="300">
        <v>390400604</v>
      </c>
      <c r="S164" s="295" t="s">
        <v>646</v>
      </c>
      <c r="T164" s="299" t="s">
        <v>1470</v>
      </c>
      <c r="U164" s="311">
        <v>18</v>
      </c>
      <c r="V164" s="311"/>
      <c r="W164" s="328">
        <f t="shared" si="11"/>
        <v>18</v>
      </c>
      <c r="X164" s="530">
        <v>18</v>
      </c>
      <c r="Y164" s="296">
        <v>2020003630097</v>
      </c>
      <c r="Z164" s="28" t="s">
        <v>647</v>
      </c>
      <c r="AA164" s="297" t="s">
        <v>648</v>
      </c>
      <c r="AB164" s="44"/>
      <c r="AC164" s="44"/>
      <c r="AD164" s="44"/>
      <c r="AE164" s="44">
        <f>15000000-10000000</f>
        <v>5000000</v>
      </c>
      <c r="AF164" s="44"/>
      <c r="AG164" s="44"/>
      <c r="AH164" s="44"/>
      <c r="AI164" s="44"/>
      <c r="AJ164" s="44"/>
      <c r="AK164" s="44"/>
      <c r="AL164" s="44"/>
      <c r="AM164" s="44"/>
      <c r="AN164" s="133"/>
      <c r="AO164" s="133"/>
      <c r="AP164" s="133"/>
      <c r="AQ164" s="44"/>
      <c r="AR164" s="44"/>
      <c r="AS164" s="44"/>
      <c r="AT164" s="356">
        <f>7500000+5014678</f>
        <v>12514678</v>
      </c>
      <c r="AU164" s="42">
        <v>0</v>
      </c>
      <c r="AV164" s="42">
        <v>0</v>
      </c>
      <c r="AW164" s="361"/>
      <c r="AX164" s="44"/>
      <c r="AY164" s="44"/>
      <c r="AZ164" s="358"/>
      <c r="BA164" s="44"/>
      <c r="BB164" s="44"/>
      <c r="BC164" s="361"/>
      <c r="BD164" s="44"/>
      <c r="BE164" s="44"/>
      <c r="BF164" s="298">
        <f t="shared" ref="BF164:BF227" si="12">AB164+AE164+AH164+AK164+AN164+AQ164+AT164+AW164+BC164</f>
        <v>17514678</v>
      </c>
      <c r="BG164" s="298">
        <f t="shared" ref="BG164:BG227" si="13">AC164+AF164+AI164+AL164+AO164+AR164+AU164+AX164+BD164</f>
        <v>0</v>
      </c>
      <c r="BH164" s="298">
        <f t="shared" ref="BH164:BH227" si="14">AD164+AG164+AJ164+AM164+AP164+AS164+AV164+AY164+BE164</f>
        <v>0</v>
      </c>
      <c r="BI164" s="386" t="s">
        <v>1482</v>
      </c>
      <c r="BK164" s="34"/>
      <c r="BL164" s="34"/>
    </row>
    <row r="165" spans="1:64" s="16" customFormat="1" ht="204.75" customHeight="1" x14ac:dyDescent="0.2">
      <c r="A165" s="29">
        <v>316</v>
      </c>
      <c r="B165" s="325" t="s">
        <v>1205</v>
      </c>
      <c r="C165" s="29">
        <v>1</v>
      </c>
      <c r="D165" s="325" t="s">
        <v>1201</v>
      </c>
      <c r="E165" s="29">
        <v>19</v>
      </c>
      <c r="F165" s="325" t="s">
        <v>122</v>
      </c>
      <c r="G165" s="29">
        <v>1905</v>
      </c>
      <c r="H165" s="325" t="s">
        <v>650</v>
      </c>
      <c r="I165" s="29">
        <v>1905</v>
      </c>
      <c r="J165" s="30" t="s">
        <v>1264</v>
      </c>
      <c r="K165" s="297" t="s">
        <v>651</v>
      </c>
      <c r="L165" s="192">
        <v>1905021</v>
      </c>
      <c r="M165" s="30" t="s">
        <v>652</v>
      </c>
      <c r="N165" s="192">
        <v>1905021</v>
      </c>
      <c r="O165" s="30" t="s">
        <v>652</v>
      </c>
      <c r="P165" s="192">
        <v>190502100</v>
      </c>
      <c r="Q165" s="295" t="s">
        <v>653</v>
      </c>
      <c r="R165" s="192">
        <v>190502100</v>
      </c>
      <c r="S165" s="295" t="s">
        <v>653</v>
      </c>
      <c r="T165" s="299" t="s">
        <v>1469</v>
      </c>
      <c r="U165" s="311">
        <v>12</v>
      </c>
      <c r="V165" s="311"/>
      <c r="W165" s="328">
        <f t="shared" si="11"/>
        <v>12</v>
      </c>
      <c r="X165" s="530">
        <v>9</v>
      </c>
      <c r="Y165" s="296">
        <v>2020003630011</v>
      </c>
      <c r="Z165" s="28" t="s">
        <v>1383</v>
      </c>
      <c r="AA165" s="286" t="s">
        <v>1384</v>
      </c>
      <c r="AB165" s="44"/>
      <c r="AC165" s="44"/>
      <c r="AD165" s="44"/>
      <c r="AE165" s="44"/>
      <c r="AF165" s="44"/>
      <c r="AG165" s="44"/>
      <c r="AH165" s="44"/>
      <c r="AI165" s="44"/>
      <c r="AJ165" s="44"/>
      <c r="AK165" s="44"/>
      <c r="AL165" s="44"/>
      <c r="AM165" s="44"/>
      <c r="AN165" s="44"/>
      <c r="AO165" s="44"/>
      <c r="AP165" s="44"/>
      <c r="AQ165" s="44"/>
      <c r="AR165" s="44"/>
      <c r="AS165" s="44"/>
      <c r="AT165" s="356">
        <f>100000000-12000000-8000000+12000000</f>
        <v>92000000</v>
      </c>
      <c r="AU165" s="42">
        <v>91409999</v>
      </c>
      <c r="AV165" s="42">
        <v>60183000</v>
      </c>
      <c r="AW165" s="361"/>
      <c r="AX165" s="44"/>
      <c r="AY165" s="44"/>
      <c r="AZ165" s="358"/>
      <c r="BA165" s="44"/>
      <c r="BB165" s="44"/>
      <c r="BC165" s="361"/>
      <c r="BD165" s="44"/>
      <c r="BE165" s="44"/>
      <c r="BF165" s="298">
        <f t="shared" si="12"/>
        <v>92000000</v>
      </c>
      <c r="BG165" s="298">
        <f t="shared" si="13"/>
        <v>91409999</v>
      </c>
      <c r="BH165" s="298">
        <f t="shared" si="14"/>
        <v>60183000</v>
      </c>
      <c r="BI165" s="386" t="s">
        <v>1481</v>
      </c>
      <c r="BK165" s="34"/>
      <c r="BL165" s="34"/>
    </row>
    <row r="166" spans="1:64" s="16" customFormat="1" ht="204.75" customHeight="1" x14ac:dyDescent="0.2">
      <c r="A166" s="29">
        <v>316</v>
      </c>
      <c r="B166" s="325" t="s">
        <v>1205</v>
      </c>
      <c r="C166" s="29">
        <v>1</v>
      </c>
      <c r="D166" s="325" t="s">
        <v>1201</v>
      </c>
      <c r="E166" s="29">
        <v>19</v>
      </c>
      <c r="F166" s="325" t="s">
        <v>122</v>
      </c>
      <c r="G166" s="29">
        <v>1905</v>
      </c>
      <c r="H166" s="325" t="s">
        <v>650</v>
      </c>
      <c r="I166" s="29">
        <v>1905</v>
      </c>
      <c r="J166" s="30" t="s">
        <v>1264</v>
      </c>
      <c r="K166" s="297" t="s">
        <v>655</v>
      </c>
      <c r="L166" s="304">
        <v>1905022</v>
      </c>
      <c r="M166" s="303" t="s">
        <v>656</v>
      </c>
      <c r="N166" s="304">
        <v>1905022</v>
      </c>
      <c r="O166" s="303" t="s">
        <v>656</v>
      </c>
      <c r="P166" s="300">
        <v>190502200</v>
      </c>
      <c r="Q166" s="295" t="s">
        <v>657</v>
      </c>
      <c r="R166" s="300">
        <v>190502200</v>
      </c>
      <c r="S166" s="295" t="s">
        <v>657</v>
      </c>
      <c r="T166" s="299" t="s">
        <v>1469</v>
      </c>
      <c r="U166" s="311">
        <v>12</v>
      </c>
      <c r="V166" s="311"/>
      <c r="W166" s="328">
        <f t="shared" si="11"/>
        <v>12</v>
      </c>
      <c r="X166" s="530">
        <v>9</v>
      </c>
      <c r="Y166" s="296">
        <v>2020003630011</v>
      </c>
      <c r="Z166" s="28" t="s">
        <v>1383</v>
      </c>
      <c r="AA166" s="286" t="s">
        <v>1384</v>
      </c>
      <c r="AB166" s="44"/>
      <c r="AC166" s="44"/>
      <c r="AD166" s="44"/>
      <c r="AE166" s="44"/>
      <c r="AF166" s="44"/>
      <c r="AG166" s="44"/>
      <c r="AH166" s="44"/>
      <c r="AI166" s="44"/>
      <c r="AJ166" s="44"/>
      <c r="AK166" s="44"/>
      <c r="AL166" s="44"/>
      <c r="AM166" s="44"/>
      <c r="AN166" s="44"/>
      <c r="AO166" s="44"/>
      <c r="AP166" s="44"/>
      <c r="AQ166" s="44"/>
      <c r="AR166" s="44"/>
      <c r="AS166" s="44"/>
      <c r="AT166" s="356">
        <f>75000000-20000000+35005000</f>
        <v>90005000</v>
      </c>
      <c r="AU166" s="42">
        <v>87890000</v>
      </c>
      <c r="AV166" s="42">
        <v>63724500</v>
      </c>
      <c r="AW166" s="361"/>
      <c r="AX166" s="44"/>
      <c r="AY166" s="44"/>
      <c r="AZ166" s="358"/>
      <c r="BA166" s="44"/>
      <c r="BB166" s="44"/>
      <c r="BC166" s="361"/>
      <c r="BD166" s="44"/>
      <c r="BE166" s="44"/>
      <c r="BF166" s="298">
        <f t="shared" si="12"/>
        <v>90005000</v>
      </c>
      <c r="BG166" s="298">
        <f t="shared" si="13"/>
        <v>87890000</v>
      </c>
      <c r="BH166" s="298">
        <f t="shared" si="14"/>
        <v>63724500</v>
      </c>
      <c r="BI166" s="386" t="s">
        <v>1481</v>
      </c>
      <c r="BK166" s="34"/>
      <c r="BL166" s="34"/>
    </row>
    <row r="167" spans="1:64" s="16" customFormat="1" ht="117" customHeight="1" x14ac:dyDescent="0.2">
      <c r="A167" s="29">
        <v>316</v>
      </c>
      <c r="B167" s="325" t="s">
        <v>1205</v>
      </c>
      <c r="C167" s="29">
        <v>1</v>
      </c>
      <c r="D167" s="325" t="s">
        <v>1201</v>
      </c>
      <c r="E167" s="29">
        <v>33</v>
      </c>
      <c r="F167" s="325" t="s">
        <v>132</v>
      </c>
      <c r="G167" s="29">
        <v>3301</v>
      </c>
      <c r="H167" s="325" t="s">
        <v>133</v>
      </c>
      <c r="I167" s="29">
        <v>3301</v>
      </c>
      <c r="J167" s="30" t="s">
        <v>1251</v>
      </c>
      <c r="K167" s="297" t="s">
        <v>1160</v>
      </c>
      <c r="L167" s="192">
        <v>3301051</v>
      </c>
      <c r="M167" s="30" t="s">
        <v>658</v>
      </c>
      <c r="N167" s="192">
        <v>3301051</v>
      </c>
      <c r="O167" s="30" t="s">
        <v>658</v>
      </c>
      <c r="P167" s="192">
        <v>330105110</v>
      </c>
      <c r="Q167" s="295" t="s">
        <v>659</v>
      </c>
      <c r="R167" s="192">
        <v>330105110</v>
      </c>
      <c r="S167" s="295" t="s">
        <v>659</v>
      </c>
      <c r="T167" s="299" t="s">
        <v>1470</v>
      </c>
      <c r="U167" s="311">
        <v>350</v>
      </c>
      <c r="V167" s="311"/>
      <c r="W167" s="328">
        <f t="shared" si="11"/>
        <v>350</v>
      </c>
      <c r="X167" s="530">
        <v>270</v>
      </c>
      <c r="Y167" s="296">
        <v>2020003630098</v>
      </c>
      <c r="Z167" s="28" t="s">
        <v>1168</v>
      </c>
      <c r="AA167" s="297" t="s">
        <v>660</v>
      </c>
      <c r="AB167" s="44"/>
      <c r="AC167" s="44"/>
      <c r="AD167" s="44"/>
      <c r="AE167" s="44"/>
      <c r="AF167" s="44"/>
      <c r="AG167" s="44"/>
      <c r="AH167" s="44"/>
      <c r="AI167" s="44"/>
      <c r="AJ167" s="44"/>
      <c r="AK167" s="44"/>
      <c r="AL167" s="44"/>
      <c r="AM167" s="44"/>
      <c r="AN167" s="44"/>
      <c r="AO167" s="44"/>
      <c r="AP167" s="44"/>
      <c r="AQ167" s="44"/>
      <c r="AR167" s="44"/>
      <c r="AS167" s="44"/>
      <c r="AT167" s="356">
        <f>14250000+14600000</f>
        <v>28850000</v>
      </c>
      <c r="AU167" s="42">
        <v>28850000</v>
      </c>
      <c r="AV167" s="42">
        <v>20195000</v>
      </c>
      <c r="AW167" s="361"/>
      <c r="AX167" s="44"/>
      <c r="AY167" s="44"/>
      <c r="AZ167" s="358"/>
      <c r="BA167" s="44"/>
      <c r="BB167" s="44"/>
      <c r="BC167" s="361"/>
      <c r="BD167" s="44"/>
      <c r="BE167" s="44"/>
      <c r="BF167" s="298">
        <f t="shared" si="12"/>
        <v>28850000</v>
      </c>
      <c r="BG167" s="298">
        <f t="shared" si="13"/>
        <v>28850000</v>
      </c>
      <c r="BH167" s="298">
        <f t="shared" si="14"/>
        <v>20195000</v>
      </c>
      <c r="BI167" s="386" t="s">
        <v>1481</v>
      </c>
      <c r="BK167" s="34"/>
      <c r="BL167" s="34"/>
    </row>
    <row r="168" spans="1:64" s="16" customFormat="1" ht="117" customHeight="1" x14ac:dyDescent="0.2">
      <c r="A168" s="29">
        <v>316</v>
      </c>
      <c r="B168" s="325" t="s">
        <v>1205</v>
      </c>
      <c r="C168" s="29">
        <v>1</v>
      </c>
      <c r="D168" s="325" t="s">
        <v>1201</v>
      </c>
      <c r="E168" s="29">
        <v>41</v>
      </c>
      <c r="F168" s="325" t="s">
        <v>661</v>
      </c>
      <c r="G168" s="29">
        <v>4102</v>
      </c>
      <c r="H168" s="325" t="s">
        <v>662</v>
      </c>
      <c r="I168" s="29">
        <v>4102</v>
      </c>
      <c r="J168" s="30" t="s">
        <v>1221</v>
      </c>
      <c r="K168" s="297" t="s">
        <v>663</v>
      </c>
      <c r="L168" s="29" t="s">
        <v>31</v>
      </c>
      <c r="M168" s="30" t="s">
        <v>664</v>
      </c>
      <c r="N168" s="192">
        <v>4102035</v>
      </c>
      <c r="O168" s="30" t="s">
        <v>68</v>
      </c>
      <c r="P168" s="29" t="s">
        <v>31</v>
      </c>
      <c r="Q168" s="295" t="s">
        <v>665</v>
      </c>
      <c r="R168" s="287">
        <v>410203500</v>
      </c>
      <c r="S168" s="295" t="s">
        <v>70</v>
      </c>
      <c r="T168" s="299" t="s">
        <v>1469</v>
      </c>
      <c r="U168" s="342">
        <v>1</v>
      </c>
      <c r="V168" s="342"/>
      <c r="W168" s="328">
        <f t="shared" si="11"/>
        <v>1</v>
      </c>
      <c r="X168" s="539">
        <v>0.75</v>
      </c>
      <c r="Y168" s="296">
        <v>2020003630099</v>
      </c>
      <c r="Z168" s="28" t="s">
        <v>1382</v>
      </c>
      <c r="AA168" s="297" t="s">
        <v>666</v>
      </c>
      <c r="AB168" s="44"/>
      <c r="AC168" s="44"/>
      <c r="AD168" s="44"/>
      <c r="AE168" s="44"/>
      <c r="AF168" s="44"/>
      <c r="AG168" s="44"/>
      <c r="AH168" s="44"/>
      <c r="AI168" s="44"/>
      <c r="AJ168" s="44"/>
      <c r="AK168" s="44"/>
      <c r="AL168" s="44"/>
      <c r="AM168" s="44"/>
      <c r="AN168" s="44"/>
      <c r="AO168" s="44"/>
      <c r="AP168" s="44"/>
      <c r="AQ168" s="44"/>
      <c r="AR168" s="44"/>
      <c r="AS168" s="44"/>
      <c r="AT168" s="356">
        <f>20000000-5000000+10000000</f>
        <v>25000000</v>
      </c>
      <c r="AU168" s="42">
        <v>25000000</v>
      </c>
      <c r="AV168" s="42">
        <v>19061500</v>
      </c>
      <c r="AW168" s="361"/>
      <c r="AX168" s="44"/>
      <c r="AY168" s="44"/>
      <c r="AZ168" s="358"/>
      <c r="BA168" s="44"/>
      <c r="BB168" s="44"/>
      <c r="BC168" s="361"/>
      <c r="BD168" s="44"/>
      <c r="BE168" s="44"/>
      <c r="BF168" s="298">
        <f t="shared" si="12"/>
        <v>25000000</v>
      </c>
      <c r="BG168" s="298">
        <f t="shared" si="13"/>
        <v>25000000</v>
      </c>
      <c r="BH168" s="298">
        <f t="shared" si="14"/>
        <v>19061500</v>
      </c>
      <c r="BI168" s="386" t="s">
        <v>1481</v>
      </c>
      <c r="BK168" s="34"/>
      <c r="BL168" s="34"/>
    </row>
    <row r="169" spans="1:64" s="16" customFormat="1" ht="117" customHeight="1" x14ac:dyDescent="0.2">
      <c r="A169" s="29">
        <v>316</v>
      </c>
      <c r="B169" s="325" t="s">
        <v>1205</v>
      </c>
      <c r="C169" s="29">
        <v>1</v>
      </c>
      <c r="D169" s="325" t="s">
        <v>1201</v>
      </c>
      <c r="E169" s="29">
        <v>41</v>
      </c>
      <c r="F169" s="325" t="s">
        <v>661</v>
      </c>
      <c r="G169" s="29">
        <v>4102</v>
      </c>
      <c r="H169" s="325" t="s">
        <v>662</v>
      </c>
      <c r="I169" s="29">
        <v>4102</v>
      </c>
      <c r="J169" s="30" t="s">
        <v>1221</v>
      </c>
      <c r="K169" s="297" t="s">
        <v>667</v>
      </c>
      <c r="L169" s="29" t="s">
        <v>31</v>
      </c>
      <c r="M169" s="30" t="s">
        <v>668</v>
      </c>
      <c r="N169" s="192">
        <v>4102001</v>
      </c>
      <c r="O169" s="30" t="s">
        <v>669</v>
      </c>
      <c r="P169" s="29" t="s">
        <v>31</v>
      </c>
      <c r="Q169" s="295" t="s">
        <v>670</v>
      </c>
      <c r="R169" s="192">
        <v>410200100</v>
      </c>
      <c r="S169" s="295" t="s">
        <v>671</v>
      </c>
      <c r="T169" s="299" t="s">
        <v>1469</v>
      </c>
      <c r="U169" s="342">
        <v>12</v>
      </c>
      <c r="V169" s="342"/>
      <c r="W169" s="328">
        <f t="shared" si="11"/>
        <v>12</v>
      </c>
      <c r="X169" s="539">
        <v>9</v>
      </c>
      <c r="Y169" s="296">
        <v>2020003630099</v>
      </c>
      <c r="Z169" s="28" t="s">
        <v>1382</v>
      </c>
      <c r="AA169" s="297" t="s">
        <v>666</v>
      </c>
      <c r="AB169" s="44"/>
      <c r="AC169" s="44"/>
      <c r="AD169" s="44"/>
      <c r="AE169" s="44"/>
      <c r="AF169" s="44"/>
      <c r="AG169" s="44"/>
      <c r="AH169" s="44"/>
      <c r="AI169" s="44"/>
      <c r="AJ169" s="44"/>
      <c r="AK169" s="44"/>
      <c r="AL169" s="44"/>
      <c r="AM169" s="44"/>
      <c r="AN169" s="44"/>
      <c r="AO169" s="44"/>
      <c r="AP169" s="44"/>
      <c r="AQ169" s="44"/>
      <c r="AR169" s="44"/>
      <c r="AS169" s="44"/>
      <c r="AT169" s="356">
        <f>50000000-20000000+19446500</f>
        <v>49446500</v>
      </c>
      <c r="AU169" s="42">
        <v>43126000</v>
      </c>
      <c r="AV169" s="42">
        <v>37678500</v>
      </c>
      <c r="AW169" s="361"/>
      <c r="AX169" s="44"/>
      <c r="AY169" s="44"/>
      <c r="AZ169" s="358"/>
      <c r="BA169" s="44"/>
      <c r="BB169" s="44"/>
      <c r="BC169" s="361"/>
      <c r="BD169" s="44"/>
      <c r="BE169" s="44"/>
      <c r="BF169" s="298">
        <f t="shared" si="12"/>
        <v>49446500</v>
      </c>
      <c r="BG169" s="298">
        <f t="shared" si="13"/>
        <v>43126000</v>
      </c>
      <c r="BH169" s="298">
        <f t="shared" si="14"/>
        <v>37678500</v>
      </c>
      <c r="BI169" s="386" t="s">
        <v>1481</v>
      </c>
      <c r="BK169" s="34"/>
      <c r="BL169" s="34"/>
    </row>
    <row r="170" spans="1:64" s="16" customFormat="1" ht="313.5" customHeight="1" x14ac:dyDescent="0.2">
      <c r="A170" s="29">
        <v>316</v>
      </c>
      <c r="B170" s="325" t="s">
        <v>1205</v>
      </c>
      <c r="C170" s="29">
        <v>1</v>
      </c>
      <c r="D170" s="325" t="s">
        <v>1201</v>
      </c>
      <c r="E170" s="29">
        <v>41</v>
      </c>
      <c r="F170" s="325" t="s">
        <v>661</v>
      </c>
      <c r="G170" s="29">
        <v>4102</v>
      </c>
      <c r="H170" s="325" t="s">
        <v>662</v>
      </c>
      <c r="I170" s="29">
        <v>4102</v>
      </c>
      <c r="J170" s="30" t="s">
        <v>1221</v>
      </c>
      <c r="K170" s="297" t="s">
        <v>672</v>
      </c>
      <c r="L170" s="29" t="s">
        <v>31</v>
      </c>
      <c r="M170" s="30" t="s">
        <v>673</v>
      </c>
      <c r="N170" s="29" t="s">
        <v>674</v>
      </c>
      <c r="O170" s="30" t="s">
        <v>675</v>
      </c>
      <c r="P170" s="29" t="s">
        <v>31</v>
      </c>
      <c r="Q170" s="295" t="s">
        <v>676</v>
      </c>
      <c r="R170" s="29">
        <v>410204300</v>
      </c>
      <c r="S170" s="295" t="s">
        <v>677</v>
      </c>
      <c r="T170" s="299" t="s">
        <v>1469</v>
      </c>
      <c r="U170" s="342">
        <v>1</v>
      </c>
      <c r="V170" s="342"/>
      <c r="W170" s="328">
        <f t="shared" si="11"/>
        <v>1</v>
      </c>
      <c r="X170" s="539">
        <v>0.75</v>
      </c>
      <c r="Y170" s="296">
        <v>2020003630100</v>
      </c>
      <c r="Z170" s="28" t="s">
        <v>678</v>
      </c>
      <c r="AA170" s="297" t="s">
        <v>679</v>
      </c>
      <c r="AB170" s="44"/>
      <c r="AC170" s="44"/>
      <c r="AD170" s="44"/>
      <c r="AE170" s="44"/>
      <c r="AF170" s="44"/>
      <c r="AG170" s="44"/>
      <c r="AH170" s="44"/>
      <c r="AI170" s="44"/>
      <c r="AJ170" s="44"/>
      <c r="AK170" s="44"/>
      <c r="AL170" s="44"/>
      <c r="AM170" s="44"/>
      <c r="AN170" s="44"/>
      <c r="AO170" s="44"/>
      <c r="AP170" s="44"/>
      <c r="AQ170" s="44"/>
      <c r="AR170" s="44"/>
      <c r="AS170" s="44"/>
      <c r="AT170" s="356">
        <f>135000000-11800000-23000000+38390000</f>
        <v>138590000</v>
      </c>
      <c r="AU170" s="42">
        <v>132050000</v>
      </c>
      <c r="AV170" s="42">
        <v>100162000</v>
      </c>
      <c r="AW170" s="361"/>
      <c r="AX170" s="44"/>
      <c r="AY170" s="44"/>
      <c r="AZ170" s="358"/>
      <c r="BA170" s="44"/>
      <c r="BB170" s="44"/>
      <c r="BC170" s="361"/>
      <c r="BD170" s="44"/>
      <c r="BE170" s="44"/>
      <c r="BF170" s="298">
        <f t="shared" si="12"/>
        <v>138590000</v>
      </c>
      <c r="BG170" s="298">
        <f t="shared" si="13"/>
        <v>132050000</v>
      </c>
      <c r="BH170" s="298">
        <f t="shared" si="14"/>
        <v>100162000</v>
      </c>
      <c r="BI170" s="386" t="s">
        <v>1481</v>
      </c>
      <c r="BK170" s="34"/>
      <c r="BL170" s="34"/>
    </row>
    <row r="171" spans="1:64" s="16" customFormat="1" ht="313.5" customHeight="1" x14ac:dyDescent="0.2">
      <c r="A171" s="29">
        <v>316</v>
      </c>
      <c r="B171" s="325" t="s">
        <v>1205</v>
      </c>
      <c r="C171" s="29">
        <v>1</v>
      </c>
      <c r="D171" s="325" t="s">
        <v>1201</v>
      </c>
      <c r="E171" s="29">
        <v>41</v>
      </c>
      <c r="F171" s="325" t="s">
        <v>661</v>
      </c>
      <c r="G171" s="29">
        <v>4102</v>
      </c>
      <c r="H171" s="325" t="s">
        <v>662</v>
      </c>
      <c r="I171" s="29">
        <v>4102</v>
      </c>
      <c r="J171" s="30" t="s">
        <v>1221</v>
      </c>
      <c r="K171" s="297" t="s">
        <v>680</v>
      </c>
      <c r="L171" s="29" t="s">
        <v>31</v>
      </c>
      <c r="M171" s="30" t="s">
        <v>683</v>
      </c>
      <c r="N171" s="29" t="s">
        <v>674</v>
      </c>
      <c r="O171" s="30" t="s">
        <v>684</v>
      </c>
      <c r="P171" s="29" t="s">
        <v>31</v>
      </c>
      <c r="Q171" s="30" t="s">
        <v>685</v>
      </c>
      <c r="R171" s="192">
        <v>410204301</v>
      </c>
      <c r="S171" s="30" t="s">
        <v>686</v>
      </c>
      <c r="T171" s="299" t="s">
        <v>1469</v>
      </c>
      <c r="U171" s="342">
        <v>1</v>
      </c>
      <c r="V171" s="342"/>
      <c r="W171" s="328">
        <f t="shared" si="11"/>
        <v>1</v>
      </c>
      <c r="X171" s="539">
        <v>0.75</v>
      </c>
      <c r="Y171" s="296">
        <v>2020003630101</v>
      </c>
      <c r="Z171" s="28" t="s">
        <v>681</v>
      </c>
      <c r="AA171" s="297" t="s">
        <v>682</v>
      </c>
      <c r="AB171" s="44"/>
      <c r="AC171" s="44"/>
      <c r="AD171" s="44"/>
      <c r="AE171" s="44"/>
      <c r="AF171" s="44"/>
      <c r="AG171" s="44"/>
      <c r="AH171" s="44"/>
      <c r="AI171" s="44"/>
      <c r="AJ171" s="44"/>
      <c r="AK171" s="44"/>
      <c r="AL171" s="44"/>
      <c r="AM171" s="44"/>
      <c r="AN171" s="44"/>
      <c r="AO171" s="44"/>
      <c r="AP171" s="44"/>
      <c r="AQ171" s="44"/>
      <c r="AR171" s="44"/>
      <c r="AS171" s="44"/>
      <c r="AT171" s="356">
        <f>204000000+25000000+27776044+8787900+300000000</f>
        <v>565563944</v>
      </c>
      <c r="AU171" s="42">
        <v>258029005</v>
      </c>
      <c r="AV171" s="42">
        <v>166183610</v>
      </c>
      <c r="AW171" s="361"/>
      <c r="AX171" s="44"/>
      <c r="AY171" s="44"/>
      <c r="AZ171" s="358"/>
      <c r="BA171" s="44"/>
      <c r="BB171" s="44"/>
      <c r="BC171" s="361"/>
      <c r="BD171" s="44"/>
      <c r="BE171" s="44"/>
      <c r="BF171" s="298">
        <f t="shared" si="12"/>
        <v>565563944</v>
      </c>
      <c r="BG171" s="298">
        <f t="shared" si="13"/>
        <v>258029005</v>
      </c>
      <c r="BH171" s="298">
        <f t="shared" si="14"/>
        <v>166183610</v>
      </c>
      <c r="BI171" s="386" t="s">
        <v>1481</v>
      </c>
      <c r="BK171" s="34"/>
      <c r="BL171" s="34"/>
    </row>
    <row r="172" spans="1:64" s="16" customFormat="1" ht="313.5" customHeight="1" x14ac:dyDescent="0.2">
      <c r="A172" s="29">
        <v>316</v>
      </c>
      <c r="B172" s="325" t="s">
        <v>1205</v>
      </c>
      <c r="C172" s="29">
        <v>1</v>
      </c>
      <c r="D172" s="325" t="s">
        <v>1201</v>
      </c>
      <c r="E172" s="29">
        <v>41</v>
      </c>
      <c r="F172" s="325" t="s">
        <v>661</v>
      </c>
      <c r="G172" s="29">
        <v>4102</v>
      </c>
      <c r="H172" s="325" t="s">
        <v>662</v>
      </c>
      <c r="I172" s="29">
        <v>4102</v>
      </c>
      <c r="J172" s="30" t="s">
        <v>1221</v>
      </c>
      <c r="K172" s="297" t="s">
        <v>687</v>
      </c>
      <c r="L172" s="29" t="s">
        <v>31</v>
      </c>
      <c r="M172" s="30" t="s">
        <v>688</v>
      </c>
      <c r="N172" s="192">
        <v>4102038</v>
      </c>
      <c r="O172" s="30" t="s">
        <v>689</v>
      </c>
      <c r="P172" s="29" t="s">
        <v>31</v>
      </c>
      <c r="Q172" s="295" t="s">
        <v>690</v>
      </c>
      <c r="R172" s="192">
        <v>410203800</v>
      </c>
      <c r="S172" s="30" t="s">
        <v>714</v>
      </c>
      <c r="T172" s="299" t="s">
        <v>1469</v>
      </c>
      <c r="U172" s="342">
        <v>1</v>
      </c>
      <c r="V172" s="342"/>
      <c r="W172" s="328">
        <f t="shared" si="11"/>
        <v>1</v>
      </c>
      <c r="X172" s="539">
        <v>0.75</v>
      </c>
      <c r="Y172" s="296">
        <v>2020003630102</v>
      </c>
      <c r="Z172" s="30" t="s">
        <v>691</v>
      </c>
      <c r="AA172" s="297" t="s">
        <v>692</v>
      </c>
      <c r="AB172" s="44"/>
      <c r="AC172" s="44"/>
      <c r="AD172" s="44"/>
      <c r="AE172" s="44"/>
      <c r="AF172" s="44"/>
      <c r="AG172" s="44"/>
      <c r="AH172" s="44"/>
      <c r="AI172" s="44"/>
      <c r="AJ172" s="44"/>
      <c r="AK172" s="44"/>
      <c r="AL172" s="44"/>
      <c r="AM172" s="44"/>
      <c r="AN172" s="44"/>
      <c r="AO172" s="44"/>
      <c r="AP172" s="44"/>
      <c r="AQ172" s="44"/>
      <c r="AR172" s="44"/>
      <c r="AS172" s="44"/>
      <c r="AT172" s="356">
        <f>210000000-30000000+13275000</f>
        <v>193275000</v>
      </c>
      <c r="AU172" s="42">
        <v>189247667</v>
      </c>
      <c r="AV172" s="42">
        <v>128337712.59999999</v>
      </c>
      <c r="AW172" s="361"/>
      <c r="AX172" s="44"/>
      <c r="AY172" s="44"/>
      <c r="AZ172" s="358"/>
      <c r="BA172" s="44"/>
      <c r="BB172" s="44"/>
      <c r="BC172" s="361"/>
      <c r="BD172" s="44"/>
      <c r="BE172" s="44"/>
      <c r="BF172" s="298">
        <f t="shared" si="12"/>
        <v>193275000</v>
      </c>
      <c r="BG172" s="298">
        <f t="shared" si="13"/>
        <v>189247667</v>
      </c>
      <c r="BH172" s="298">
        <f t="shared" si="14"/>
        <v>128337712.59999999</v>
      </c>
      <c r="BI172" s="386" t="s">
        <v>1481</v>
      </c>
      <c r="BK172" s="34"/>
      <c r="BL172" s="34"/>
    </row>
    <row r="173" spans="1:64" s="16" customFormat="1" ht="117" customHeight="1" x14ac:dyDescent="0.2">
      <c r="A173" s="29">
        <v>316</v>
      </c>
      <c r="B173" s="325" t="s">
        <v>1205</v>
      </c>
      <c r="C173" s="29">
        <v>1</v>
      </c>
      <c r="D173" s="325" t="s">
        <v>1201</v>
      </c>
      <c r="E173" s="29">
        <v>41</v>
      </c>
      <c r="F173" s="325" t="s">
        <v>661</v>
      </c>
      <c r="G173" s="29">
        <v>4102</v>
      </c>
      <c r="H173" s="325" t="s">
        <v>662</v>
      </c>
      <c r="I173" s="29">
        <v>4102</v>
      </c>
      <c r="J173" s="30" t="s">
        <v>1221</v>
      </c>
      <c r="K173" s="297" t="s">
        <v>693</v>
      </c>
      <c r="L173" s="29" t="s">
        <v>31</v>
      </c>
      <c r="M173" s="30" t="s">
        <v>694</v>
      </c>
      <c r="N173" s="192">
        <v>4102042</v>
      </c>
      <c r="O173" s="30" t="s">
        <v>695</v>
      </c>
      <c r="P173" s="29" t="s">
        <v>31</v>
      </c>
      <c r="Q173" s="295" t="s">
        <v>696</v>
      </c>
      <c r="R173" s="192">
        <v>410204200</v>
      </c>
      <c r="S173" s="295" t="s">
        <v>697</v>
      </c>
      <c r="T173" s="299" t="s">
        <v>1469</v>
      </c>
      <c r="U173" s="342">
        <v>12</v>
      </c>
      <c r="V173" s="342"/>
      <c r="W173" s="328">
        <f t="shared" si="11"/>
        <v>12</v>
      </c>
      <c r="X173" s="539">
        <v>10</v>
      </c>
      <c r="Y173" s="39">
        <v>2021003630010</v>
      </c>
      <c r="Z173" s="28" t="s">
        <v>1381</v>
      </c>
      <c r="AA173" s="312" t="s">
        <v>698</v>
      </c>
      <c r="AB173" s="44"/>
      <c r="AC173" s="44"/>
      <c r="AD173" s="44"/>
      <c r="AE173" s="44"/>
      <c r="AF173" s="44"/>
      <c r="AG173" s="44"/>
      <c r="AH173" s="44"/>
      <c r="AI173" s="44"/>
      <c r="AJ173" s="44"/>
      <c r="AK173" s="44"/>
      <c r="AL173" s="44"/>
      <c r="AM173" s="44"/>
      <c r="AN173" s="44"/>
      <c r="AO173" s="44"/>
      <c r="AP173" s="44"/>
      <c r="AQ173" s="44"/>
      <c r="AR173" s="44"/>
      <c r="AS173" s="44"/>
      <c r="AT173" s="356">
        <f>18000000+3800000</f>
        <v>21800000</v>
      </c>
      <c r="AU173" s="42">
        <v>21800000</v>
      </c>
      <c r="AV173" s="42">
        <v>18812000</v>
      </c>
      <c r="AW173" s="361"/>
      <c r="AX173" s="44"/>
      <c r="AY173" s="44"/>
      <c r="AZ173" s="358"/>
      <c r="BA173" s="44"/>
      <c r="BB173" s="44"/>
      <c r="BC173" s="361"/>
      <c r="BD173" s="44"/>
      <c r="BE173" s="44"/>
      <c r="BF173" s="298">
        <f t="shared" si="12"/>
        <v>21800000</v>
      </c>
      <c r="BG173" s="298">
        <f t="shared" si="13"/>
        <v>21800000</v>
      </c>
      <c r="BH173" s="298">
        <f t="shared" si="14"/>
        <v>18812000</v>
      </c>
      <c r="BI173" s="386" t="s">
        <v>1481</v>
      </c>
      <c r="BK173" s="34"/>
      <c r="BL173" s="34"/>
    </row>
    <row r="174" spans="1:64" s="16" customFormat="1" ht="117" customHeight="1" x14ac:dyDescent="0.2">
      <c r="A174" s="29">
        <v>316</v>
      </c>
      <c r="B174" s="325" t="s">
        <v>1205</v>
      </c>
      <c r="C174" s="29">
        <v>1</v>
      </c>
      <c r="D174" s="325" t="s">
        <v>1201</v>
      </c>
      <c r="E174" s="29">
        <v>41</v>
      </c>
      <c r="F174" s="325" t="s">
        <v>661</v>
      </c>
      <c r="G174" s="29">
        <v>4102</v>
      </c>
      <c r="H174" s="325" t="s">
        <v>662</v>
      </c>
      <c r="I174" s="29">
        <v>4102</v>
      </c>
      <c r="J174" s="30" t="s">
        <v>1221</v>
      </c>
      <c r="K174" s="297" t="s">
        <v>699</v>
      </c>
      <c r="L174" s="29" t="s">
        <v>31</v>
      </c>
      <c r="M174" s="28" t="s">
        <v>700</v>
      </c>
      <c r="N174" s="192">
        <v>4102001</v>
      </c>
      <c r="O174" s="28" t="s">
        <v>701</v>
      </c>
      <c r="P174" s="29" t="s">
        <v>31</v>
      </c>
      <c r="Q174" s="295" t="s">
        <v>702</v>
      </c>
      <c r="R174" s="192">
        <v>410200100</v>
      </c>
      <c r="S174" s="295" t="s">
        <v>703</v>
      </c>
      <c r="T174" s="299" t="s">
        <v>1469</v>
      </c>
      <c r="U174" s="342">
        <v>1</v>
      </c>
      <c r="V174" s="342"/>
      <c r="W174" s="328">
        <f t="shared" si="11"/>
        <v>1</v>
      </c>
      <c r="X174" s="539">
        <v>0.25</v>
      </c>
      <c r="Y174" s="296">
        <v>2020003630033</v>
      </c>
      <c r="Z174" s="28" t="s">
        <v>1380</v>
      </c>
      <c r="AA174" s="286" t="s">
        <v>705</v>
      </c>
      <c r="AB174" s="44"/>
      <c r="AC174" s="44"/>
      <c r="AD174" s="44"/>
      <c r="AE174" s="44"/>
      <c r="AF174" s="44"/>
      <c r="AG174" s="44"/>
      <c r="AH174" s="44"/>
      <c r="AI174" s="44"/>
      <c r="AJ174" s="44"/>
      <c r="AK174" s="44"/>
      <c r="AL174" s="44"/>
      <c r="AM174" s="44"/>
      <c r="AN174" s="44"/>
      <c r="AO174" s="44"/>
      <c r="AP174" s="44"/>
      <c r="AQ174" s="44"/>
      <c r="AR174" s="44"/>
      <c r="AS174" s="44"/>
      <c r="AT174" s="356">
        <f>20000000-5000000</f>
        <v>15000000</v>
      </c>
      <c r="AU174" s="42">
        <v>12005000</v>
      </c>
      <c r="AV174" s="42">
        <v>10770000</v>
      </c>
      <c r="AW174" s="361"/>
      <c r="AX174" s="44"/>
      <c r="AY174" s="44"/>
      <c r="AZ174" s="358"/>
      <c r="BA174" s="44"/>
      <c r="BB174" s="44"/>
      <c r="BC174" s="361"/>
      <c r="BD174" s="44"/>
      <c r="BE174" s="44"/>
      <c r="BF174" s="298">
        <f t="shared" si="12"/>
        <v>15000000</v>
      </c>
      <c r="BG174" s="298">
        <f t="shared" si="13"/>
        <v>12005000</v>
      </c>
      <c r="BH174" s="298">
        <f t="shared" si="14"/>
        <v>10770000</v>
      </c>
      <c r="BI174" s="386" t="s">
        <v>1481</v>
      </c>
      <c r="BK174" s="34"/>
      <c r="BL174" s="34"/>
    </row>
    <row r="175" spans="1:64" s="16" customFormat="1" ht="288" customHeight="1" x14ac:dyDescent="0.2">
      <c r="A175" s="29">
        <v>316</v>
      </c>
      <c r="B175" s="325" t="s">
        <v>1205</v>
      </c>
      <c r="C175" s="29">
        <v>1</v>
      </c>
      <c r="D175" s="325" t="s">
        <v>1201</v>
      </c>
      <c r="E175" s="29">
        <v>41</v>
      </c>
      <c r="F175" s="325" t="s">
        <v>661</v>
      </c>
      <c r="G175" s="29">
        <v>4102</v>
      </c>
      <c r="H175" s="325" t="s">
        <v>662</v>
      </c>
      <c r="I175" s="29">
        <v>4102</v>
      </c>
      <c r="J175" s="30" t="s">
        <v>1221</v>
      </c>
      <c r="K175" s="297" t="s">
        <v>706</v>
      </c>
      <c r="L175" s="29">
        <v>4102022</v>
      </c>
      <c r="M175" s="303" t="s">
        <v>707</v>
      </c>
      <c r="N175" s="304">
        <v>4102046</v>
      </c>
      <c r="O175" s="303" t="s">
        <v>708</v>
      </c>
      <c r="P175" s="304" t="s">
        <v>709</v>
      </c>
      <c r="Q175" s="295" t="s">
        <v>710</v>
      </c>
      <c r="R175" s="304">
        <v>410204600</v>
      </c>
      <c r="S175" s="295" t="s">
        <v>711</v>
      </c>
      <c r="T175" s="299" t="s">
        <v>1470</v>
      </c>
      <c r="U175" s="342">
        <v>21</v>
      </c>
      <c r="V175" s="342"/>
      <c r="W175" s="328">
        <f t="shared" si="11"/>
        <v>21</v>
      </c>
      <c r="X175" s="539">
        <v>15</v>
      </c>
      <c r="Y175" s="296">
        <v>2020003630033</v>
      </c>
      <c r="Z175" s="28" t="s">
        <v>1380</v>
      </c>
      <c r="AA175" s="286" t="s">
        <v>705</v>
      </c>
      <c r="AB175" s="44"/>
      <c r="AC175" s="44"/>
      <c r="AD175" s="44"/>
      <c r="AE175" s="44"/>
      <c r="AF175" s="44"/>
      <c r="AG175" s="44"/>
      <c r="AH175" s="44"/>
      <c r="AI175" s="44"/>
      <c r="AJ175" s="44"/>
      <c r="AK175" s="44"/>
      <c r="AL175" s="44"/>
      <c r="AM175" s="44"/>
      <c r="AN175" s="44"/>
      <c r="AO175" s="44"/>
      <c r="AP175" s="44"/>
      <c r="AQ175" s="44"/>
      <c r="AR175" s="44"/>
      <c r="AS175" s="44"/>
      <c r="AT175" s="356">
        <v>18000000</v>
      </c>
      <c r="AU175" s="42">
        <v>17880000</v>
      </c>
      <c r="AV175" s="42">
        <v>16240000</v>
      </c>
      <c r="AW175" s="361"/>
      <c r="AX175" s="44"/>
      <c r="AY175" s="44"/>
      <c r="AZ175" s="358"/>
      <c r="BA175" s="44"/>
      <c r="BB175" s="44"/>
      <c r="BC175" s="361"/>
      <c r="BD175" s="44"/>
      <c r="BE175" s="44"/>
      <c r="BF175" s="298">
        <f t="shared" si="12"/>
        <v>18000000</v>
      </c>
      <c r="BG175" s="298">
        <f t="shared" si="13"/>
        <v>17880000</v>
      </c>
      <c r="BH175" s="298">
        <f t="shared" si="14"/>
        <v>16240000</v>
      </c>
      <c r="BI175" s="386" t="s">
        <v>1481</v>
      </c>
      <c r="BK175" s="34"/>
      <c r="BL175" s="34"/>
    </row>
    <row r="176" spans="1:64" s="16" customFormat="1" ht="117" customHeight="1" x14ac:dyDescent="0.2">
      <c r="A176" s="29">
        <v>316</v>
      </c>
      <c r="B176" s="325" t="s">
        <v>1205</v>
      </c>
      <c r="C176" s="29">
        <v>1</v>
      </c>
      <c r="D176" s="325" t="s">
        <v>1201</v>
      </c>
      <c r="E176" s="29">
        <v>41</v>
      </c>
      <c r="F176" s="325" t="s">
        <v>661</v>
      </c>
      <c r="G176" s="29">
        <v>4102</v>
      </c>
      <c r="H176" s="325" t="s">
        <v>662</v>
      </c>
      <c r="I176" s="29">
        <v>4102</v>
      </c>
      <c r="J176" s="30" t="s">
        <v>1221</v>
      </c>
      <c r="K176" s="297" t="s">
        <v>712</v>
      </c>
      <c r="L176" s="29">
        <v>4102038</v>
      </c>
      <c r="M176" s="30" t="s">
        <v>713</v>
      </c>
      <c r="N176" s="29">
        <v>4102038</v>
      </c>
      <c r="O176" s="30" t="s">
        <v>713</v>
      </c>
      <c r="P176" s="300">
        <v>410203800</v>
      </c>
      <c r="Q176" s="295" t="s">
        <v>714</v>
      </c>
      <c r="R176" s="300">
        <v>410203800</v>
      </c>
      <c r="S176" s="295" t="s">
        <v>714</v>
      </c>
      <c r="T176" s="299" t="s">
        <v>1470</v>
      </c>
      <c r="U176" s="342">
        <v>10</v>
      </c>
      <c r="V176" s="342"/>
      <c r="W176" s="328">
        <f t="shared" si="11"/>
        <v>10</v>
      </c>
      <c r="X176" s="539">
        <v>8</v>
      </c>
      <c r="Y176" s="296">
        <v>2020003630034</v>
      </c>
      <c r="Z176" s="30" t="s">
        <v>1379</v>
      </c>
      <c r="AA176" s="312" t="s">
        <v>716</v>
      </c>
      <c r="AB176" s="44"/>
      <c r="AC176" s="44"/>
      <c r="AD176" s="44"/>
      <c r="AE176" s="44"/>
      <c r="AF176" s="44"/>
      <c r="AG176" s="44"/>
      <c r="AH176" s="44"/>
      <c r="AI176" s="44"/>
      <c r="AJ176" s="44"/>
      <c r="AK176" s="44"/>
      <c r="AL176" s="44"/>
      <c r="AM176" s="44"/>
      <c r="AN176" s="44"/>
      <c r="AO176" s="44"/>
      <c r="AP176" s="44"/>
      <c r="AQ176" s="44"/>
      <c r="AR176" s="44"/>
      <c r="AS176" s="44"/>
      <c r="AT176" s="356">
        <f>37000000+19045000</f>
        <v>56045000</v>
      </c>
      <c r="AU176" s="42">
        <v>54295000</v>
      </c>
      <c r="AV176" s="42">
        <v>32170000</v>
      </c>
      <c r="AW176" s="361"/>
      <c r="AX176" s="44"/>
      <c r="AY176" s="44"/>
      <c r="AZ176" s="358"/>
      <c r="BA176" s="44"/>
      <c r="BB176" s="44"/>
      <c r="BC176" s="361"/>
      <c r="BD176" s="44"/>
      <c r="BE176" s="44"/>
      <c r="BF176" s="298">
        <f t="shared" si="12"/>
        <v>56045000</v>
      </c>
      <c r="BG176" s="298">
        <f t="shared" si="13"/>
        <v>54295000</v>
      </c>
      <c r="BH176" s="298">
        <f t="shared" si="14"/>
        <v>32170000</v>
      </c>
      <c r="BI176" s="386" t="s">
        <v>1481</v>
      </c>
      <c r="BK176" s="34"/>
      <c r="BL176" s="34"/>
    </row>
    <row r="177" spans="1:64" s="16" customFormat="1" ht="117" customHeight="1" x14ac:dyDescent="0.2">
      <c r="A177" s="29">
        <v>316</v>
      </c>
      <c r="B177" s="325" t="s">
        <v>1205</v>
      </c>
      <c r="C177" s="29">
        <v>1</v>
      </c>
      <c r="D177" s="325" t="s">
        <v>1201</v>
      </c>
      <c r="E177" s="29">
        <v>41</v>
      </c>
      <c r="F177" s="325" t="s">
        <v>661</v>
      </c>
      <c r="G177" s="29">
        <v>4103</v>
      </c>
      <c r="H177" s="325" t="s">
        <v>252</v>
      </c>
      <c r="I177" s="29">
        <v>4103</v>
      </c>
      <c r="J177" s="30" t="s">
        <v>1259</v>
      </c>
      <c r="K177" s="297" t="s">
        <v>717</v>
      </c>
      <c r="L177" s="192">
        <v>4103059</v>
      </c>
      <c r="M177" s="30" t="s">
        <v>718</v>
      </c>
      <c r="N177" s="192">
        <v>4103059</v>
      </c>
      <c r="O177" s="30" t="s">
        <v>718</v>
      </c>
      <c r="P177" s="287">
        <v>410305900</v>
      </c>
      <c r="Q177" s="295" t="s">
        <v>719</v>
      </c>
      <c r="R177" s="287">
        <v>410305900</v>
      </c>
      <c r="S177" s="295" t="s">
        <v>719</v>
      </c>
      <c r="T177" s="299" t="s">
        <v>1470</v>
      </c>
      <c r="U177" s="311">
        <v>16</v>
      </c>
      <c r="V177" s="311"/>
      <c r="W177" s="328">
        <f t="shared" si="11"/>
        <v>16</v>
      </c>
      <c r="X177" s="530">
        <v>12</v>
      </c>
      <c r="Y177" s="296">
        <v>2020003630103</v>
      </c>
      <c r="Z177" s="30" t="s">
        <v>1181</v>
      </c>
      <c r="AA177" s="297" t="s">
        <v>720</v>
      </c>
      <c r="AB177" s="44"/>
      <c r="AC177" s="44"/>
      <c r="AD177" s="44"/>
      <c r="AE177" s="44"/>
      <c r="AF177" s="44"/>
      <c r="AG177" s="44"/>
      <c r="AH177" s="44"/>
      <c r="AI177" s="44"/>
      <c r="AJ177" s="44"/>
      <c r="AK177" s="44"/>
      <c r="AL177" s="44"/>
      <c r="AM177" s="44"/>
      <c r="AN177" s="44"/>
      <c r="AO177" s="44"/>
      <c r="AP177" s="44"/>
      <c r="AQ177" s="44"/>
      <c r="AR177" s="44"/>
      <c r="AS177" s="44"/>
      <c r="AT177" s="356">
        <f>15000000+23500000</f>
        <v>38500000</v>
      </c>
      <c r="AU177" s="42">
        <v>19800000</v>
      </c>
      <c r="AV177" s="42">
        <v>19800000</v>
      </c>
      <c r="AW177" s="361"/>
      <c r="AX177" s="44"/>
      <c r="AY177" s="44"/>
      <c r="AZ177" s="358"/>
      <c r="BA177" s="44"/>
      <c r="BB177" s="44"/>
      <c r="BC177" s="361"/>
      <c r="BD177" s="44"/>
      <c r="BE177" s="44"/>
      <c r="BF177" s="298">
        <f t="shared" si="12"/>
        <v>38500000</v>
      </c>
      <c r="BG177" s="298">
        <f t="shared" si="13"/>
        <v>19800000</v>
      </c>
      <c r="BH177" s="298">
        <f t="shared" si="14"/>
        <v>19800000</v>
      </c>
      <c r="BI177" s="386" t="s">
        <v>1481</v>
      </c>
      <c r="BK177" s="34"/>
      <c r="BL177" s="34"/>
    </row>
    <row r="178" spans="1:64" s="16" customFormat="1" ht="117" customHeight="1" x14ac:dyDescent="0.2">
      <c r="A178" s="29">
        <v>316</v>
      </c>
      <c r="B178" s="325" t="s">
        <v>1205</v>
      </c>
      <c r="C178" s="29">
        <v>1</v>
      </c>
      <c r="D178" s="325" t="s">
        <v>1201</v>
      </c>
      <c r="E178" s="29">
        <v>41</v>
      </c>
      <c r="F178" s="325" t="s">
        <v>661</v>
      </c>
      <c r="G178" s="29">
        <v>4103</v>
      </c>
      <c r="H178" s="325" t="s">
        <v>252</v>
      </c>
      <c r="I178" s="29">
        <v>4103</v>
      </c>
      <c r="J178" s="30" t="s">
        <v>1259</v>
      </c>
      <c r="K178" s="297" t="s">
        <v>721</v>
      </c>
      <c r="L178" s="29">
        <v>4103052</v>
      </c>
      <c r="M178" s="30" t="s">
        <v>255</v>
      </c>
      <c r="N178" s="29">
        <v>4103052</v>
      </c>
      <c r="O178" s="30" t="s">
        <v>255</v>
      </c>
      <c r="P178" s="300">
        <v>410305202</v>
      </c>
      <c r="Q178" s="295" t="s">
        <v>722</v>
      </c>
      <c r="R178" s="300">
        <v>410305202</v>
      </c>
      <c r="S178" s="295" t="s">
        <v>723</v>
      </c>
      <c r="T178" s="299" t="s">
        <v>1469</v>
      </c>
      <c r="U178" s="311">
        <v>1</v>
      </c>
      <c r="V178" s="311"/>
      <c r="W178" s="328">
        <f t="shared" si="11"/>
        <v>1</v>
      </c>
      <c r="X178" s="530">
        <v>0.75</v>
      </c>
      <c r="Y178" s="296">
        <v>2020003630104</v>
      </c>
      <c r="Z178" s="295" t="s">
        <v>1177</v>
      </c>
      <c r="AA178" s="297" t="s">
        <v>724</v>
      </c>
      <c r="AB178" s="44"/>
      <c r="AC178" s="44"/>
      <c r="AD178" s="44"/>
      <c r="AE178" s="44"/>
      <c r="AF178" s="44"/>
      <c r="AG178" s="44"/>
      <c r="AH178" s="44"/>
      <c r="AI178" s="44"/>
      <c r="AJ178" s="44"/>
      <c r="AK178" s="44"/>
      <c r="AL178" s="44"/>
      <c r="AM178" s="44"/>
      <c r="AN178" s="44"/>
      <c r="AO178" s="44"/>
      <c r="AP178" s="44"/>
      <c r="AQ178" s="44"/>
      <c r="AR178" s="44"/>
      <c r="AS178" s="44"/>
      <c r="AT178" s="356">
        <f>20000000+29300000</f>
        <v>49300000</v>
      </c>
      <c r="AU178" s="42">
        <v>35948279</v>
      </c>
      <c r="AV178" s="42">
        <v>23080000</v>
      </c>
      <c r="AW178" s="361"/>
      <c r="AX178" s="44"/>
      <c r="AY178" s="44"/>
      <c r="AZ178" s="358"/>
      <c r="BA178" s="44"/>
      <c r="BB178" s="44"/>
      <c r="BC178" s="361"/>
      <c r="BD178" s="44"/>
      <c r="BE178" s="44"/>
      <c r="BF178" s="298">
        <f t="shared" si="12"/>
        <v>49300000</v>
      </c>
      <c r="BG178" s="298">
        <f t="shared" si="13"/>
        <v>35948279</v>
      </c>
      <c r="BH178" s="298">
        <f t="shared" si="14"/>
        <v>23080000</v>
      </c>
      <c r="BI178" s="386" t="s">
        <v>1481</v>
      </c>
      <c r="BK178" s="34"/>
      <c r="BL178" s="34"/>
    </row>
    <row r="179" spans="1:64" s="16" customFormat="1" ht="227.25" customHeight="1" x14ac:dyDescent="0.2">
      <c r="A179" s="29">
        <v>316</v>
      </c>
      <c r="B179" s="325" t="s">
        <v>1205</v>
      </c>
      <c r="C179" s="29">
        <v>1</v>
      </c>
      <c r="D179" s="325" t="s">
        <v>1201</v>
      </c>
      <c r="E179" s="29">
        <v>41</v>
      </c>
      <c r="F179" s="325" t="s">
        <v>661</v>
      </c>
      <c r="G179" s="29">
        <v>4103</v>
      </c>
      <c r="H179" s="325" t="s">
        <v>252</v>
      </c>
      <c r="I179" s="29">
        <v>4103</v>
      </c>
      <c r="J179" s="30" t="s">
        <v>1259</v>
      </c>
      <c r="K179" s="297" t="s">
        <v>706</v>
      </c>
      <c r="L179" s="29">
        <v>4103050</v>
      </c>
      <c r="M179" s="30" t="s">
        <v>725</v>
      </c>
      <c r="N179" s="29">
        <v>4103050</v>
      </c>
      <c r="O179" s="30" t="s">
        <v>725</v>
      </c>
      <c r="P179" s="300">
        <v>410305001</v>
      </c>
      <c r="Q179" s="295" t="s">
        <v>726</v>
      </c>
      <c r="R179" s="300">
        <v>410305001</v>
      </c>
      <c r="S179" s="295" t="s">
        <v>726</v>
      </c>
      <c r="T179" s="299" t="s">
        <v>1469</v>
      </c>
      <c r="U179" s="311">
        <v>12</v>
      </c>
      <c r="V179" s="311"/>
      <c r="W179" s="328">
        <f t="shared" si="11"/>
        <v>12</v>
      </c>
      <c r="X179" s="530">
        <v>10</v>
      </c>
      <c r="Y179" s="296">
        <v>2020003630105</v>
      </c>
      <c r="Z179" s="295" t="s">
        <v>1175</v>
      </c>
      <c r="AA179" s="297" t="s">
        <v>727</v>
      </c>
      <c r="AB179" s="44"/>
      <c r="AC179" s="44"/>
      <c r="AD179" s="44"/>
      <c r="AE179" s="44"/>
      <c r="AF179" s="44"/>
      <c r="AG179" s="44"/>
      <c r="AH179" s="44"/>
      <c r="AI179" s="44"/>
      <c r="AJ179" s="44"/>
      <c r="AK179" s="44"/>
      <c r="AL179" s="44"/>
      <c r="AM179" s="44"/>
      <c r="AN179" s="44"/>
      <c r="AO179" s="44"/>
      <c r="AP179" s="44"/>
      <c r="AQ179" s="44"/>
      <c r="AR179" s="44"/>
      <c r="AS179" s="44"/>
      <c r="AT179" s="356">
        <f>25000000+4000000</f>
        <v>29000000</v>
      </c>
      <c r="AU179" s="42">
        <v>26000000</v>
      </c>
      <c r="AV179" s="42">
        <v>18310000</v>
      </c>
      <c r="AW179" s="361"/>
      <c r="AX179" s="44"/>
      <c r="AY179" s="44"/>
      <c r="AZ179" s="358"/>
      <c r="BA179" s="44"/>
      <c r="BB179" s="44"/>
      <c r="BC179" s="361"/>
      <c r="BD179" s="44"/>
      <c r="BE179" s="44"/>
      <c r="BF179" s="298">
        <f t="shared" si="12"/>
        <v>29000000</v>
      </c>
      <c r="BG179" s="298">
        <f t="shared" si="13"/>
        <v>26000000</v>
      </c>
      <c r="BH179" s="298">
        <f t="shared" si="14"/>
        <v>18310000</v>
      </c>
      <c r="BI179" s="386" t="s">
        <v>1481</v>
      </c>
      <c r="BK179" s="34"/>
      <c r="BL179" s="34"/>
    </row>
    <row r="180" spans="1:64" s="16" customFormat="1" ht="117" customHeight="1" x14ac:dyDescent="0.2">
      <c r="A180" s="29">
        <v>316</v>
      </c>
      <c r="B180" s="325" t="s">
        <v>1205</v>
      </c>
      <c r="C180" s="29">
        <v>1</v>
      </c>
      <c r="D180" s="325" t="s">
        <v>1201</v>
      </c>
      <c r="E180" s="29">
        <v>41</v>
      </c>
      <c r="F180" s="325" t="s">
        <v>661</v>
      </c>
      <c r="G180" s="29">
        <v>4103</v>
      </c>
      <c r="H180" s="325" t="s">
        <v>252</v>
      </c>
      <c r="I180" s="29">
        <v>4103</v>
      </c>
      <c r="J180" s="30" t="s">
        <v>1259</v>
      </c>
      <c r="K180" s="297" t="s">
        <v>728</v>
      </c>
      <c r="L180" s="192">
        <v>4103058</v>
      </c>
      <c r="M180" s="30" t="s">
        <v>729</v>
      </c>
      <c r="N180" s="192">
        <v>4103058</v>
      </c>
      <c r="O180" s="30" t="s">
        <v>729</v>
      </c>
      <c r="P180" s="287">
        <v>410305800</v>
      </c>
      <c r="Q180" s="295" t="s">
        <v>730</v>
      </c>
      <c r="R180" s="287">
        <v>410305800</v>
      </c>
      <c r="S180" s="295" t="s">
        <v>730</v>
      </c>
      <c r="T180" s="299" t="s">
        <v>1470</v>
      </c>
      <c r="U180" s="311">
        <v>4</v>
      </c>
      <c r="V180" s="311">
        <v>1</v>
      </c>
      <c r="W180" s="328">
        <f t="shared" si="11"/>
        <v>5</v>
      </c>
      <c r="X180" s="530">
        <v>5</v>
      </c>
      <c r="Y180" s="296">
        <v>2020003630106</v>
      </c>
      <c r="Z180" s="295" t="s">
        <v>1176</v>
      </c>
      <c r="AA180" s="297" t="s">
        <v>731</v>
      </c>
      <c r="AB180" s="44"/>
      <c r="AC180" s="44"/>
      <c r="AD180" s="44"/>
      <c r="AE180" s="44"/>
      <c r="AF180" s="44"/>
      <c r="AG180" s="44"/>
      <c r="AH180" s="44"/>
      <c r="AI180" s="44"/>
      <c r="AJ180" s="44"/>
      <c r="AK180" s="44"/>
      <c r="AL180" s="44"/>
      <c r="AM180" s="44"/>
      <c r="AN180" s="44"/>
      <c r="AO180" s="44"/>
      <c r="AP180" s="44"/>
      <c r="AQ180" s="44"/>
      <c r="AR180" s="44"/>
      <c r="AS180" s="44"/>
      <c r="AT180" s="356">
        <f>28000000+9000000-7000000</f>
        <v>30000000</v>
      </c>
      <c r="AU180" s="42">
        <v>23364500</v>
      </c>
      <c r="AV180" s="42">
        <v>11130000</v>
      </c>
      <c r="AW180" s="361"/>
      <c r="AX180" s="44"/>
      <c r="AY180" s="44"/>
      <c r="AZ180" s="358"/>
      <c r="BA180" s="44"/>
      <c r="BB180" s="44"/>
      <c r="BC180" s="361"/>
      <c r="BD180" s="44"/>
      <c r="BE180" s="44"/>
      <c r="BF180" s="298">
        <f t="shared" si="12"/>
        <v>30000000</v>
      </c>
      <c r="BG180" s="298">
        <f t="shared" si="13"/>
        <v>23364500</v>
      </c>
      <c r="BH180" s="298">
        <f t="shared" si="14"/>
        <v>11130000</v>
      </c>
      <c r="BI180" s="386" t="s">
        <v>1481</v>
      </c>
      <c r="BK180" s="34"/>
      <c r="BL180" s="34"/>
    </row>
    <row r="181" spans="1:64" s="16" customFormat="1" ht="117" customHeight="1" x14ac:dyDescent="0.2">
      <c r="A181" s="29">
        <v>316</v>
      </c>
      <c r="B181" s="325" t="s">
        <v>1205</v>
      </c>
      <c r="C181" s="29">
        <v>1</v>
      </c>
      <c r="D181" s="325" t="s">
        <v>1201</v>
      </c>
      <c r="E181" s="29">
        <v>41</v>
      </c>
      <c r="F181" s="325" t="s">
        <v>661</v>
      </c>
      <c r="G181" s="29">
        <v>4103</v>
      </c>
      <c r="H181" s="325" t="s">
        <v>252</v>
      </c>
      <c r="I181" s="29">
        <v>4103</v>
      </c>
      <c r="J181" s="30" t="s">
        <v>1259</v>
      </c>
      <c r="K181" s="286" t="s">
        <v>732</v>
      </c>
      <c r="L181" s="29" t="s">
        <v>31</v>
      </c>
      <c r="M181" s="30" t="s">
        <v>733</v>
      </c>
      <c r="N181" s="192">
        <v>4103060</v>
      </c>
      <c r="O181" s="30" t="s">
        <v>734</v>
      </c>
      <c r="P181" s="29" t="s">
        <v>31</v>
      </c>
      <c r="Q181" s="295" t="s">
        <v>735</v>
      </c>
      <c r="R181" s="192">
        <v>410306000</v>
      </c>
      <c r="S181" s="295" t="s">
        <v>736</v>
      </c>
      <c r="T181" s="299" t="s">
        <v>1470</v>
      </c>
      <c r="U181" s="311">
        <v>5</v>
      </c>
      <c r="V181" s="311"/>
      <c r="W181" s="328">
        <f t="shared" si="11"/>
        <v>5</v>
      </c>
      <c r="X181" s="530">
        <v>3</v>
      </c>
      <c r="Y181" s="296">
        <v>2020003630036</v>
      </c>
      <c r="Z181" s="30" t="s">
        <v>1178</v>
      </c>
      <c r="AA181" s="297" t="s">
        <v>737</v>
      </c>
      <c r="AB181" s="44"/>
      <c r="AC181" s="44"/>
      <c r="AD181" s="44"/>
      <c r="AE181" s="44"/>
      <c r="AF181" s="44"/>
      <c r="AG181" s="44"/>
      <c r="AH181" s="44"/>
      <c r="AI181" s="44"/>
      <c r="AJ181" s="44"/>
      <c r="AK181" s="44"/>
      <c r="AL181" s="44"/>
      <c r="AM181" s="44"/>
      <c r="AN181" s="44"/>
      <c r="AO181" s="44"/>
      <c r="AP181" s="44"/>
      <c r="AQ181" s="44"/>
      <c r="AR181" s="44"/>
      <c r="AS181" s="44"/>
      <c r="AT181" s="356">
        <f>27000000+16724400</f>
        <v>43724400</v>
      </c>
      <c r="AU181" s="42">
        <v>1000000</v>
      </c>
      <c r="AV181" s="42">
        <v>0</v>
      </c>
      <c r="AW181" s="361"/>
      <c r="AX181" s="44"/>
      <c r="AY181" s="44"/>
      <c r="AZ181" s="358"/>
      <c r="BA181" s="44"/>
      <c r="BB181" s="44"/>
      <c r="BC181" s="361"/>
      <c r="BD181" s="44"/>
      <c r="BE181" s="44"/>
      <c r="BF181" s="298">
        <f t="shared" si="12"/>
        <v>43724400</v>
      </c>
      <c r="BG181" s="298">
        <f t="shared" si="13"/>
        <v>1000000</v>
      </c>
      <c r="BH181" s="298">
        <f t="shared" si="14"/>
        <v>0</v>
      </c>
      <c r="BI181" s="386" t="s">
        <v>1481</v>
      </c>
      <c r="BK181" s="34"/>
      <c r="BL181" s="34"/>
    </row>
    <row r="182" spans="1:64" s="16" customFormat="1" ht="117" customHeight="1" x14ac:dyDescent="0.2">
      <c r="A182" s="29">
        <v>316</v>
      </c>
      <c r="B182" s="325" t="s">
        <v>1205</v>
      </c>
      <c r="C182" s="29">
        <v>1</v>
      </c>
      <c r="D182" s="325" t="s">
        <v>1201</v>
      </c>
      <c r="E182" s="29">
        <v>41</v>
      </c>
      <c r="F182" s="325" t="s">
        <v>661</v>
      </c>
      <c r="G182" s="29">
        <v>4103</v>
      </c>
      <c r="H182" s="325" t="s">
        <v>252</v>
      </c>
      <c r="I182" s="29">
        <v>4103</v>
      </c>
      <c r="J182" s="30" t="s">
        <v>1259</v>
      </c>
      <c r="K182" s="286" t="s">
        <v>738</v>
      </c>
      <c r="L182" s="29" t="s">
        <v>31</v>
      </c>
      <c r="M182" s="30" t="s">
        <v>739</v>
      </c>
      <c r="N182" s="192">
        <v>4103060</v>
      </c>
      <c r="O182" s="30" t="s">
        <v>734</v>
      </c>
      <c r="P182" s="29" t="s">
        <v>31</v>
      </c>
      <c r="Q182" s="295" t="s">
        <v>740</v>
      </c>
      <c r="R182" s="192">
        <v>410306000</v>
      </c>
      <c r="S182" s="295" t="s">
        <v>736</v>
      </c>
      <c r="T182" s="299" t="s">
        <v>1469</v>
      </c>
      <c r="U182" s="311">
        <v>2</v>
      </c>
      <c r="V182" s="311"/>
      <c r="W182" s="328">
        <f t="shared" si="11"/>
        <v>2</v>
      </c>
      <c r="X182" s="530">
        <v>1</v>
      </c>
      <c r="Y182" s="296">
        <v>2020003630036</v>
      </c>
      <c r="Z182" s="30" t="s">
        <v>1178</v>
      </c>
      <c r="AA182" s="297" t="s">
        <v>737</v>
      </c>
      <c r="AB182" s="44"/>
      <c r="AC182" s="44"/>
      <c r="AD182" s="44"/>
      <c r="AE182" s="44"/>
      <c r="AF182" s="44"/>
      <c r="AG182" s="44"/>
      <c r="AH182" s="44"/>
      <c r="AI182" s="44"/>
      <c r="AJ182" s="44"/>
      <c r="AK182" s="44"/>
      <c r="AL182" s="44"/>
      <c r="AM182" s="44"/>
      <c r="AN182" s="44"/>
      <c r="AO182" s="44"/>
      <c r="AP182" s="44"/>
      <c r="AQ182" s="44"/>
      <c r="AR182" s="44"/>
      <c r="AS182" s="44"/>
      <c r="AT182" s="356">
        <f>20000000+4300000+23275600</f>
        <v>47575600</v>
      </c>
      <c r="AU182" s="42">
        <v>0</v>
      </c>
      <c r="AV182" s="42">
        <v>0</v>
      </c>
      <c r="AW182" s="361"/>
      <c r="AX182" s="44"/>
      <c r="AY182" s="44"/>
      <c r="AZ182" s="358"/>
      <c r="BA182" s="44"/>
      <c r="BB182" s="44"/>
      <c r="BC182" s="361"/>
      <c r="BD182" s="44"/>
      <c r="BE182" s="44"/>
      <c r="BF182" s="298">
        <f t="shared" si="12"/>
        <v>47575600</v>
      </c>
      <c r="BG182" s="298">
        <f t="shared" si="13"/>
        <v>0</v>
      </c>
      <c r="BH182" s="298">
        <f t="shared" si="14"/>
        <v>0</v>
      </c>
      <c r="BI182" s="386" t="s">
        <v>1481</v>
      </c>
      <c r="BK182" s="34"/>
      <c r="BL182" s="34"/>
    </row>
    <row r="183" spans="1:64" s="16" customFormat="1" ht="117" customHeight="1" x14ac:dyDescent="0.2">
      <c r="A183" s="29">
        <v>316</v>
      </c>
      <c r="B183" s="325" t="s">
        <v>1205</v>
      </c>
      <c r="C183" s="29">
        <v>1</v>
      </c>
      <c r="D183" s="325" t="s">
        <v>1201</v>
      </c>
      <c r="E183" s="29">
        <v>41</v>
      </c>
      <c r="F183" s="325" t="s">
        <v>661</v>
      </c>
      <c r="G183" s="29">
        <v>4103</v>
      </c>
      <c r="H183" s="325" t="s">
        <v>252</v>
      </c>
      <c r="I183" s="29">
        <v>4103</v>
      </c>
      <c r="J183" s="30" t="s">
        <v>1259</v>
      </c>
      <c r="K183" s="297" t="s">
        <v>741</v>
      </c>
      <c r="L183" s="29" t="s">
        <v>31</v>
      </c>
      <c r="M183" s="30" t="s">
        <v>742</v>
      </c>
      <c r="N183" s="192">
        <v>4103052</v>
      </c>
      <c r="O183" s="30" t="s">
        <v>255</v>
      </c>
      <c r="P183" s="29" t="s">
        <v>31</v>
      </c>
      <c r="Q183" s="295" t="s">
        <v>743</v>
      </c>
      <c r="R183" s="192">
        <v>410305202</v>
      </c>
      <c r="S183" s="295" t="s">
        <v>722</v>
      </c>
      <c r="T183" s="299" t="s">
        <v>1469</v>
      </c>
      <c r="U183" s="311">
        <v>1</v>
      </c>
      <c r="V183" s="311"/>
      <c r="W183" s="328">
        <f t="shared" si="11"/>
        <v>1</v>
      </c>
      <c r="X183" s="530">
        <v>0.9</v>
      </c>
      <c r="Y183" s="296">
        <v>2020003630037</v>
      </c>
      <c r="Z183" s="30" t="s">
        <v>1179</v>
      </c>
      <c r="AA183" s="297" t="s">
        <v>744</v>
      </c>
      <c r="AB183" s="44"/>
      <c r="AC183" s="44"/>
      <c r="AD183" s="44"/>
      <c r="AE183" s="44"/>
      <c r="AF183" s="44"/>
      <c r="AG183" s="44"/>
      <c r="AH183" s="44"/>
      <c r="AI183" s="44"/>
      <c r="AJ183" s="44"/>
      <c r="AK183" s="44"/>
      <c r="AL183" s="44"/>
      <c r="AM183" s="44"/>
      <c r="AN183" s="44"/>
      <c r="AO183" s="44"/>
      <c r="AP183" s="44"/>
      <c r="AQ183" s="44"/>
      <c r="AR183" s="44"/>
      <c r="AS183" s="44"/>
      <c r="AT183" s="356">
        <f>40000000+679946</f>
        <v>40679946</v>
      </c>
      <c r="AU183" s="42">
        <v>37620000</v>
      </c>
      <c r="AV183" s="42">
        <v>36420000</v>
      </c>
      <c r="AW183" s="361"/>
      <c r="AX183" s="44"/>
      <c r="AY183" s="44"/>
      <c r="AZ183" s="358"/>
      <c r="BA183" s="44"/>
      <c r="BB183" s="44"/>
      <c r="BC183" s="361"/>
      <c r="BD183" s="44"/>
      <c r="BE183" s="44"/>
      <c r="BF183" s="298">
        <f t="shared" si="12"/>
        <v>40679946</v>
      </c>
      <c r="BG183" s="298">
        <f t="shared" si="13"/>
        <v>37620000</v>
      </c>
      <c r="BH183" s="298">
        <f t="shared" si="14"/>
        <v>36420000</v>
      </c>
      <c r="BI183" s="386" t="s">
        <v>1481</v>
      </c>
      <c r="BK183" s="34"/>
      <c r="BL183" s="34"/>
    </row>
    <row r="184" spans="1:64" s="16" customFormat="1" ht="117" customHeight="1" x14ac:dyDescent="0.2">
      <c r="A184" s="29">
        <v>316</v>
      </c>
      <c r="B184" s="325" t="s">
        <v>1205</v>
      </c>
      <c r="C184" s="29">
        <v>1</v>
      </c>
      <c r="D184" s="325" t="s">
        <v>1201</v>
      </c>
      <c r="E184" s="29">
        <v>41</v>
      </c>
      <c r="F184" s="325" t="s">
        <v>661</v>
      </c>
      <c r="G184" s="29">
        <v>4104</v>
      </c>
      <c r="H184" s="325" t="s">
        <v>745</v>
      </c>
      <c r="I184" s="29">
        <v>4104</v>
      </c>
      <c r="J184" s="30" t="s">
        <v>1260</v>
      </c>
      <c r="K184" s="301" t="s">
        <v>1161</v>
      </c>
      <c r="L184" s="29">
        <v>4104035</v>
      </c>
      <c r="M184" s="30" t="s">
        <v>746</v>
      </c>
      <c r="N184" s="192">
        <v>4104020</v>
      </c>
      <c r="O184" s="30" t="s">
        <v>747</v>
      </c>
      <c r="P184" s="29">
        <v>410403500</v>
      </c>
      <c r="Q184" s="295" t="s">
        <v>748</v>
      </c>
      <c r="R184" s="29">
        <v>410403500</v>
      </c>
      <c r="S184" s="295" t="s">
        <v>749</v>
      </c>
      <c r="T184" s="299" t="s">
        <v>1470</v>
      </c>
      <c r="U184" s="311">
        <v>115</v>
      </c>
      <c r="V184" s="311">
        <v>10</v>
      </c>
      <c r="W184" s="328">
        <f t="shared" si="11"/>
        <v>125</v>
      </c>
      <c r="X184" s="530">
        <v>51</v>
      </c>
      <c r="Y184" s="296">
        <v>2020003630035</v>
      </c>
      <c r="Z184" s="30" t="s">
        <v>1180</v>
      </c>
      <c r="AA184" s="297" t="s">
        <v>750</v>
      </c>
      <c r="AB184" s="44"/>
      <c r="AC184" s="44"/>
      <c r="AD184" s="44"/>
      <c r="AE184" s="44"/>
      <c r="AF184" s="44"/>
      <c r="AG184" s="44"/>
      <c r="AH184" s="44"/>
      <c r="AI184" s="44"/>
      <c r="AJ184" s="44"/>
      <c r="AK184" s="44"/>
      <c r="AL184" s="44"/>
      <c r="AM184" s="44"/>
      <c r="AN184" s="44"/>
      <c r="AO184" s="44"/>
      <c r="AP184" s="44"/>
      <c r="AQ184" s="44"/>
      <c r="AR184" s="44"/>
      <c r="AS184" s="44"/>
      <c r="AT184" s="356">
        <f>70000000</f>
        <v>70000000</v>
      </c>
      <c r="AU184" s="42">
        <v>70000000</v>
      </c>
      <c r="AV184" s="42">
        <v>0</v>
      </c>
      <c r="AW184" s="361"/>
      <c r="AX184" s="44"/>
      <c r="AY184" s="44"/>
      <c r="AZ184" s="358"/>
      <c r="BA184" s="44"/>
      <c r="BB184" s="44"/>
      <c r="BC184" s="361"/>
      <c r="BD184" s="44"/>
      <c r="BE184" s="44"/>
      <c r="BF184" s="298">
        <f t="shared" si="12"/>
        <v>70000000</v>
      </c>
      <c r="BG184" s="298">
        <f t="shared" si="13"/>
        <v>70000000</v>
      </c>
      <c r="BH184" s="298">
        <f t="shared" si="14"/>
        <v>0</v>
      </c>
      <c r="BI184" s="386" t="s">
        <v>1481</v>
      </c>
      <c r="BK184" s="34"/>
      <c r="BL184" s="34"/>
    </row>
    <row r="185" spans="1:64" s="16" customFormat="1" ht="117" customHeight="1" x14ac:dyDescent="0.2">
      <c r="A185" s="29">
        <v>316</v>
      </c>
      <c r="B185" s="325" t="s">
        <v>1205</v>
      </c>
      <c r="C185" s="29">
        <v>1</v>
      </c>
      <c r="D185" s="325" t="s">
        <v>1201</v>
      </c>
      <c r="E185" s="29">
        <v>41</v>
      </c>
      <c r="F185" s="325" t="s">
        <v>661</v>
      </c>
      <c r="G185" s="29">
        <v>4104</v>
      </c>
      <c r="H185" s="325" t="s">
        <v>745</v>
      </c>
      <c r="I185" s="29">
        <v>4104</v>
      </c>
      <c r="J185" s="30" t="s">
        <v>1260</v>
      </c>
      <c r="K185" s="301" t="s">
        <v>1162</v>
      </c>
      <c r="L185" s="29">
        <v>4104035</v>
      </c>
      <c r="M185" s="30" t="s">
        <v>746</v>
      </c>
      <c r="N185" s="192">
        <v>4104020</v>
      </c>
      <c r="O185" s="30" t="s">
        <v>747</v>
      </c>
      <c r="P185" s="29" t="s">
        <v>31</v>
      </c>
      <c r="Q185" s="301" t="s">
        <v>751</v>
      </c>
      <c r="R185" s="192">
        <v>410402000</v>
      </c>
      <c r="S185" s="295" t="s">
        <v>749</v>
      </c>
      <c r="T185" s="299" t="s">
        <v>1469</v>
      </c>
      <c r="U185" s="311">
        <v>12</v>
      </c>
      <c r="V185" s="311"/>
      <c r="W185" s="328">
        <f t="shared" si="11"/>
        <v>12</v>
      </c>
      <c r="X185" s="530">
        <v>12</v>
      </c>
      <c r="Y185" s="296">
        <v>2020003630035</v>
      </c>
      <c r="Z185" s="30" t="s">
        <v>1180</v>
      </c>
      <c r="AA185" s="297" t="s">
        <v>750</v>
      </c>
      <c r="AB185" s="44"/>
      <c r="AC185" s="44"/>
      <c r="AD185" s="44"/>
      <c r="AE185" s="44"/>
      <c r="AF185" s="44"/>
      <c r="AG185" s="44"/>
      <c r="AH185" s="44"/>
      <c r="AI185" s="44"/>
      <c r="AJ185" s="44"/>
      <c r="AK185" s="44"/>
      <c r="AL185" s="44"/>
      <c r="AM185" s="44"/>
      <c r="AN185" s="44"/>
      <c r="AO185" s="44"/>
      <c r="AP185" s="44"/>
      <c r="AQ185" s="44"/>
      <c r="AR185" s="44"/>
      <c r="AS185" s="44"/>
      <c r="AT185" s="356">
        <f>111000000+33196186.61+17310000+10578332</f>
        <v>172084518.61000001</v>
      </c>
      <c r="AU185" s="42">
        <v>167084518</v>
      </c>
      <c r="AV185" s="42">
        <v>107745000</v>
      </c>
      <c r="AW185" s="361"/>
      <c r="AX185" s="44"/>
      <c r="AY185" s="44"/>
      <c r="AZ185" s="358"/>
      <c r="BA185" s="44"/>
      <c r="BB185" s="44"/>
      <c r="BC185" s="361"/>
      <c r="BD185" s="44"/>
      <c r="BE185" s="44"/>
      <c r="BF185" s="298">
        <f t="shared" si="12"/>
        <v>172084518.61000001</v>
      </c>
      <c r="BG185" s="298">
        <f t="shared" si="13"/>
        <v>167084518</v>
      </c>
      <c r="BH185" s="298">
        <f t="shared" si="14"/>
        <v>107745000</v>
      </c>
      <c r="BI185" s="386" t="s">
        <v>1481</v>
      </c>
      <c r="BK185" s="34"/>
      <c r="BL185" s="34"/>
    </row>
    <row r="186" spans="1:64" s="16" customFormat="1" ht="117" customHeight="1" x14ac:dyDescent="0.2">
      <c r="A186" s="29">
        <v>316</v>
      </c>
      <c r="B186" s="325" t="s">
        <v>1205</v>
      </c>
      <c r="C186" s="29">
        <v>1</v>
      </c>
      <c r="D186" s="325" t="s">
        <v>1201</v>
      </c>
      <c r="E186" s="29">
        <v>41</v>
      </c>
      <c r="F186" s="325" t="s">
        <v>661</v>
      </c>
      <c r="G186" s="29">
        <v>4104</v>
      </c>
      <c r="H186" s="325" t="s">
        <v>745</v>
      </c>
      <c r="I186" s="29">
        <v>4104</v>
      </c>
      <c r="J186" s="30" t="s">
        <v>1260</v>
      </c>
      <c r="K186" s="297" t="s">
        <v>752</v>
      </c>
      <c r="L186" s="287">
        <v>4104026</v>
      </c>
      <c r="M186" s="30" t="s">
        <v>753</v>
      </c>
      <c r="N186" s="192">
        <v>4104027</v>
      </c>
      <c r="O186" s="30" t="s">
        <v>754</v>
      </c>
      <c r="P186" s="29" t="s">
        <v>31</v>
      </c>
      <c r="Q186" s="295" t="s">
        <v>755</v>
      </c>
      <c r="R186" s="192">
        <v>410402700</v>
      </c>
      <c r="S186" s="295" t="s">
        <v>756</v>
      </c>
      <c r="T186" s="299" t="s">
        <v>1469</v>
      </c>
      <c r="U186" s="311">
        <v>12</v>
      </c>
      <c r="V186" s="311"/>
      <c r="W186" s="328">
        <f t="shared" si="11"/>
        <v>12</v>
      </c>
      <c r="X186" s="530">
        <v>6</v>
      </c>
      <c r="Y186" s="296">
        <v>2020003630012</v>
      </c>
      <c r="Z186" s="30" t="s">
        <v>1166</v>
      </c>
      <c r="AA186" s="297" t="s">
        <v>757</v>
      </c>
      <c r="AB186" s="44"/>
      <c r="AC186" s="44"/>
      <c r="AD186" s="44"/>
      <c r="AE186" s="44"/>
      <c r="AF186" s="44"/>
      <c r="AG186" s="44"/>
      <c r="AH186" s="44"/>
      <c r="AI186" s="44"/>
      <c r="AJ186" s="44"/>
      <c r="AK186" s="44"/>
      <c r="AL186" s="44"/>
      <c r="AM186" s="44"/>
      <c r="AN186" s="44"/>
      <c r="AO186" s="44"/>
      <c r="AP186" s="44"/>
      <c r="AQ186" s="44"/>
      <c r="AR186" s="44"/>
      <c r="AS186" s="44"/>
      <c r="AT186" s="356">
        <f>45000000+15000000</f>
        <v>60000000</v>
      </c>
      <c r="AU186" s="42">
        <v>45291720</v>
      </c>
      <c r="AV186" s="42">
        <v>22878000</v>
      </c>
      <c r="AW186" s="361"/>
      <c r="AX186" s="44"/>
      <c r="AY186" s="44"/>
      <c r="AZ186" s="358"/>
      <c r="BA186" s="44"/>
      <c r="BB186" s="44"/>
      <c r="BC186" s="361"/>
      <c r="BD186" s="44"/>
      <c r="BE186" s="44"/>
      <c r="BF186" s="298">
        <f t="shared" si="12"/>
        <v>60000000</v>
      </c>
      <c r="BG186" s="298">
        <f t="shared" si="13"/>
        <v>45291720</v>
      </c>
      <c r="BH186" s="298">
        <f t="shared" si="14"/>
        <v>22878000</v>
      </c>
      <c r="BI186" s="386" t="s">
        <v>1481</v>
      </c>
      <c r="BK186" s="34"/>
      <c r="BL186" s="34"/>
    </row>
    <row r="187" spans="1:64" s="16" customFormat="1" ht="117" customHeight="1" x14ac:dyDescent="0.2">
      <c r="A187" s="29">
        <v>316</v>
      </c>
      <c r="B187" s="325" t="s">
        <v>1205</v>
      </c>
      <c r="C187" s="29">
        <v>1</v>
      </c>
      <c r="D187" s="325" t="s">
        <v>1201</v>
      </c>
      <c r="E187" s="29">
        <v>41</v>
      </c>
      <c r="F187" s="325" t="s">
        <v>661</v>
      </c>
      <c r="G187" s="29">
        <v>4104</v>
      </c>
      <c r="H187" s="325" t="s">
        <v>745</v>
      </c>
      <c r="I187" s="29">
        <v>4104</v>
      </c>
      <c r="J187" s="30" t="s">
        <v>1260</v>
      </c>
      <c r="K187" s="297" t="s">
        <v>758</v>
      </c>
      <c r="L187" s="192">
        <v>4104015</v>
      </c>
      <c r="M187" s="303" t="s">
        <v>759</v>
      </c>
      <c r="N187" s="192">
        <v>4104015</v>
      </c>
      <c r="O187" s="303" t="s">
        <v>760</v>
      </c>
      <c r="P187" s="287">
        <v>410401500</v>
      </c>
      <c r="Q187" s="295" t="s">
        <v>761</v>
      </c>
      <c r="R187" s="287">
        <v>410401500</v>
      </c>
      <c r="S187" s="295" t="s">
        <v>762</v>
      </c>
      <c r="T187" s="299" t="s">
        <v>1469</v>
      </c>
      <c r="U187" s="311">
        <v>7500</v>
      </c>
      <c r="V187" s="311"/>
      <c r="W187" s="328">
        <f t="shared" si="11"/>
        <v>7500</v>
      </c>
      <c r="X187" s="300">
        <v>7109</v>
      </c>
      <c r="Y187" s="296">
        <v>2020003630109</v>
      </c>
      <c r="Z187" s="30" t="s">
        <v>1378</v>
      </c>
      <c r="AA187" s="297" t="s">
        <v>764</v>
      </c>
      <c r="AB187" s="44"/>
      <c r="AC187" s="44"/>
      <c r="AD187" s="44"/>
      <c r="AE187" s="44"/>
      <c r="AF187" s="44"/>
      <c r="AG187" s="44"/>
      <c r="AH187" s="44"/>
      <c r="AI187" s="44"/>
      <c r="AJ187" s="44"/>
      <c r="AK187" s="44"/>
      <c r="AL187" s="44"/>
      <c r="AM187" s="44"/>
      <c r="AN187" s="44"/>
      <c r="AO187" s="44"/>
      <c r="AP187" s="44"/>
      <c r="AQ187" s="44"/>
      <c r="AR187" s="44"/>
      <c r="AS187" s="44"/>
      <c r="AT187" s="356">
        <f>20000000+28700000+10000000+50000000+17286490+10578334</f>
        <v>136564824</v>
      </c>
      <c r="AU187" s="42">
        <v>103850982</v>
      </c>
      <c r="AV187" s="42">
        <v>44130000</v>
      </c>
      <c r="AW187" s="361"/>
      <c r="AX187" s="44"/>
      <c r="AY187" s="44"/>
      <c r="AZ187" s="358"/>
      <c r="BA187" s="44"/>
      <c r="BB187" s="44"/>
      <c r="BC187" s="361"/>
      <c r="BD187" s="44"/>
      <c r="BE187" s="44"/>
      <c r="BF187" s="298">
        <f t="shared" si="12"/>
        <v>136564824</v>
      </c>
      <c r="BG187" s="298">
        <f t="shared" si="13"/>
        <v>103850982</v>
      </c>
      <c r="BH187" s="298">
        <f t="shared" si="14"/>
        <v>44130000</v>
      </c>
      <c r="BI187" s="386" t="s">
        <v>1481</v>
      </c>
      <c r="BK187" s="34"/>
      <c r="BL187" s="34"/>
    </row>
    <row r="188" spans="1:64" s="16" customFormat="1" ht="117" customHeight="1" x14ac:dyDescent="0.2">
      <c r="A188" s="29">
        <v>316</v>
      </c>
      <c r="B188" s="325" t="s">
        <v>1205</v>
      </c>
      <c r="C188" s="29">
        <v>1</v>
      </c>
      <c r="D188" s="325" t="s">
        <v>1201</v>
      </c>
      <c r="E188" s="29">
        <v>41</v>
      </c>
      <c r="F188" s="325" t="s">
        <v>661</v>
      </c>
      <c r="G188" s="29">
        <v>4104</v>
      </c>
      <c r="H188" s="325" t="s">
        <v>745</v>
      </c>
      <c r="I188" s="29">
        <v>4104</v>
      </c>
      <c r="J188" s="30" t="s">
        <v>1260</v>
      </c>
      <c r="K188" s="297" t="s">
        <v>765</v>
      </c>
      <c r="L188" s="29" t="s">
        <v>31</v>
      </c>
      <c r="M188" s="303" t="s">
        <v>766</v>
      </c>
      <c r="N188" s="29">
        <v>4104008</v>
      </c>
      <c r="O188" s="303" t="s">
        <v>767</v>
      </c>
      <c r="P188" s="29" t="s">
        <v>31</v>
      </c>
      <c r="Q188" s="301" t="s">
        <v>768</v>
      </c>
      <c r="R188" s="29">
        <v>410400800</v>
      </c>
      <c r="S188" s="301" t="s">
        <v>769</v>
      </c>
      <c r="T188" s="299" t="s">
        <v>1469</v>
      </c>
      <c r="U188" s="311">
        <v>12</v>
      </c>
      <c r="V188" s="311"/>
      <c r="W188" s="328">
        <f t="shared" si="11"/>
        <v>12</v>
      </c>
      <c r="X188" s="530">
        <v>12</v>
      </c>
      <c r="Y188" s="296">
        <v>2020003630109</v>
      </c>
      <c r="Z188" s="30" t="s">
        <v>1378</v>
      </c>
      <c r="AA188" s="297" t="s">
        <v>764</v>
      </c>
      <c r="AB188" s="44">
        <f>3393118962+1400016+658216640+511986149.98+1479555993.59</f>
        <v>6044277761.5699997</v>
      </c>
      <c r="AC188" s="44">
        <v>2810174485.25</v>
      </c>
      <c r="AD188" s="44">
        <v>2810174485.25</v>
      </c>
      <c r="AE188" s="44"/>
      <c r="AF188" s="44"/>
      <c r="AG188" s="44"/>
      <c r="AH188" s="44"/>
      <c r="AI188" s="44"/>
      <c r="AJ188" s="44"/>
      <c r="AK188" s="44"/>
      <c r="AL188" s="44"/>
      <c r="AM188" s="44"/>
      <c r="AN188" s="44"/>
      <c r="AO188" s="44"/>
      <c r="AP188" s="44"/>
      <c r="AQ188" s="44"/>
      <c r="AR188" s="44"/>
      <c r="AS188" s="44"/>
      <c r="AT188" s="356"/>
      <c r="AU188" s="42"/>
      <c r="AV188" s="42"/>
      <c r="AW188" s="361"/>
      <c r="AX188" s="44"/>
      <c r="AY188" s="44"/>
      <c r="AZ188" s="358"/>
      <c r="BA188" s="44"/>
      <c r="BB188" s="44"/>
      <c r="BC188" s="361"/>
      <c r="BD188" s="44"/>
      <c r="BE188" s="44"/>
      <c r="BF188" s="298">
        <f t="shared" si="12"/>
        <v>6044277761.5699997</v>
      </c>
      <c r="BG188" s="298">
        <f t="shared" si="13"/>
        <v>2810174485.25</v>
      </c>
      <c r="BH188" s="298">
        <f t="shared" si="14"/>
        <v>2810174485.25</v>
      </c>
      <c r="BI188" s="386" t="s">
        <v>1481</v>
      </c>
      <c r="BK188" s="34"/>
      <c r="BL188" s="34"/>
    </row>
    <row r="189" spans="1:64" s="16" customFormat="1" ht="117" customHeight="1" x14ac:dyDescent="0.2">
      <c r="A189" s="29">
        <v>316</v>
      </c>
      <c r="B189" s="325" t="s">
        <v>1205</v>
      </c>
      <c r="C189" s="29">
        <v>2</v>
      </c>
      <c r="D189" s="325" t="s">
        <v>1197</v>
      </c>
      <c r="E189" s="29">
        <v>17</v>
      </c>
      <c r="F189" s="325" t="s">
        <v>375</v>
      </c>
      <c r="G189" s="29">
        <v>1702</v>
      </c>
      <c r="H189" s="325" t="s">
        <v>376</v>
      </c>
      <c r="I189" s="29">
        <v>1702</v>
      </c>
      <c r="J189" s="30" t="s">
        <v>1233</v>
      </c>
      <c r="K189" s="297" t="s">
        <v>770</v>
      </c>
      <c r="L189" s="192">
        <v>1702011</v>
      </c>
      <c r="M189" s="30" t="s">
        <v>771</v>
      </c>
      <c r="N189" s="192">
        <v>1702011</v>
      </c>
      <c r="O189" s="30" t="s">
        <v>771</v>
      </c>
      <c r="P189" s="287" t="s">
        <v>772</v>
      </c>
      <c r="Q189" s="295" t="s">
        <v>773</v>
      </c>
      <c r="R189" s="287">
        <v>170201102</v>
      </c>
      <c r="S189" s="295" t="s">
        <v>773</v>
      </c>
      <c r="T189" s="299" t="s">
        <v>1470</v>
      </c>
      <c r="U189" s="311">
        <v>10</v>
      </c>
      <c r="V189" s="311"/>
      <c r="W189" s="328">
        <f t="shared" si="11"/>
        <v>10</v>
      </c>
      <c r="X189" s="530">
        <v>8</v>
      </c>
      <c r="Y189" s="296">
        <v>2020003630113</v>
      </c>
      <c r="Z189" s="30" t="s">
        <v>1377</v>
      </c>
      <c r="AA189" s="297" t="s">
        <v>775</v>
      </c>
      <c r="AB189" s="44"/>
      <c r="AC189" s="44"/>
      <c r="AD189" s="44"/>
      <c r="AE189" s="44"/>
      <c r="AF189" s="44"/>
      <c r="AG189" s="44"/>
      <c r="AH189" s="44"/>
      <c r="AI189" s="44"/>
      <c r="AJ189" s="44"/>
      <c r="AK189" s="44"/>
      <c r="AL189" s="44"/>
      <c r="AM189" s="44"/>
      <c r="AN189" s="44"/>
      <c r="AO189" s="44"/>
      <c r="AP189" s="44"/>
      <c r="AQ189" s="44"/>
      <c r="AR189" s="44"/>
      <c r="AS189" s="44"/>
      <c r="AT189" s="356">
        <v>18000000</v>
      </c>
      <c r="AU189" s="42">
        <v>18000000</v>
      </c>
      <c r="AV189" s="42">
        <v>16770000</v>
      </c>
      <c r="AW189" s="361"/>
      <c r="AX189" s="44"/>
      <c r="AY189" s="44"/>
      <c r="AZ189" s="358"/>
      <c r="BA189" s="44"/>
      <c r="BB189" s="44"/>
      <c r="BC189" s="361"/>
      <c r="BD189" s="44"/>
      <c r="BE189" s="44"/>
      <c r="BF189" s="298">
        <f t="shared" si="12"/>
        <v>18000000</v>
      </c>
      <c r="BG189" s="298">
        <f t="shared" si="13"/>
        <v>18000000</v>
      </c>
      <c r="BH189" s="298">
        <f t="shared" si="14"/>
        <v>16770000</v>
      </c>
      <c r="BI189" s="386" t="s">
        <v>1481</v>
      </c>
      <c r="BK189" s="34"/>
      <c r="BL189" s="34"/>
    </row>
    <row r="190" spans="1:64" s="16" customFormat="1" ht="117" customHeight="1" x14ac:dyDescent="0.2">
      <c r="A190" s="29">
        <v>316</v>
      </c>
      <c r="B190" s="325" t="s">
        <v>1205</v>
      </c>
      <c r="C190" s="29">
        <v>2</v>
      </c>
      <c r="D190" s="325" t="s">
        <v>1197</v>
      </c>
      <c r="E190" s="29">
        <v>36</v>
      </c>
      <c r="F190" s="325" t="s">
        <v>358</v>
      </c>
      <c r="G190" s="29">
        <v>3604</v>
      </c>
      <c r="H190" s="325" t="s">
        <v>776</v>
      </c>
      <c r="I190" s="29">
        <v>3604</v>
      </c>
      <c r="J190" s="30" t="s">
        <v>1255</v>
      </c>
      <c r="K190" s="297" t="s">
        <v>777</v>
      </c>
      <c r="L190" s="29">
        <v>3604006</v>
      </c>
      <c r="M190" s="30" t="s">
        <v>778</v>
      </c>
      <c r="N190" s="29">
        <v>3604006</v>
      </c>
      <c r="O190" s="30" t="s">
        <v>778</v>
      </c>
      <c r="P190" s="287">
        <v>360400600</v>
      </c>
      <c r="Q190" s="295" t="s">
        <v>274</v>
      </c>
      <c r="R190" s="287">
        <v>360400600</v>
      </c>
      <c r="S190" s="295" t="s">
        <v>274</v>
      </c>
      <c r="T190" s="299" t="s">
        <v>1470</v>
      </c>
      <c r="U190" s="347">
        <v>250</v>
      </c>
      <c r="V190" s="347"/>
      <c r="W190" s="328">
        <f t="shared" si="11"/>
        <v>250</v>
      </c>
      <c r="X190" s="538">
        <v>187</v>
      </c>
      <c r="Y190" s="296">
        <v>2020003630114</v>
      </c>
      <c r="Z190" s="303" t="s">
        <v>779</v>
      </c>
      <c r="AA190" s="312" t="s">
        <v>780</v>
      </c>
      <c r="AB190" s="44"/>
      <c r="AC190" s="44"/>
      <c r="AD190" s="44"/>
      <c r="AE190" s="44"/>
      <c r="AF190" s="44"/>
      <c r="AG190" s="44"/>
      <c r="AH190" s="44"/>
      <c r="AI190" s="44"/>
      <c r="AJ190" s="44"/>
      <c r="AK190" s="44"/>
      <c r="AL190" s="44"/>
      <c r="AM190" s="44"/>
      <c r="AN190" s="44"/>
      <c r="AO190" s="44"/>
      <c r="AP190" s="44"/>
      <c r="AQ190" s="44"/>
      <c r="AR190" s="44"/>
      <c r="AS190" s="44"/>
      <c r="AT190" s="356">
        <f>18000000-4000000+10000000</f>
        <v>24000000</v>
      </c>
      <c r="AU190" s="42">
        <v>24000000</v>
      </c>
      <c r="AV190" s="42">
        <v>16885000</v>
      </c>
      <c r="AW190" s="361"/>
      <c r="AX190" s="44"/>
      <c r="AY190" s="44"/>
      <c r="AZ190" s="358"/>
      <c r="BA190" s="44"/>
      <c r="BB190" s="44"/>
      <c r="BC190" s="361"/>
      <c r="BD190" s="44"/>
      <c r="BE190" s="44"/>
      <c r="BF190" s="298">
        <f t="shared" si="12"/>
        <v>24000000</v>
      </c>
      <c r="BG190" s="298">
        <f t="shared" si="13"/>
        <v>24000000</v>
      </c>
      <c r="BH190" s="298">
        <f t="shared" si="14"/>
        <v>16885000</v>
      </c>
      <c r="BI190" s="386" t="s">
        <v>1481</v>
      </c>
      <c r="BK190" s="34"/>
      <c r="BL190" s="34"/>
    </row>
    <row r="191" spans="1:64" s="16" customFormat="1" ht="117" customHeight="1" x14ac:dyDescent="0.2">
      <c r="A191" s="29">
        <v>316</v>
      </c>
      <c r="B191" s="325" t="s">
        <v>1205</v>
      </c>
      <c r="C191" s="29">
        <v>4</v>
      </c>
      <c r="D191" s="325" t="s">
        <v>1206</v>
      </c>
      <c r="E191" s="29">
        <v>45</v>
      </c>
      <c r="F191" s="325" t="s">
        <v>781</v>
      </c>
      <c r="G191" s="29">
        <v>4502</v>
      </c>
      <c r="H191" s="325" t="s">
        <v>1224</v>
      </c>
      <c r="I191" s="29">
        <v>4502</v>
      </c>
      <c r="J191" s="30" t="s">
        <v>1223</v>
      </c>
      <c r="K191" s="297" t="s">
        <v>782</v>
      </c>
      <c r="L191" s="192">
        <v>4502001</v>
      </c>
      <c r="M191" s="30" t="s">
        <v>58</v>
      </c>
      <c r="N191" s="192">
        <v>4502001</v>
      </c>
      <c r="O191" s="30" t="s">
        <v>58</v>
      </c>
      <c r="P191" s="29" t="s">
        <v>31</v>
      </c>
      <c r="Q191" s="295" t="s">
        <v>783</v>
      </c>
      <c r="R191" s="192">
        <v>450200108</v>
      </c>
      <c r="S191" s="295" t="s">
        <v>784</v>
      </c>
      <c r="T191" s="299" t="s">
        <v>1470</v>
      </c>
      <c r="U191" s="311">
        <v>1</v>
      </c>
      <c r="V191" s="311">
        <v>1</v>
      </c>
      <c r="W191" s="328">
        <f t="shared" si="11"/>
        <v>2</v>
      </c>
      <c r="X191" s="530">
        <v>0</v>
      </c>
      <c r="Y191" s="296">
        <v>2020003630115</v>
      </c>
      <c r="Z191" s="30" t="s">
        <v>1374</v>
      </c>
      <c r="AA191" s="297" t="s">
        <v>786</v>
      </c>
      <c r="AB191" s="44"/>
      <c r="AC191" s="44"/>
      <c r="AD191" s="44"/>
      <c r="AE191" s="44"/>
      <c r="AF191" s="44"/>
      <c r="AG191" s="44"/>
      <c r="AH191" s="44"/>
      <c r="AI191" s="44"/>
      <c r="AJ191" s="44"/>
      <c r="AK191" s="44"/>
      <c r="AL191" s="44"/>
      <c r="AM191" s="44"/>
      <c r="AN191" s="44"/>
      <c r="AO191" s="44"/>
      <c r="AP191" s="44"/>
      <c r="AQ191" s="44"/>
      <c r="AR191" s="44"/>
      <c r="AS191" s="44"/>
      <c r="AT191" s="356">
        <f>18000000-3000000</f>
        <v>15000000</v>
      </c>
      <c r="AU191" s="42">
        <v>0</v>
      </c>
      <c r="AV191" s="42">
        <v>0</v>
      </c>
      <c r="AW191" s="361"/>
      <c r="AX191" s="44"/>
      <c r="AY191" s="44"/>
      <c r="AZ191" s="358"/>
      <c r="BA191" s="44"/>
      <c r="BB191" s="44"/>
      <c r="BC191" s="361"/>
      <c r="BD191" s="44"/>
      <c r="BE191" s="44"/>
      <c r="BF191" s="298">
        <f t="shared" si="12"/>
        <v>15000000</v>
      </c>
      <c r="BG191" s="298">
        <f t="shared" si="13"/>
        <v>0</v>
      </c>
      <c r="BH191" s="298">
        <f t="shared" si="14"/>
        <v>0</v>
      </c>
      <c r="BI191" s="386" t="s">
        <v>1481</v>
      </c>
      <c r="BK191" s="34"/>
      <c r="BL191" s="34"/>
    </row>
    <row r="192" spans="1:64" s="16" customFormat="1" ht="165.75" customHeight="1" x14ac:dyDescent="0.2">
      <c r="A192" s="29">
        <v>316</v>
      </c>
      <c r="B192" s="325" t="s">
        <v>1205</v>
      </c>
      <c r="C192" s="29">
        <v>4</v>
      </c>
      <c r="D192" s="325" t="s">
        <v>1206</v>
      </c>
      <c r="E192" s="29">
        <v>45</v>
      </c>
      <c r="F192" s="325" t="s">
        <v>781</v>
      </c>
      <c r="G192" s="29">
        <v>4502</v>
      </c>
      <c r="H192" s="325" t="s">
        <v>1224</v>
      </c>
      <c r="I192" s="29">
        <v>4502</v>
      </c>
      <c r="J192" s="30" t="s">
        <v>1223</v>
      </c>
      <c r="K192" s="301" t="s">
        <v>793</v>
      </c>
      <c r="L192" s="29" t="s">
        <v>31</v>
      </c>
      <c r="M192" s="30" t="s">
        <v>787</v>
      </c>
      <c r="N192" s="304">
        <v>4502038</v>
      </c>
      <c r="O192" s="30" t="s">
        <v>788</v>
      </c>
      <c r="P192" s="29" t="s">
        <v>31</v>
      </c>
      <c r="Q192" s="295" t="s">
        <v>789</v>
      </c>
      <c r="R192" s="300">
        <v>450203800</v>
      </c>
      <c r="S192" s="295" t="s">
        <v>790</v>
      </c>
      <c r="T192" s="299" t="s">
        <v>1469</v>
      </c>
      <c r="U192" s="311">
        <v>1</v>
      </c>
      <c r="V192" s="311"/>
      <c r="W192" s="328">
        <f t="shared" si="11"/>
        <v>1</v>
      </c>
      <c r="X192" s="530">
        <v>0.75</v>
      </c>
      <c r="Y192" s="39">
        <v>2021003630008</v>
      </c>
      <c r="Z192" s="30" t="s">
        <v>1375</v>
      </c>
      <c r="AA192" s="297" t="s">
        <v>792</v>
      </c>
      <c r="AB192" s="44"/>
      <c r="AC192" s="44"/>
      <c r="AD192" s="44"/>
      <c r="AE192" s="44"/>
      <c r="AF192" s="44"/>
      <c r="AG192" s="44"/>
      <c r="AH192" s="44"/>
      <c r="AI192" s="44"/>
      <c r="AJ192" s="44"/>
      <c r="AK192" s="44"/>
      <c r="AL192" s="44"/>
      <c r="AM192" s="44"/>
      <c r="AN192" s="44"/>
      <c r="AO192" s="44"/>
      <c r="AP192" s="44"/>
      <c r="AQ192" s="44"/>
      <c r="AR192" s="44"/>
      <c r="AS192" s="44"/>
      <c r="AT192" s="356">
        <f>95000000-18000000+9900000</f>
        <v>86900000</v>
      </c>
      <c r="AU192" s="42">
        <v>82450000</v>
      </c>
      <c r="AV192" s="42">
        <v>58440900</v>
      </c>
      <c r="AW192" s="361"/>
      <c r="AX192" s="44"/>
      <c r="AY192" s="44"/>
      <c r="AZ192" s="358"/>
      <c r="BA192" s="44"/>
      <c r="BB192" s="44"/>
      <c r="BC192" s="361"/>
      <c r="BD192" s="44"/>
      <c r="BE192" s="44"/>
      <c r="BF192" s="298">
        <f t="shared" si="12"/>
        <v>86900000</v>
      </c>
      <c r="BG192" s="298">
        <f t="shared" si="13"/>
        <v>82450000</v>
      </c>
      <c r="BH192" s="298">
        <f t="shared" si="14"/>
        <v>58440900</v>
      </c>
      <c r="BI192" s="386" t="s">
        <v>1481</v>
      </c>
      <c r="BK192" s="34"/>
      <c r="BL192" s="34"/>
    </row>
    <row r="193" spans="1:64" s="16" customFormat="1" ht="165.75" customHeight="1" x14ac:dyDescent="0.2">
      <c r="A193" s="29">
        <v>316</v>
      </c>
      <c r="B193" s="325" t="s">
        <v>1205</v>
      </c>
      <c r="C193" s="29">
        <v>4</v>
      </c>
      <c r="D193" s="325" t="s">
        <v>1206</v>
      </c>
      <c r="E193" s="29">
        <v>45</v>
      </c>
      <c r="F193" s="325" t="s">
        <v>781</v>
      </c>
      <c r="G193" s="29">
        <v>4502</v>
      </c>
      <c r="H193" s="325" t="s">
        <v>1224</v>
      </c>
      <c r="I193" s="29">
        <v>4502</v>
      </c>
      <c r="J193" s="30" t="s">
        <v>1223</v>
      </c>
      <c r="K193" s="297" t="s">
        <v>793</v>
      </c>
      <c r="L193" s="29" t="s">
        <v>31</v>
      </c>
      <c r="M193" s="30" t="s">
        <v>794</v>
      </c>
      <c r="N193" s="304">
        <v>4502038</v>
      </c>
      <c r="O193" s="30" t="s">
        <v>788</v>
      </c>
      <c r="P193" s="29" t="s">
        <v>31</v>
      </c>
      <c r="Q193" s="295" t="s">
        <v>795</v>
      </c>
      <c r="R193" s="300">
        <v>450203800</v>
      </c>
      <c r="S193" s="295" t="s">
        <v>790</v>
      </c>
      <c r="T193" s="299" t="s">
        <v>1469</v>
      </c>
      <c r="U193" s="311">
        <v>1</v>
      </c>
      <c r="V193" s="311"/>
      <c r="W193" s="328">
        <f t="shared" si="11"/>
        <v>1</v>
      </c>
      <c r="X193" s="530">
        <v>0.75</v>
      </c>
      <c r="Y193" s="39">
        <v>2021003630007</v>
      </c>
      <c r="Z193" s="297" t="s">
        <v>1376</v>
      </c>
      <c r="AA193" s="297" t="s">
        <v>796</v>
      </c>
      <c r="AB193" s="44"/>
      <c r="AC193" s="44"/>
      <c r="AD193" s="44"/>
      <c r="AE193" s="44"/>
      <c r="AF193" s="44"/>
      <c r="AG193" s="44"/>
      <c r="AH193" s="44"/>
      <c r="AI193" s="44"/>
      <c r="AJ193" s="44"/>
      <c r="AK193" s="44"/>
      <c r="AL193" s="44"/>
      <c r="AM193" s="44"/>
      <c r="AN193" s="44"/>
      <c r="AO193" s="44"/>
      <c r="AP193" s="44"/>
      <c r="AQ193" s="44"/>
      <c r="AR193" s="44"/>
      <c r="AS193" s="44"/>
      <c r="AT193" s="356">
        <v>90000000</v>
      </c>
      <c r="AU193" s="42">
        <v>56020000</v>
      </c>
      <c r="AV193" s="42">
        <v>28173200</v>
      </c>
      <c r="AW193" s="361"/>
      <c r="AX193" s="44"/>
      <c r="AY193" s="44"/>
      <c r="AZ193" s="358"/>
      <c r="BA193" s="44"/>
      <c r="BB193" s="44"/>
      <c r="BC193" s="361"/>
      <c r="BD193" s="44"/>
      <c r="BE193" s="44"/>
      <c r="BF193" s="298">
        <f t="shared" si="12"/>
        <v>90000000</v>
      </c>
      <c r="BG193" s="298">
        <f t="shared" si="13"/>
        <v>56020000</v>
      </c>
      <c r="BH193" s="298">
        <f t="shared" si="14"/>
        <v>28173200</v>
      </c>
      <c r="BI193" s="386" t="s">
        <v>1481</v>
      </c>
      <c r="BK193" s="34"/>
      <c r="BL193" s="34"/>
    </row>
    <row r="194" spans="1:64" s="16" customFormat="1" ht="117" customHeight="1" x14ac:dyDescent="0.2">
      <c r="A194" s="29">
        <v>316</v>
      </c>
      <c r="B194" s="325" t="s">
        <v>1205</v>
      </c>
      <c r="C194" s="29">
        <v>4</v>
      </c>
      <c r="D194" s="325" t="s">
        <v>1206</v>
      </c>
      <c r="E194" s="29">
        <v>45</v>
      </c>
      <c r="F194" s="325" t="s">
        <v>781</v>
      </c>
      <c r="G194" s="29">
        <v>4502</v>
      </c>
      <c r="H194" s="325" t="s">
        <v>1224</v>
      </c>
      <c r="I194" s="29">
        <v>4502</v>
      </c>
      <c r="J194" s="30" t="s">
        <v>1223</v>
      </c>
      <c r="K194" s="301" t="s">
        <v>1163</v>
      </c>
      <c r="L194" s="192">
        <v>4502024</v>
      </c>
      <c r="M194" s="30" t="s">
        <v>284</v>
      </c>
      <c r="N194" s="192">
        <v>4502024</v>
      </c>
      <c r="O194" s="30" t="s">
        <v>284</v>
      </c>
      <c r="P194" s="29" t="s">
        <v>31</v>
      </c>
      <c r="Q194" s="295" t="s">
        <v>797</v>
      </c>
      <c r="R194" s="192">
        <v>450202401</v>
      </c>
      <c r="S194" s="30" t="s">
        <v>798</v>
      </c>
      <c r="T194" s="299" t="s">
        <v>1469</v>
      </c>
      <c r="U194" s="311">
        <v>1</v>
      </c>
      <c r="V194" s="311"/>
      <c r="W194" s="328">
        <f t="shared" si="11"/>
        <v>1</v>
      </c>
      <c r="X194" s="530">
        <v>0.7</v>
      </c>
      <c r="Y194" s="39">
        <v>2020003630111</v>
      </c>
      <c r="Z194" s="297" t="s">
        <v>1290</v>
      </c>
      <c r="AA194" s="297" t="s">
        <v>799</v>
      </c>
      <c r="AB194" s="44"/>
      <c r="AC194" s="44"/>
      <c r="AD194" s="44"/>
      <c r="AE194" s="44"/>
      <c r="AF194" s="44"/>
      <c r="AG194" s="44"/>
      <c r="AH194" s="44"/>
      <c r="AI194" s="44"/>
      <c r="AJ194" s="44"/>
      <c r="AK194" s="44"/>
      <c r="AL194" s="44"/>
      <c r="AM194" s="44"/>
      <c r="AN194" s="44"/>
      <c r="AO194" s="44"/>
      <c r="AP194" s="44"/>
      <c r="AQ194" s="44"/>
      <c r="AR194" s="44"/>
      <c r="AS194" s="44"/>
      <c r="AT194" s="356">
        <f>33000000+29843334</f>
        <v>62843334</v>
      </c>
      <c r="AU194" s="42">
        <v>37649167</v>
      </c>
      <c r="AV194" s="42">
        <v>17620000</v>
      </c>
      <c r="AW194" s="361"/>
      <c r="AX194" s="44"/>
      <c r="AY194" s="44"/>
      <c r="AZ194" s="358"/>
      <c r="BA194" s="44"/>
      <c r="BB194" s="44"/>
      <c r="BC194" s="361"/>
      <c r="BD194" s="44"/>
      <c r="BE194" s="44"/>
      <c r="BF194" s="298">
        <f t="shared" si="12"/>
        <v>62843334</v>
      </c>
      <c r="BG194" s="298">
        <f t="shared" si="13"/>
        <v>37649167</v>
      </c>
      <c r="BH194" s="298">
        <f t="shared" si="14"/>
        <v>17620000</v>
      </c>
      <c r="BI194" s="386" t="s">
        <v>1481</v>
      </c>
      <c r="BK194" s="34"/>
      <c r="BL194" s="34"/>
    </row>
    <row r="195" spans="1:64" s="16" customFormat="1" ht="117" customHeight="1" x14ac:dyDescent="0.2">
      <c r="A195" s="29">
        <v>316</v>
      </c>
      <c r="B195" s="325" t="s">
        <v>1205</v>
      </c>
      <c r="C195" s="29">
        <v>4</v>
      </c>
      <c r="D195" s="325" t="s">
        <v>1206</v>
      </c>
      <c r="E195" s="29">
        <v>45</v>
      </c>
      <c r="F195" s="325" t="s">
        <v>781</v>
      </c>
      <c r="G195" s="29">
        <v>4502</v>
      </c>
      <c r="H195" s="325" t="s">
        <v>1224</v>
      </c>
      <c r="I195" s="29">
        <v>4502</v>
      </c>
      <c r="J195" s="30" t="s">
        <v>1223</v>
      </c>
      <c r="K195" s="48" t="s">
        <v>1164</v>
      </c>
      <c r="L195" s="192">
        <v>4502024</v>
      </c>
      <c r="M195" s="30" t="s">
        <v>284</v>
      </c>
      <c r="N195" s="192">
        <v>4502024</v>
      </c>
      <c r="O195" s="30" t="s">
        <v>284</v>
      </c>
      <c r="P195" s="29" t="s">
        <v>31</v>
      </c>
      <c r="Q195" s="295" t="s">
        <v>800</v>
      </c>
      <c r="R195" s="192">
        <v>450202401</v>
      </c>
      <c r="S195" s="295" t="s">
        <v>798</v>
      </c>
      <c r="T195" s="299" t="s">
        <v>1469</v>
      </c>
      <c r="U195" s="311">
        <v>1</v>
      </c>
      <c r="V195" s="311"/>
      <c r="W195" s="328">
        <f t="shared" si="11"/>
        <v>1</v>
      </c>
      <c r="X195" s="530">
        <v>0.55000000000000004</v>
      </c>
      <c r="Y195" s="296">
        <v>2020003630112</v>
      </c>
      <c r="Z195" s="30" t="s">
        <v>801</v>
      </c>
      <c r="AA195" s="297" t="s">
        <v>802</v>
      </c>
      <c r="AB195" s="44"/>
      <c r="AC195" s="44"/>
      <c r="AD195" s="44"/>
      <c r="AE195" s="44"/>
      <c r="AF195" s="44"/>
      <c r="AG195" s="44"/>
      <c r="AH195" s="44"/>
      <c r="AI195" s="44"/>
      <c r="AJ195" s="44"/>
      <c r="AK195" s="44"/>
      <c r="AL195" s="44"/>
      <c r="AM195" s="44"/>
      <c r="AN195" s="44"/>
      <c r="AO195" s="44"/>
      <c r="AP195" s="44"/>
      <c r="AQ195" s="44"/>
      <c r="AR195" s="44"/>
      <c r="AS195" s="44"/>
      <c r="AT195" s="356">
        <f>40000000+30000000+13851781</f>
        <v>83851781</v>
      </c>
      <c r="AU195" s="42">
        <v>37736667</v>
      </c>
      <c r="AV195" s="42">
        <v>27845000</v>
      </c>
      <c r="AW195" s="361"/>
      <c r="AX195" s="44"/>
      <c r="AY195" s="44"/>
      <c r="AZ195" s="358"/>
      <c r="BA195" s="44"/>
      <c r="BB195" s="44"/>
      <c r="BC195" s="361"/>
      <c r="BD195" s="44"/>
      <c r="BE195" s="44"/>
      <c r="BF195" s="298">
        <f t="shared" si="12"/>
        <v>83851781</v>
      </c>
      <c r="BG195" s="298">
        <f t="shared" si="13"/>
        <v>37736667</v>
      </c>
      <c r="BH195" s="298">
        <f t="shared" si="14"/>
        <v>27845000</v>
      </c>
      <c r="BI195" s="386" t="s">
        <v>1481</v>
      </c>
      <c r="BK195" s="34"/>
      <c r="BL195" s="34"/>
    </row>
    <row r="196" spans="1:64" s="16" customFormat="1" ht="117" customHeight="1" x14ac:dyDescent="0.2">
      <c r="A196" s="29">
        <v>318</v>
      </c>
      <c r="B196" s="325" t="s">
        <v>1209</v>
      </c>
      <c r="C196" s="29">
        <v>1</v>
      </c>
      <c r="D196" s="325" t="s">
        <v>1201</v>
      </c>
      <c r="E196" s="29">
        <v>19</v>
      </c>
      <c r="F196" s="325" t="s">
        <v>122</v>
      </c>
      <c r="G196" s="29">
        <v>1903</v>
      </c>
      <c r="H196" s="325" t="s">
        <v>805</v>
      </c>
      <c r="I196" s="29">
        <v>1903</v>
      </c>
      <c r="J196" s="30" t="s">
        <v>1240</v>
      </c>
      <c r="K196" s="297" t="s">
        <v>806</v>
      </c>
      <c r="L196" s="29">
        <v>1903009</v>
      </c>
      <c r="M196" s="30" t="s">
        <v>807</v>
      </c>
      <c r="N196" s="29">
        <v>1903009</v>
      </c>
      <c r="O196" s="30" t="s">
        <v>808</v>
      </c>
      <c r="P196" s="300">
        <v>190300900</v>
      </c>
      <c r="Q196" s="295" t="s">
        <v>809</v>
      </c>
      <c r="R196" s="300">
        <v>190300900</v>
      </c>
      <c r="S196" s="295" t="s">
        <v>1182</v>
      </c>
      <c r="T196" s="299" t="s">
        <v>1470</v>
      </c>
      <c r="U196" s="311">
        <v>960</v>
      </c>
      <c r="V196" s="311"/>
      <c r="W196" s="328">
        <f t="shared" si="11"/>
        <v>960</v>
      </c>
      <c r="X196" s="530">
        <v>949</v>
      </c>
      <c r="Y196" s="296">
        <v>2020003630116</v>
      </c>
      <c r="Z196" s="30" t="s">
        <v>810</v>
      </c>
      <c r="AA196" s="297" t="s">
        <v>811</v>
      </c>
      <c r="AB196" s="44"/>
      <c r="AC196" s="44"/>
      <c r="AD196" s="44"/>
      <c r="AE196" s="44"/>
      <c r="AF196" s="44"/>
      <c r="AG196" s="44"/>
      <c r="AH196" s="44">
        <f>65000000+8127667</f>
        <v>73127667</v>
      </c>
      <c r="AI196" s="44">
        <v>66796833</v>
      </c>
      <c r="AJ196" s="44">
        <v>40780000</v>
      </c>
      <c r="AK196" s="44"/>
      <c r="AL196" s="44"/>
      <c r="AM196" s="44"/>
      <c r="AN196" s="44"/>
      <c r="AO196" s="44"/>
      <c r="AP196" s="44"/>
      <c r="AQ196" s="44"/>
      <c r="AR196" s="44"/>
      <c r="AS196" s="44"/>
      <c r="AT196" s="356"/>
      <c r="AU196" s="42"/>
      <c r="AV196" s="42"/>
      <c r="AW196" s="361"/>
      <c r="AX196" s="44"/>
      <c r="AY196" s="44"/>
      <c r="AZ196" s="358"/>
      <c r="BA196" s="44"/>
      <c r="BB196" s="44"/>
      <c r="BC196" s="361"/>
      <c r="BD196" s="44"/>
      <c r="BE196" s="44"/>
      <c r="BF196" s="298">
        <f t="shared" si="12"/>
        <v>73127667</v>
      </c>
      <c r="BG196" s="298">
        <f t="shared" si="13"/>
        <v>66796833</v>
      </c>
      <c r="BH196" s="298">
        <f t="shared" si="14"/>
        <v>40780000</v>
      </c>
      <c r="BI196" s="386" t="s">
        <v>1483</v>
      </c>
      <c r="BK196" s="34"/>
      <c r="BL196" s="34"/>
    </row>
    <row r="197" spans="1:64" s="16" customFormat="1" ht="117" customHeight="1" x14ac:dyDescent="0.2">
      <c r="A197" s="29">
        <v>318</v>
      </c>
      <c r="B197" s="325" t="s">
        <v>1209</v>
      </c>
      <c r="C197" s="29">
        <v>1</v>
      </c>
      <c r="D197" s="325" t="s">
        <v>1201</v>
      </c>
      <c r="E197" s="29">
        <v>19</v>
      </c>
      <c r="F197" s="325" t="s">
        <v>122</v>
      </c>
      <c r="G197" s="29">
        <v>1903</v>
      </c>
      <c r="H197" s="325" t="s">
        <v>805</v>
      </c>
      <c r="I197" s="29">
        <v>1903</v>
      </c>
      <c r="J197" s="30" t="s">
        <v>1240</v>
      </c>
      <c r="K197" s="297" t="s">
        <v>812</v>
      </c>
      <c r="L197" s="29">
        <v>1903031</v>
      </c>
      <c r="M197" s="30" t="s">
        <v>813</v>
      </c>
      <c r="N197" s="29">
        <v>1903031</v>
      </c>
      <c r="O197" s="30" t="s">
        <v>813</v>
      </c>
      <c r="P197" s="300">
        <v>190303100</v>
      </c>
      <c r="Q197" s="295" t="s">
        <v>814</v>
      </c>
      <c r="R197" s="300">
        <v>190303100</v>
      </c>
      <c r="S197" s="295" t="s">
        <v>814</v>
      </c>
      <c r="T197" s="299" t="s">
        <v>1469</v>
      </c>
      <c r="U197" s="311">
        <v>12</v>
      </c>
      <c r="V197" s="311"/>
      <c r="W197" s="328">
        <f t="shared" si="11"/>
        <v>12</v>
      </c>
      <c r="X197" s="530">
        <v>9</v>
      </c>
      <c r="Y197" s="296">
        <v>2020003630116</v>
      </c>
      <c r="Z197" s="30" t="s">
        <v>810</v>
      </c>
      <c r="AA197" s="297" t="s">
        <v>811</v>
      </c>
      <c r="AB197" s="44"/>
      <c r="AC197" s="44"/>
      <c r="AD197" s="44"/>
      <c r="AE197" s="44"/>
      <c r="AF197" s="44"/>
      <c r="AG197" s="44"/>
      <c r="AH197" s="133">
        <f>64000000+35317635</f>
        <v>99317635</v>
      </c>
      <c r="AI197" s="133">
        <v>94258333</v>
      </c>
      <c r="AJ197" s="133">
        <v>61830000</v>
      </c>
      <c r="AK197" s="44"/>
      <c r="AL197" s="44"/>
      <c r="AM197" s="44"/>
      <c r="AN197" s="44"/>
      <c r="AO197" s="44"/>
      <c r="AP197" s="44"/>
      <c r="AQ197" s="44"/>
      <c r="AR197" s="44"/>
      <c r="AS197" s="44"/>
      <c r="AT197" s="356"/>
      <c r="AU197" s="42"/>
      <c r="AV197" s="42"/>
      <c r="AW197" s="361"/>
      <c r="AX197" s="44"/>
      <c r="AY197" s="44"/>
      <c r="AZ197" s="358"/>
      <c r="BA197" s="44"/>
      <c r="BB197" s="44"/>
      <c r="BC197" s="361"/>
      <c r="BD197" s="44"/>
      <c r="BE197" s="44"/>
      <c r="BF197" s="298">
        <f t="shared" si="12"/>
        <v>99317635</v>
      </c>
      <c r="BG197" s="298">
        <f t="shared" si="13"/>
        <v>94258333</v>
      </c>
      <c r="BH197" s="298">
        <f t="shared" si="14"/>
        <v>61830000</v>
      </c>
      <c r="BI197" s="386" t="s">
        <v>1483</v>
      </c>
      <c r="BK197" s="34"/>
      <c r="BL197" s="34"/>
    </row>
    <row r="198" spans="1:64" s="31" customFormat="1" ht="117" customHeight="1" x14ac:dyDescent="0.25">
      <c r="A198" s="29">
        <v>318</v>
      </c>
      <c r="B198" s="325" t="s">
        <v>1209</v>
      </c>
      <c r="C198" s="29">
        <v>1</v>
      </c>
      <c r="D198" s="325" t="s">
        <v>1201</v>
      </c>
      <c r="E198" s="29">
        <v>19</v>
      </c>
      <c r="F198" s="325" t="s">
        <v>122</v>
      </c>
      <c r="G198" s="29">
        <v>1903</v>
      </c>
      <c r="H198" s="325" t="s">
        <v>805</v>
      </c>
      <c r="I198" s="29">
        <v>1903</v>
      </c>
      <c r="J198" s="30" t="s">
        <v>1240</v>
      </c>
      <c r="K198" s="297" t="s">
        <v>815</v>
      </c>
      <c r="L198" s="29">
        <v>1903023</v>
      </c>
      <c r="M198" s="30" t="s">
        <v>816</v>
      </c>
      <c r="N198" s="29">
        <v>1903023</v>
      </c>
      <c r="O198" s="30" t="s">
        <v>816</v>
      </c>
      <c r="P198" s="300">
        <v>190302300</v>
      </c>
      <c r="Q198" s="295" t="s">
        <v>817</v>
      </c>
      <c r="R198" s="300">
        <v>190302300</v>
      </c>
      <c r="S198" s="295" t="s">
        <v>817</v>
      </c>
      <c r="T198" s="299" t="s">
        <v>1469</v>
      </c>
      <c r="U198" s="311">
        <v>12</v>
      </c>
      <c r="V198" s="311"/>
      <c r="W198" s="328">
        <f t="shared" si="11"/>
        <v>12</v>
      </c>
      <c r="X198" s="530">
        <v>8</v>
      </c>
      <c r="Y198" s="296">
        <v>2020003630116</v>
      </c>
      <c r="Z198" s="30" t="s">
        <v>810</v>
      </c>
      <c r="AA198" s="297" t="s">
        <v>811</v>
      </c>
      <c r="AB198" s="44"/>
      <c r="AC198" s="44"/>
      <c r="AD198" s="44"/>
      <c r="AE198" s="44"/>
      <c r="AF198" s="44"/>
      <c r="AG198" s="44"/>
      <c r="AH198" s="133">
        <f>40000000+200000000+4184864</f>
        <v>244184864</v>
      </c>
      <c r="AI198" s="44">
        <v>215057551</v>
      </c>
      <c r="AJ198" s="44">
        <v>40000000</v>
      </c>
      <c r="AK198" s="44"/>
      <c r="AL198" s="44"/>
      <c r="AM198" s="44"/>
      <c r="AN198" s="44"/>
      <c r="AO198" s="44"/>
      <c r="AP198" s="44"/>
      <c r="AQ198" s="44"/>
      <c r="AR198" s="44"/>
      <c r="AS198" s="44"/>
      <c r="AT198" s="353"/>
      <c r="AU198" s="133"/>
      <c r="AV198" s="133"/>
      <c r="AW198" s="361"/>
      <c r="AX198" s="44"/>
      <c r="AY198" s="44"/>
      <c r="AZ198" s="358"/>
      <c r="BA198" s="44"/>
      <c r="BB198" s="44"/>
      <c r="BC198" s="361"/>
      <c r="BD198" s="44"/>
      <c r="BE198" s="44"/>
      <c r="BF198" s="298">
        <f t="shared" si="12"/>
        <v>244184864</v>
      </c>
      <c r="BG198" s="298">
        <f t="shared" si="13"/>
        <v>215057551</v>
      </c>
      <c r="BH198" s="298">
        <f t="shared" si="14"/>
        <v>40000000</v>
      </c>
      <c r="BI198" s="386" t="s">
        <v>1483</v>
      </c>
      <c r="BL198" s="34"/>
    </row>
    <row r="199" spans="1:64" s="31" customFormat="1" ht="117" customHeight="1" x14ac:dyDescent="0.25">
      <c r="A199" s="29">
        <v>318</v>
      </c>
      <c r="B199" s="325" t="s">
        <v>1209</v>
      </c>
      <c r="C199" s="29">
        <v>1</v>
      </c>
      <c r="D199" s="325" t="s">
        <v>1201</v>
      </c>
      <c r="E199" s="29">
        <v>19</v>
      </c>
      <c r="F199" s="325" t="s">
        <v>122</v>
      </c>
      <c r="G199" s="29">
        <v>1903</v>
      </c>
      <c r="H199" s="325" t="s">
        <v>805</v>
      </c>
      <c r="I199" s="29">
        <v>1903</v>
      </c>
      <c r="J199" s="30" t="s">
        <v>1240</v>
      </c>
      <c r="K199" s="297" t="s">
        <v>818</v>
      </c>
      <c r="L199" s="29" t="s">
        <v>31</v>
      </c>
      <c r="M199" s="30" t="s">
        <v>819</v>
      </c>
      <c r="N199" s="29">
        <v>1903050</v>
      </c>
      <c r="O199" s="30" t="s">
        <v>1465</v>
      </c>
      <c r="P199" s="29" t="s">
        <v>31</v>
      </c>
      <c r="Q199" s="295" t="s">
        <v>820</v>
      </c>
      <c r="R199" s="300">
        <v>190305000</v>
      </c>
      <c r="S199" s="295" t="s">
        <v>1355</v>
      </c>
      <c r="T199" s="299" t="s">
        <v>1469</v>
      </c>
      <c r="U199" s="311">
        <v>12</v>
      </c>
      <c r="V199" s="311"/>
      <c r="W199" s="328">
        <f t="shared" si="11"/>
        <v>12</v>
      </c>
      <c r="X199" s="530">
        <v>11</v>
      </c>
      <c r="Y199" s="296">
        <v>2020003630116</v>
      </c>
      <c r="Z199" s="30" t="s">
        <v>810</v>
      </c>
      <c r="AA199" s="297" t="s">
        <v>811</v>
      </c>
      <c r="AB199" s="44"/>
      <c r="AC199" s="44"/>
      <c r="AD199" s="44"/>
      <c r="AE199" s="44"/>
      <c r="AF199" s="44"/>
      <c r="AG199" s="44"/>
      <c r="AH199" s="44">
        <v>40000000</v>
      </c>
      <c r="AI199" s="44">
        <v>28850000</v>
      </c>
      <c r="AJ199" s="44">
        <v>20195000</v>
      </c>
      <c r="AK199" s="133"/>
      <c r="AL199" s="133"/>
      <c r="AM199" s="133"/>
      <c r="AN199" s="44"/>
      <c r="AO199" s="44"/>
      <c r="AP199" s="44"/>
      <c r="AQ199" s="44"/>
      <c r="AR199" s="44"/>
      <c r="AS199" s="44"/>
      <c r="AT199" s="353"/>
      <c r="AU199" s="133"/>
      <c r="AV199" s="133"/>
      <c r="AW199" s="361"/>
      <c r="AX199" s="44"/>
      <c r="AY199" s="44"/>
      <c r="AZ199" s="358"/>
      <c r="BA199" s="44"/>
      <c r="BB199" s="44"/>
      <c r="BC199" s="361"/>
      <c r="BD199" s="44"/>
      <c r="BE199" s="44"/>
      <c r="BF199" s="298">
        <f t="shared" si="12"/>
        <v>40000000</v>
      </c>
      <c r="BG199" s="298">
        <f t="shared" si="13"/>
        <v>28850000</v>
      </c>
      <c r="BH199" s="298">
        <f t="shared" si="14"/>
        <v>20195000</v>
      </c>
      <c r="BI199" s="386" t="s">
        <v>1483</v>
      </c>
      <c r="BL199" s="34"/>
    </row>
    <row r="200" spans="1:64" s="31" customFormat="1" ht="117" customHeight="1" x14ac:dyDescent="0.25">
      <c r="A200" s="29">
        <v>318</v>
      </c>
      <c r="B200" s="325" t="s">
        <v>1209</v>
      </c>
      <c r="C200" s="29">
        <v>1</v>
      </c>
      <c r="D200" s="325" t="s">
        <v>1201</v>
      </c>
      <c r="E200" s="29">
        <v>19</v>
      </c>
      <c r="F200" s="325" t="s">
        <v>122</v>
      </c>
      <c r="G200" s="29">
        <v>1903</v>
      </c>
      <c r="H200" s="325" t="s">
        <v>805</v>
      </c>
      <c r="I200" s="29">
        <v>1903</v>
      </c>
      <c r="J200" s="30" t="s">
        <v>1240</v>
      </c>
      <c r="K200" s="297" t="s">
        <v>806</v>
      </c>
      <c r="L200" s="29" t="s">
        <v>31</v>
      </c>
      <c r="M200" s="30" t="s">
        <v>821</v>
      </c>
      <c r="N200" s="29">
        <v>1903038</v>
      </c>
      <c r="O200" s="30" t="s">
        <v>822</v>
      </c>
      <c r="P200" s="29" t="s">
        <v>31</v>
      </c>
      <c r="Q200" s="295" t="s">
        <v>823</v>
      </c>
      <c r="R200" s="29">
        <v>190303801</v>
      </c>
      <c r="S200" s="295" t="s">
        <v>824</v>
      </c>
      <c r="T200" s="299" t="s">
        <v>1469</v>
      </c>
      <c r="U200" s="296">
        <v>1</v>
      </c>
      <c r="V200" s="296"/>
      <c r="W200" s="328">
        <f t="shared" si="11"/>
        <v>1</v>
      </c>
      <c r="X200" s="530">
        <v>0.69</v>
      </c>
      <c r="Y200" s="296">
        <v>2020003630116</v>
      </c>
      <c r="Z200" s="30" t="s">
        <v>810</v>
      </c>
      <c r="AA200" s="297" t="s">
        <v>811</v>
      </c>
      <c r="AB200" s="44"/>
      <c r="AC200" s="44"/>
      <c r="AD200" s="44"/>
      <c r="AE200" s="44"/>
      <c r="AF200" s="44"/>
      <c r="AG200" s="44"/>
      <c r="AH200" s="44">
        <v>0</v>
      </c>
      <c r="AI200" s="44"/>
      <c r="AJ200" s="44"/>
      <c r="AK200" s="44"/>
      <c r="AL200" s="44"/>
      <c r="AM200" s="44"/>
      <c r="AN200" s="44"/>
      <c r="AO200" s="44"/>
      <c r="AP200" s="44"/>
      <c r="AQ200" s="44"/>
      <c r="AR200" s="44"/>
      <c r="AS200" s="44"/>
      <c r="AT200" s="353"/>
      <c r="AU200" s="133"/>
      <c r="AV200" s="133"/>
      <c r="AW200" s="361"/>
      <c r="AX200" s="44"/>
      <c r="AY200" s="44"/>
      <c r="AZ200" s="358"/>
      <c r="BA200" s="44"/>
      <c r="BB200" s="44"/>
      <c r="BC200" s="361">
        <v>1783090149.6199999</v>
      </c>
      <c r="BD200" s="108">
        <v>358084681</v>
      </c>
      <c r="BE200" s="108">
        <v>246265364</v>
      </c>
      <c r="BF200" s="298">
        <f t="shared" si="12"/>
        <v>1783090149.6199999</v>
      </c>
      <c r="BG200" s="298">
        <f t="shared" si="13"/>
        <v>358084681</v>
      </c>
      <c r="BH200" s="298">
        <f t="shared" si="14"/>
        <v>246265364</v>
      </c>
      <c r="BI200" s="386" t="s">
        <v>1483</v>
      </c>
      <c r="BL200" s="34"/>
    </row>
    <row r="201" spans="1:64" s="31" customFormat="1" ht="117" customHeight="1" x14ac:dyDescent="0.25">
      <c r="A201" s="29">
        <v>318</v>
      </c>
      <c r="B201" s="325" t="s">
        <v>1209</v>
      </c>
      <c r="C201" s="29">
        <v>1</v>
      </c>
      <c r="D201" s="325" t="s">
        <v>1201</v>
      </c>
      <c r="E201" s="29">
        <v>19</v>
      </c>
      <c r="F201" s="325" t="s">
        <v>122</v>
      </c>
      <c r="G201" s="29">
        <v>1903</v>
      </c>
      <c r="H201" s="325" t="s">
        <v>805</v>
      </c>
      <c r="I201" s="29">
        <v>1903</v>
      </c>
      <c r="J201" s="30" t="s">
        <v>1240</v>
      </c>
      <c r="K201" s="297" t="s">
        <v>825</v>
      </c>
      <c r="L201" s="29">
        <v>1903038</v>
      </c>
      <c r="M201" s="30" t="s">
        <v>822</v>
      </c>
      <c r="N201" s="29">
        <v>1903038</v>
      </c>
      <c r="O201" s="30" t="s">
        <v>822</v>
      </c>
      <c r="P201" s="300">
        <v>190303801</v>
      </c>
      <c r="Q201" s="30" t="s">
        <v>826</v>
      </c>
      <c r="R201" s="300">
        <v>190303801</v>
      </c>
      <c r="S201" s="295" t="s">
        <v>826</v>
      </c>
      <c r="T201" s="299" t="s">
        <v>1469</v>
      </c>
      <c r="U201" s="311">
        <v>11</v>
      </c>
      <c r="V201" s="311"/>
      <c r="W201" s="328">
        <f t="shared" ref="W201:W264" si="15">U201+V201</f>
        <v>11</v>
      </c>
      <c r="X201" s="530">
        <v>11</v>
      </c>
      <c r="Y201" s="296">
        <v>2020003630116</v>
      </c>
      <c r="Z201" s="30" t="s">
        <v>810</v>
      </c>
      <c r="AA201" s="297" t="s">
        <v>811</v>
      </c>
      <c r="AB201" s="44"/>
      <c r="AC201" s="44"/>
      <c r="AD201" s="44"/>
      <c r="AE201" s="44"/>
      <c r="AF201" s="44"/>
      <c r="AG201" s="44"/>
      <c r="AH201" s="108">
        <f>30000000+9430000</f>
        <v>39430000</v>
      </c>
      <c r="AI201" s="108">
        <v>36020000</v>
      </c>
      <c r="AJ201" s="108">
        <v>24250000</v>
      </c>
      <c r="AK201" s="44"/>
      <c r="AL201" s="44"/>
      <c r="AM201" s="44"/>
      <c r="AN201" s="44"/>
      <c r="AO201" s="44"/>
      <c r="AP201" s="44"/>
      <c r="AQ201" s="44"/>
      <c r="AR201" s="44"/>
      <c r="AS201" s="44"/>
      <c r="AT201" s="353"/>
      <c r="AU201" s="133"/>
      <c r="AV201" s="133"/>
      <c r="AW201" s="361"/>
      <c r="AX201" s="44"/>
      <c r="AY201" s="44"/>
      <c r="AZ201" s="358"/>
      <c r="BA201" s="44"/>
      <c r="BB201" s="44"/>
      <c r="BC201" s="361"/>
      <c r="BD201" s="44"/>
      <c r="BE201" s="44"/>
      <c r="BF201" s="298">
        <f t="shared" si="12"/>
        <v>39430000</v>
      </c>
      <c r="BG201" s="298">
        <f t="shared" si="13"/>
        <v>36020000</v>
      </c>
      <c r="BH201" s="298">
        <f t="shared" si="14"/>
        <v>24250000</v>
      </c>
      <c r="BI201" s="386" t="s">
        <v>1483</v>
      </c>
      <c r="BL201" s="34"/>
    </row>
    <row r="202" spans="1:64" s="31" customFormat="1" ht="117" customHeight="1" x14ac:dyDescent="0.25">
      <c r="A202" s="29">
        <v>318</v>
      </c>
      <c r="B202" s="325" t="s">
        <v>1209</v>
      </c>
      <c r="C202" s="29">
        <v>1</v>
      </c>
      <c r="D202" s="325" t="s">
        <v>1201</v>
      </c>
      <c r="E202" s="29">
        <v>19</v>
      </c>
      <c r="F202" s="325" t="s">
        <v>122</v>
      </c>
      <c r="G202" s="29">
        <v>1903</v>
      </c>
      <c r="H202" s="325" t="s">
        <v>805</v>
      </c>
      <c r="I202" s="29">
        <v>1903</v>
      </c>
      <c r="J202" s="30" t="s">
        <v>1240</v>
      </c>
      <c r="K202" s="297" t="s">
        <v>812</v>
      </c>
      <c r="L202" s="29">
        <v>1903027</v>
      </c>
      <c r="M202" s="30" t="s">
        <v>827</v>
      </c>
      <c r="N202" s="29">
        <v>1903027</v>
      </c>
      <c r="O202" s="30" t="s">
        <v>827</v>
      </c>
      <c r="P202" s="300">
        <v>190302700</v>
      </c>
      <c r="Q202" s="295" t="s">
        <v>828</v>
      </c>
      <c r="R202" s="300">
        <v>190302700</v>
      </c>
      <c r="S202" s="295" t="s">
        <v>828</v>
      </c>
      <c r="T202" s="299" t="s">
        <v>1469</v>
      </c>
      <c r="U202" s="311">
        <v>5</v>
      </c>
      <c r="V202" s="311"/>
      <c r="W202" s="328">
        <f t="shared" si="15"/>
        <v>5</v>
      </c>
      <c r="X202" s="530">
        <v>5</v>
      </c>
      <c r="Y202" s="296">
        <v>2020003630116</v>
      </c>
      <c r="Z202" s="30" t="s">
        <v>810</v>
      </c>
      <c r="AA202" s="297" t="s">
        <v>811</v>
      </c>
      <c r="AB202" s="44"/>
      <c r="AC202" s="44"/>
      <c r="AD202" s="44"/>
      <c r="AE202" s="44"/>
      <c r="AF202" s="44"/>
      <c r="AG202" s="44"/>
      <c r="AH202" s="108">
        <f>20000000+11254167</f>
        <v>31254167</v>
      </c>
      <c r="AI202" s="108">
        <v>28657667</v>
      </c>
      <c r="AJ202" s="108">
        <v>17310000</v>
      </c>
      <c r="AK202" s="44"/>
      <c r="AL202" s="44"/>
      <c r="AM202" s="44"/>
      <c r="AN202" s="44"/>
      <c r="AO202" s="44"/>
      <c r="AP202" s="44"/>
      <c r="AQ202" s="44"/>
      <c r="AR202" s="44"/>
      <c r="AS202" s="44"/>
      <c r="AT202" s="353"/>
      <c r="AU202" s="133"/>
      <c r="AV202" s="133"/>
      <c r="AW202" s="361"/>
      <c r="AX202" s="44"/>
      <c r="AY202" s="44"/>
      <c r="AZ202" s="358"/>
      <c r="BA202" s="44"/>
      <c r="BB202" s="44"/>
      <c r="BC202" s="361"/>
      <c r="BD202" s="44"/>
      <c r="BE202" s="44"/>
      <c r="BF202" s="298">
        <f t="shared" si="12"/>
        <v>31254167</v>
      </c>
      <c r="BG202" s="298">
        <f t="shared" si="13"/>
        <v>28657667</v>
      </c>
      <c r="BH202" s="298">
        <f t="shared" si="14"/>
        <v>17310000</v>
      </c>
      <c r="BI202" s="386" t="s">
        <v>1483</v>
      </c>
      <c r="BL202" s="34"/>
    </row>
    <row r="203" spans="1:64" s="31" customFormat="1" ht="117" customHeight="1" x14ac:dyDescent="0.25">
      <c r="A203" s="29">
        <v>318</v>
      </c>
      <c r="B203" s="325" t="s">
        <v>1209</v>
      </c>
      <c r="C203" s="29">
        <v>1</v>
      </c>
      <c r="D203" s="325" t="s">
        <v>1201</v>
      </c>
      <c r="E203" s="29">
        <v>19</v>
      </c>
      <c r="F203" s="325" t="s">
        <v>122</v>
      </c>
      <c r="G203" s="29">
        <v>1903</v>
      </c>
      <c r="H203" s="325" t="s">
        <v>805</v>
      </c>
      <c r="I203" s="29">
        <v>1903</v>
      </c>
      <c r="J203" s="30" t="s">
        <v>1240</v>
      </c>
      <c r="K203" s="301" t="s">
        <v>859</v>
      </c>
      <c r="L203" s="29">
        <v>1903011</v>
      </c>
      <c r="M203" s="30" t="s">
        <v>830</v>
      </c>
      <c r="N203" s="29">
        <v>1903011</v>
      </c>
      <c r="O203" s="30" t="s">
        <v>830</v>
      </c>
      <c r="P203" s="300">
        <v>190301100</v>
      </c>
      <c r="Q203" s="295" t="s">
        <v>831</v>
      </c>
      <c r="R203" s="300">
        <v>190301100</v>
      </c>
      <c r="S203" s="295" t="s">
        <v>832</v>
      </c>
      <c r="T203" s="299" t="s">
        <v>1469</v>
      </c>
      <c r="U203" s="311">
        <v>140</v>
      </c>
      <c r="V203" s="311"/>
      <c r="W203" s="328">
        <f t="shared" si="15"/>
        <v>140</v>
      </c>
      <c r="X203" s="530">
        <v>154</v>
      </c>
      <c r="Y203" s="296">
        <v>2020003630116</v>
      </c>
      <c r="Z203" s="30" t="s">
        <v>810</v>
      </c>
      <c r="AA203" s="297" t="s">
        <v>811</v>
      </c>
      <c r="AB203" s="44"/>
      <c r="AC203" s="44"/>
      <c r="AD203" s="44"/>
      <c r="AE203" s="44"/>
      <c r="AF203" s="44"/>
      <c r="AG203" s="44"/>
      <c r="AH203" s="44">
        <f>40000000+10917167</f>
        <v>50917167</v>
      </c>
      <c r="AI203" s="44">
        <v>47394333</v>
      </c>
      <c r="AJ203" s="44">
        <v>31325000</v>
      </c>
      <c r="AK203" s="44"/>
      <c r="AL203" s="44"/>
      <c r="AM203" s="44"/>
      <c r="AN203" s="44"/>
      <c r="AO203" s="44"/>
      <c r="AP203" s="44"/>
      <c r="AQ203" s="44"/>
      <c r="AR203" s="44"/>
      <c r="AS203" s="44"/>
      <c r="AT203" s="353"/>
      <c r="AU203" s="133"/>
      <c r="AV203" s="133"/>
      <c r="AW203" s="361"/>
      <c r="AX203" s="44"/>
      <c r="AY203" s="44"/>
      <c r="AZ203" s="358"/>
      <c r="BA203" s="44"/>
      <c r="BB203" s="44"/>
      <c r="BC203" s="361"/>
      <c r="BD203" s="44"/>
      <c r="BE203" s="44"/>
      <c r="BF203" s="298">
        <f t="shared" si="12"/>
        <v>50917167</v>
      </c>
      <c r="BG203" s="298">
        <f t="shared" si="13"/>
        <v>47394333</v>
      </c>
      <c r="BH203" s="298">
        <f t="shared" si="14"/>
        <v>31325000</v>
      </c>
      <c r="BI203" s="386" t="s">
        <v>1483</v>
      </c>
      <c r="BL203" s="34"/>
    </row>
    <row r="204" spans="1:64" s="31" customFormat="1" ht="117" customHeight="1" x14ac:dyDescent="0.25">
      <c r="A204" s="29">
        <v>318</v>
      </c>
      <c r="B204" s="325" t="s">
        <v>1209</v>
      </c>
      <c r="C204" s="29">
        <v>1</v>
      </c>
      <c r="D204" s="325" t="s">
        <v>1201</v>
      </c>
      <c r="E204" s="29">
        <v>19</v>
      </c>
      <c r="F204" s="325" t="s">
        <v>122</v>
      </c>
      <c r="G204" s="29">
        <v>1903</v>
      </c>
      <c r="H204" s="325" t="s">
        <v>805</v>
      </c>
      <c r="I204" s="29">
        <v>1903</v>
      </c>
      <c r="J204" s="30" t="s">
        <v>1240</v>
      </c>
      <c r="K204" s="297" t="s">
        <v>833</v>
      </c>
      <c r="L204" s="300">
        <v>1903001</v>
      </c>
      <c r="M204" s="295" t="s">
        <v>68</v>
      </c>
      <c r="N204" s="295">
        <v>1903001</v>
      </c>
      <c r="O204" s="300" t="s">
        <v>68</v>
      </c>
      <c r="P204" s="302">
        <v>190300100</v>
      </c>
      <c r="Q204" s="295" t="s">
        <v>834</v>
      </c>
      <c r="R204" s="300">
        <v>190300100</v>
      </c>
      <c r="S204" s="295" t="s">
        <v>834</v>
      </c>
      <c r="T204" s="299" t="s">
        <v>1469</v>
      </c>
      <c r="U204" s="311">
        <v>1</v>
      </c>
      <c r="V204" s="311"/>
      <c r="W204" s="328">
        <f t="shared" si="15"/>
        <v>1</v>
      </c>
      <c r="X204" s="530">
        <v>1</v>
      </c>
      <c r="Y204" s="296">
        <v>2020003630117</v>
      </c>
      <c r="Z204" s="30" t="s">
        <v>835</v>
      </c>
      <c r="AA204" s="297" t="s">
        <v>836</v>
      </c>
      <c r="AB204" s="44"/>
      <c r="AC204" s="44"/>
      <c r="AD204" s="44"/>
      <c r="AE204" s="44"/>
      <c r="AF204" s="44"/>
      <c r="AG204" s="44"/>
      <c r="AH204" s="44">
        <f>90000000+60877501</f>
        <v>150877501</v>
      </c>
      <c r="AI204" s="44">
        <v>137660999</v>
      </c>
      <c r="AJ204" s="44">
        <v>91085000</v>
      </c>
      <c r="AK204" s="44"/>
      <c r="AL204" s="44"/>
      <c r="AM204" s="44"/>
      <c r="AN204" s="44"/>
      <c r="AO204" s="44"/>
      <c r="AP204" s="44"/>
      <c r="AQ204" s="44"/>
      <c r="AR204" s="44"/>
      <c r="AS204" s="44"/>
      <c r="AT204" s="356">
        <v>20000000</v>
      </c>
      <c r="AU204" s="42">
        <v>18557500</v>
      </c>
      <c r="AV204" s="42">
        <v>14425000</v>
      </c>
      <c r="AW204" s="361"/>
      <c r="AX204" s="44"/>
      <c r="AY204" s="44"/>
      <c r="AZ204" s="358"/>
      <c r="BA204" s="44"/>
      <c r="BB204" s="44"/>
      <c r="BC204" s="361"/>
      <c r="BD204" s="44"/>
      <c r="BE204" s="44"/>
      <c r="BF204" s="298">
        <f t="shared" si="12"/>
        <v>170877501</v>
      </c>
      <c r="BG204" s="298">
        <f t="shared" si="13"/>
        <v>156218499</v>
      </c>
      <c r="BH204" s="298">
        <f t="shared" si="14"/>
        <v>105510000</v>
      </c>
      <c r="BI204" s="386" t="s">
        <v>1483</v>
      </c>
      <c r="BL204" s="34"/>
    </row>
    <row r="205" spans="1:64" s="31" customFormat="1" ht="117" customHeight="1" x14ac:dyDescent="0.25">
      <c r="A205" s="29">
        <v>318</v>
      </c>
      <c r="B205" s="325" t="s">
        <v>1209</v>
      </c>
      <c r="C205" s="29">
        <v>1</v>
      </c>
      <c r="D205" s="325" t="s">
        <v>1201</v>
      </c>
      <c r="E205" s="29">
        <v>19</v>
      </c>
      <c r="F205" s="325" t="s">
        <v>122</v>
      </c>
      <c r="G205" s="29">
        <v>1903</v>
      </c>
      <c r="H205" s="325" t="s">
        <v>805</v>
      </c>
      <c r="I205" s="29">
        <v>1903</v>
      </c>
      <c r="J205" s="30" t="s">
        <v>1240</v>
      </c>
      <c r="K205" s="297" t="s">
        <v>837</v>
      </c>
      <c r="L205" s="29">
        <v>1903015</v>
      </c>
      <c r="M205" s="30" t="s">
        <v>838</v>
      </c>
      <c r="N205" s="29">
        <v>1903015</v>
      </c>
      <c r="O205" s="30" t="s">
        <v>838</v>
      </c>
      <c r="P205" s="300">
        <v>190301500</v>
      </c>
      <c r="Q205" s="30" t="s">
        <v>839</v>
      </c>
      <c r="R205" s="300">
        <v>190301500</v>
      </c>
      <c r="S205" s="295" t="s">
        <v>839</v>
      </c>
      <c r="T205" s="299" t="s">
        <v>1469</v>
      </c>
      <c r="U205" s="311">
        <v>12</v>
      </c>
      <c r="V205" s="311"/>
      <c r="W205" s="328">
        <f t="shared" si="15"/>
        <v>12</v>
      </c>
      <c r="X205" s="530">
        <v>12</v>
      </c>
      <c r="Y205" s="296">
        <v>2020003630117</v>
      </c>
      <c r="Z205" s="30" t="s">
        <v>835</v>
      </c>
      <c r="AA205" s="297" t="s">
        <v>836</v>
      </c>
      <c r="AB205" s="44"/>
      <c r="AC205" s="44"/>
      <c r="AD205" s="44"/>
      <c r="AE205" s="44"/>
      <c r="AF205" s="44"/>
      <c r="AG205" s="44"/>
      <c r="AH205" s="44">
        <f>190000000-606682.1+67092516.1</f>
        <v>256485834</v>
      </c>
      <c r="AI205" s="44">
        <v>228857774</v>
      </c>
      <c r="AJ205" s="44">
        <v>153988667</v>
      </c>
      <c r="AK205" s="44"/>
      <c r="AL205" s="44"/>
      <c r="AM205" s="44"/>
      <c r="AN205" s="44"/>
      <c r="AO205" s="44"/>
      <c r="AP205" s="44"/>
      <c r="AQ205" s="44"/>
      <c r="AR205" s="44"/>
      <c r="AS205" s="44"/>
      <c r="AT205" s="356">
        <v>30000000</v>
      </c>
      <c r="AU205" s="42">
        <v>15832667</v>
      </c>
      <c r="AV205" s="42">
        <v>0</v>
      </c>
      <c r="AW205" s="361"/>
      <c r="AX205" s="44"/>
      <c r="AY205" s="44"/>
      <c r="AZ205" s="358"/>
      <c r="BA205" s="44"/>
      <c r="BB205" s="44"/>
      <c r="BC205" s="361"/>
      <c r="BD205" s="44"/>
      <c r="BE205" s="44"/>
      <c r="BF205" s="298">
        <f t="shared" si="12"/>
        <v>286485834</v>
      </c>
      <c r="BG205" s="298">
        <f t="shared" si="13"/>
        <v>244690441</v>
      </c>
      <c r="BH205" s="298">
        <f t="shared" si="14"/>
        <v>153988667</v>
      </c>
      <c r="BI205" s="386" t="s">
        <v>1483</v>
      </c>
      <c r="BL205" s="34"/>
    </row>
    <row r="206" spans="1:64" s="31" customFormat="1" ht="117" customHeight="1" x14ac:dyDescent="0.25">
      <c r="A206" s="29">
        <v>318</v>
      </c>
      <c r="B206" s="325" t="s">
        <v>1209</v>
      </c>
      <c r="C206" s="29">
        <v>1</v>
      </c>
      <c r="D206" s="325" t="s">
        <v>1201</v>
      </c>
      <c r="E206" s="29">
        <v>19</v>
      </c>
      <c r="F206" s="325" t="s">
        <v>122</v>
      </c>
      <c r="G206" s="29">
        <v>1903</v>
      </c>
      <c r="H206" s="325" t="s">
        <v>805</v>
      </c>
      <c r="I206" s="29">
        <v>1903</v>
      </c>
      <c r="J206" s="30" t="s">
        <v>1240</v>
      </c>
      <c r="K206" s="297" t="s">
        <v>840</v>
      </c>
      <c r="L206" s="29">
        <v>1903012</v>
      </c>
      <c r="M206" s="30" t="s">
        <v>841</v>
      </c>
      <c r="N206" s="29">
        <v>1903012</v>
      </c>
      <c r="O206" s="30" t="s">
        <v>841</v>
      </c>
      <c r="P206" s="300">
        <v>190301200</v>
      </c>
      <c r="Q206" s="30" t="s">
        <v>842</v>
      </c>
      <c r="R206" s="300">
        <v>190301200</v>
      </c>
      <c r="S206" s="295" t="s">
        <v>842</v>
      </c>
      <c r="T206" s="299" t="s">
        <v>1469</v>
      </c>
      <c r="U206" s="311">
        <v>4000</v>
      </c>
      <c r="V206" s="311"/>
      <c r="W206" s="328">
        <f t="shared" si="15"/>
        <v>4000</v>
      </c>
      <c r="X206" s="530">
        <v>3800</v>
      </c>
      <c r="Y206" s="296">
        <v>2020003630118</v>
      </c>
      <c r="Z206" s="30" t="s">
        <v>1171</v>
      </c>
      <c r="AA206" s="297" t="s">
        <v>843</v>
      </c>
      <c r="AB206" s="44"/>
      <c r="AC206" s="44"/>
      <c r="AD206" s="44"/>
      <c r="AE206" s="44"/>
      <c r="AF206" s="44"/>
      <c r="AG206" s="44"/>
      <c r="AH206" s="133">
        <f>600000000+3000000+17323100+8500000+193172933</f>
        <v>821996033</v>
      </c>
      <c r="AI206" s="133">
        <v>628551255.96000004</v>
      </c>
      <c r="AJ206" s="133">
        <v>500265892</v>
      </c>
      <c r="AK206" s="133"/>
      <c r="AL206" s="133"/>
      <c r="AM206" s="133"/>
      <c r="AN206" s="44"/>
      <c r="AO206" s="44"/>
      <c r="AP206" s="44"/>
      <c r="AQ206" s="44"/>
      <c r="AR206" s="44"/>
      <c r="AS206" s="44"/>
      <c r="AT206" s="356">
        <f>100000000+200000000</f>
        <v>300000000</v>
      </c>
      <c r="AU206" s="42">
        <v>94720000</v>
      </c>
      <c r="AV206" s="42">
        <v>65225000</v>
      </c>
      <c r="AW206" s="361"/>
      <c r="AX206" s="44"/>
      <c r="AY206" s="44"/>
      <c r="AZ206" s="358"/>
      <c r="BA206" s="44"/>
      <c r="BB206" s="44"/>
      <c r="BC206" s="406"/>
      <c r="BD206" s="320"/>
      <c r="BE206" s="320"/>
      <c r="BF206" s="298">
        <f t="shared" si="12"/>
        <v>1121996033</v>
      </c>
      <c r="BG206" s="298">
        <f t="shared" si="13"/>
        <v>723271255.96000004</v>
      </c>
      <c r="BH206" s="298">
        <f t="shared" si="14"/>
        <v>565490892</v>
      </c>
      <c r="BI206" s="386" t="s">
        <v>1483</v>
      </c>
      <c r="BL206" s="34"/>
    </row>
    <row r="207" spans="1:64" s="31" customFormat="1" ht="117" customHeight="1" x14ac:dyDescent="0.25">
      <c r="A207" s="29">
        <v>318</v>
      </c>
      <c r="B207" s="325" t="s">
        <v>1209</v>
      </c>
      <c r="C207" s="29">
        <v>1</v>
      </c>
      <c r="D207" s="325" t="s">
        <v>1201</v>
      </c>
      <c r="E207" s="29">
        <v>19</v>
      </c>
      <c r="F207" s="325" t="s">
        <v>122</v>
      </c>
      <c r="G207" s="29">
        <v>1903</v>
      </c>
      <c r="H207" s="325" t="s">
        <v>805</v>
      </c>
      <c r="I207" s="29">
        <v>1903</v>
      </c>
      <c r="J207" s="30" t="s">
        <v>1240</v>
      </c>
      <c r="K207" s="297" t="s">
        <v>844</v>
      </c>
      <c r="L207" s="29">
        <v>1903016</v>
      </c>
      <c r="M207" s="30" t="s">
        <v>845</v>
      </c>
      <c r="N207" s="29">
        <v>1903016</v>
      </c>
      <c r="O207" s="30" t="s">
        <v>845</v>
      </c>
      <c r="P207" s="300">
        <v>190301600</v>
      </c>
      <c r="Q207" s="295" t="s">
        <v>846</v>
      </c>
      <c r="R207" s="300">
        <v>190301600</v>
      </c>
      <c r="S207" s="295" t="s">
        <v>846</v>
      </c>
      <c r="T207" s="299" t="s">
        <v>1469</v>
      </c>
      <c r="U207" s="311">
        <v>240</v>
      </c>
      <c r="V207" s="311"/>
      <c r="W207" s="328">
        <f t="shared" si="15"/>
        <v>240</v>
      </c>
      <c r="X207" s="530">
        <v>145</v>
      </c>
      <c r="Y207" s="296">
        <v>2020003630118</v>
      </c>
      <c r="Z207" s="30" t="s">
        <v>1171</v>
      </c>
      <c r="AA207" s="297" t="s">
        <v>843</v>
      </c>
      <c r="AB207" s="44"/>
      <c r="AC207" s="44"/>
      <c r="AD207" s="44"/>
      <c r="AE207" s="44"/>
      <c r="AF207" s="44"/>
      <c r="AG207" s="44"/>
      <c r="AH207" s="133">
        <f>94000000+50000</f>
        <v>94050000</v>
      </c>
      <c r="AI207" s="133">
        <v>79650933</v>
      </c>
      <c r="AJ207" s="133">
        <v>53387000</v>
      </c>
      <c r="AK207" s="44"/>
      <c r="AL207" s="44"/>
      <c r="AM207" s="44"/>
      <c r="AN207" s="44"/>
      <c r="AO207" s="44"/>
      <c r="AP207" s="44"/>
      <c r="AQ207" s="44"/>
      <c r="AR207" s="44"/>
      <c r="AS207" s="44"/>
      <c r="AT207" s="356"/>
      <c r="AU207" s="42"/>
      <c r="AV207" s="42"/>
      <c r="AW207" s="361"/>
      <c r="AX207" s="44"/>
      <c r="AY207" s="44"/>
      <c r="AZ207" s="358"/>
      <c r="BA207" s="44"/>
      <c r="BB207" s="44"/>
      <c r="BC207" s="361"/>
      <c r="BD207" s="44"/>
      <c r="BE207" s="44"/>
      <c r="BF207" s="298">
        <f t="shared" si="12"/>
        <v>94050000</v>
      </c>
      <c r="BG207" s="298">
        <f t="shared" si="13"/>
        <v>79650933</v>
      </c>
      <c r="BH207" s="298">
        <f t="shared" si="14"/>
        <v>53387000</v>
      </c>
      <c r="BI207" s="386" t="s">
        <v>1483</v>
      </c>
      <c r="BL207" s="34"/>
    </row>
    <row r="208" spans="1:64" s="31" customFormat="1" ht="117" customHeight="1" x14ac:dyDescent="0.25">
      <c r="A208" s="29">
        <v>318</v>
      </c>
      <c r="B208" s="325" t="s">
        <v>1209</v>
      </c>
      <c r="C208" s="29">
        <v>1</v>
      </c>
      <c r="D208" s="325" t="s">
        <v>1201</v>
      </c>
      <c r="E208" s="29">
        <v>19</v>
      </c>
      <c r="F208" s="325" t="s">
        <v>122</v>
      </c>
      <c r="G208" s="29">
        <v>1903</v>
      </c>
      <c r="H208" s="325" t="s">
        <v>805</v>
      </c>
      <c r="I208" s="29">
        <v>1903</v>
      </c>
      <c r="J208" s="30" t="s">
        <v>1240</v>
      </c>
      <c r="K208" s="297" t="s">
        <v>829</v>
      </c>
      <c r="L208" s="300">
        <v>1903011</v>
      </c>
      <c r="M208" s="30" t="s">
        <v>830</v>
      </c>
      <c r="N208" s="300">
        <v>1903011</v>
      </c>
      <c r="O208" s="300" t="s">
        <v>830</v>
      </c>
      <c r="P208" s="300">
        <v>190301101</v>
      </c>
      <c r="Q208" s="30" t="s">
        <v>847</v>
      </c>
      <c r="R208" s="300">
        <v>190301101</v>
      </c>
      <c r="S208" s="295" t="s">
        <v>847</v>
      </c>
      <c r="T208" s="299" t="s">
        <v>1469</v>
      </c>
      <c r="U208" s="311">
        <v>12</v>
      </c>
      <c r="V208" s="311"/>
      <c r="W208" s="328">
        <f t="shared" si="15"/>
        <v>12</v>
      </c>
      <c r="X208" s="530">
        <v>9</v>
      </c>
      <c r="Y208" s="296">
        <v>2020003630118</v>
      </c>
      <c r="Z208" s="30" t="s">
        <v>1171</v>
      </c>
      <c r="AA208" s="297" t="s">
        <v>843</v>
      </c>
      <c r="AB208" s="44"/>
      <c r="AC208" s="44"/>
      <c r="AD208" s="44"/>
      <c r="AE208" s="44"/>
      <c r="AF208" s="44"/>
      <c r="AG208" s="44"/>
      <c r="AH208" s="133">
        <v>110000000</v>
      </c>
      <c r="AI208" s="133">
        <v>33056400</v>
      </c>
      <c r="AJ208" s="133">
        <v>16406400</v>
      </c>
      <c r="AK208" s="44"/>
      <c r="AL208" s="44"/>
      <c r="AM208" s="44"/>
      <c r="AN208" s="44"/>
      <c r="AO208" s="44"/>
      <c r="AP208" s="44"/>
      <c r="AQ208" s="44"/>
      <c r="AR208" s="44"/>
      <c r="AS208" s="44"/>
      <c r="AT208" s="356"/>
      <c r="AU208" s="42"/>
      <c r="AV208" s="42"/>
      <c r="AW208" s="361"/>
      <c r="AX208" s="44"/>
      <c r="AY208" s="44"/>
      <c r="AZ208" s="358"/>
      <c r="BA208" s="44"/>
      <c r="BB208" s="44"/>
      <c r="BC208" s="361"/>
      <c r="BD208" s="44"/>
      <c r="BE208" s="44"/>
      <c r="BF208" s="298">
        <f t="shared" si="12"/>
        <v>110000000</v>
      </c>
      <c r="BG208" s="298">
        <f t="shared" si="13"/>
        <v>33056400</v>
      </c>
      <c r="BH208" s="298">
        <f t="shared" si="14"/>
        <v>16406400</v>
      </c>
      <c r="BI208" s="386" t="s">
        <v>1483</v>
      </c>
      <c r="BL208" s="34"/>
    </row>
    <row r="209" spans="1:64" s="31" customFormat="1" ht="117" customHeight="1" x14ac:dyDescent="0.25">
      <c r="A209" s="29">
        <v>318</v>
      </c>
      <c r="B209" s="325" t="s">
        <v>1209</v>
      </c>
      <c r="C209" s="29">
        <v>1</v>
      </c>
      <c r="D209" s="325" t="s">
        <v>1201</v>
      </c>
      <c r="E209" s="29">
        <v>19</v>
      </c>
      <c r="F209" s="325" t="s">
        <v>122</v>
      </c>
      <c r="G209" s="29">
        <v>1903</v>
      </c>
      <c r="H209" s="325" t="s">
        <v>805</v>
      </c>
      <c r="I209" s="29">
        <v>1903</v>
      </c>
      <c r="J209" s="30" t="s">
        <v>1240</v>
      </c>
      <c r="K209" s="297" t="s">
        <v>829</v>
      </c>
      <c r="L209" s="29">
        <v>1903034</v>
      </c>
      <c r="M209" s="30" t="s">
        <v>84</v>
      </c>
      <c r="N209" s="29">
        <v>1903034</v>
      </c>
      <c r="O209" s="30" t="s">
        <v>84</v>
      </c>
      <c r="P209" s="300">
        <v>190303400</v>
      </c>
      <c r="Q209" s="295" t="s">
        <v>848</v>
      </c>
      <c r="R209" s="300">
        <v>190303400</v>
      </c>
      <c r="S209" s="295" t="s">
        <v>848</v>
      </c>
      <c r="T209" s="299" t="s">
        <v>1469</v>
      </c>
      <c r="U209" s="311">
        <v>12</v>
      </c>
      <c r="V209" s="311"/>
      <c r="W209" s="328">
        <f t="shared" si="15"/>
        <v>12</v>
      </c>
      <c r="X209" s="530">
        <v>12</v>
      </c>
      <c r="Y209" s="296">
        <v>2020003630119</v>
      </c>
      <c r="Z209" s="30" t="s">
        <v>849</v>
      </c>
      <c r="AA209" s="297" t="s">
        <v>850</v>
      </c>
      <c r="AB209" s="44"/>
      <c r="AC209" s="44"/>
      <c r="AD209" s="44"/>
      <c r="AE209" s="44"/>
      <c r="AF209" s="44"/>
      <c r="AG209" s="44"/>
      <c r="AH209" s="44"/>
      <c r="AI209" s="44"/>
      <c r="AJ209" s="44"/>
      <c r="AK209" s="133"/>
      <c r="AL209" s="133"/>
      <c r="AM209" s="133"/>
      <c r="AN209" s="44"/>
      <c r="AO209" s="44"/>
      <c r="AP209" s="44"/>
      <c r="AQ209" s="44"/>
      <c r="AR209" s="44"/>
      <c r="AS209" s="44"/>
      <c r="AT209" s="356">
        <v>96954000</v>
      </c>
      <c r="AU209" s="42">
        <v>95074000</v>
      </c>
      <c r="AV209" s="42">
        <v>40390000</v>
      </c>
      <c r="AW209" s="361"/>
      <c r="AX209" s="44"/>
      <c r="AY209" s="44"/>
      <c r="AZ209" s="358"/>
      <c r="BA209" s="44"/>
      <c r="BB209" s="44"/>
      <c r="BC209" s="361"/>
      <c r="BD209" s="44"/>
      <c r="BE209" s="44"/>
      <c r="BF209" s="298">
        <f t="shared" si="12"/>
        <v>96954000</v>
      </c>
      <c r="BG209" s="298">
        <f t="shared" si="13"/>
        <v>95074000</v>
      </c>
      <c r="BH209" s="298">
        <f t="shared" si="14"/>
        <v>40390000</v>
      </c>
      <c r="BI209" s="386" t="s">
        <v>1483</v>
      </c>
      <c r="BL209" s="34"/>
    </row>
    <row r="210" spans="1:64" s="31" customFormat="1" ht="117" customHeight="1" x14ac:dyDescent="0.25">
      <c r="A210" s="29">
        <v>318</v>
      </c>
      <c r="B210" s="325" t="s">
        <v>1209</v>
      </c>
      <c r="C210" s="29">
        <v>1</v>
      </c>
      <c r="D210" s="325" t="s">
        <v>1201</v>
      </c>
      <c r="E210" s="29">
        <v>19</v>
      </c>
      <c r="F210" s="325" t="s">
        <v>122</v>
      </c>
      <c r="G210" s="29">
        <v>1903</v>
      </c>
      <c r="H210" s="325" t="s">
        <v>805</v>
      </c>
      <c r="I210" s="29">
        <v>1903</v>
      </c>
      <c r="J210" s="30" t="s">
        <v>1240</v>
      </c>
      <c r="K210" s="297" t="s">
        <v>851</v>
      </c>
      <c r="L210" s="29">
        <v>1903045</v>
      </c>
      <c r="M210" s="30" t="s">
        <v>852</v>
      </c>
      <c r="N210" s="29">
        <v>1903045</v>
      </c>
      <c r="O210" s="30" t="s">
        <v>852</v>
      </c>
      <c r="P210" s="300">
        <v>190304500</v>
      </c>
      <c r="Q210" s="295" t="s">
        <v>853</v>
      </c>
      <c r="R210" s="300">
        <v>190304500</v>
      </c>
      <c r="S210" s="295" t="s">
        <v>853</v>
      </c>
      <c r="T210" s="299" t="s">
        <v>1470</v>
      </c>
      <c r="U210" s="311">
        <v>1057</v>
      </c>
      <c r="V210" s="311">
        <v>236</v>
      </c>
      <c r="W210" s="328">
        <f t="shared" si="15"/>
        <v>1293</v>
      </c>
      <c r="X210" s="530">
        <v>359</v>
      </c>
      <c r="Y210" s="296">
        <v>2020003630120</v>
      </c>
      <c r="Z210" s="30" t="s">
        <v>854</v>
      </c>
      <c r="AA210" s="297" t="s">
        <v>855</v>
      </c>
      <c r="AB210" s="44"/>
      <c r="AC210" s="44"/>
      <c r="AD210" s="44"/>
      <c r="AE210" s="44"/>
      <c r="AF210" s="44"/>
      <c r="AG210" s="44"/>
      <c r="AH210" s="44"/>
      <c r="AI210" s="44"/>
      <c r="AJ210" s="44"/>
      <c r="AK210" s="133"/>
      <c r="AL210" s="133"/>
      <c r="AM210" s="133"/>
      <c r="AN210" s="44"/>
      <c r="AO210" s="44"/>
      <c r="AP210" s="44"/>
      <c r="AQ210" s="44"/>
      <c r="AR210" s="44"/>
      <c r="AS210" s="44"/>
      <c r="AT210" s="356">
        <f>19636000+25000000</f>
        <v>44636000</v>
      </c>
      <c r="AU210" s="42">
        <v>44443666</v>
      </c>
      <c r="AV210" s="42">
        <v>34295000</v>
      </c>
      <c r="AW210" s="361"/>
      <c r="AX210" s="44"/>
      <c r="AY210" s="44"/>
      <c r="AZ210" s="358"/>
      <c r="BA210" s="44"/>
      <c r="BB210" s="44"/>
      <c r="BC210" s="361"/>
      <c r="BD210" s="44"/>
      <c r="BE210" s="44"/>
      <c r="BF210" s="298">
        <f t="shared" si="12"/>
        <v>44636000</v>
      </c>
      <c r="BG210" s="298">
        <f t="shared" si="13"/>
        <v>44443666</v>
      </c>
      <c r="BH210" s="298">
        <f t="shared" si="14"/>
        <v>34295000</v>
      </c>
      <c r="BI210" s="386" t="s">
        <v>1483</v>
      </c>
      <c r="BL210" s="34"/>
    </row>
    <row r="211" spans="1:64" s="31" customFormat="1" ht="117" customHeight="1" x14ac:dyDescent="0.25">
      <c r="A211" s="29">
        <v>318</v>
      </c>
      <c r="B211" s="325" t="s">
        <v>1209</v>
      </c>
      <c r="C211" s="29">
        <v>1</v>
      </c>
      <c r="D211" s="325" t="s">
        <v>1201</v>
      </c>
      <c r="E211" s="29">
        <v>19</v>
      </c>
      <c r="F211" s="325" t="s">
        <v>122</v>
      </c>
      <c r="G211" s="29">
        <v>1903</v>
      </c>
      <c r="H211" s="325" t="s">
        <v>805</v>
      </c>
      <c r="I211" s="29">
        <v>1903</v>
      </c>
      <c r="J211" s="30" t="s">
        <v>1240</v>
      </c>
      <c r="K211" s="297" t="s">
        <v>833</v>
      </c>
      <c r="L211" s="300">
        <v>1903001</v>
      </c>
      <c r="M211" s="295" t="s">
        <v>68</v>
      </c>
      <c r="N211" s="29">
        <v>1903001</v>
      </c>
      <c r="O211" s="30" t="s">
        <v>68</v>
      </c>
      <c r="P211" s="300">
        <v>190300100</v>
      </c>
      <c r="Q211" s="295" t="s">
        <v>834</v>
      </c>
      <c r="R211" s="300">
        <v>190300100</v>
      </c>
      <c r="S211" s="295" t="s">
        <v>834</v>
      </c>
      <c r="T211" s="299" t="s">
        <v>1469</v>
      </c>
      <c r="U211" s="296">
        <v>1</v>
      </c>
      <c r="V211" s="296"/>
      <c r="W211" s="328">
        <f t="shared" si="15"/>
        <v>1</v>
      </c>
      <c r="X211" s="530">
        <v>1</v>
      </c>
      <c r="Y211" s="296">
        <v>2020003630120</v>
      </c>
      <c r="Z211" s="30" t="s">
        <v>854</v>
      </c>
      <c r="AA211" s="297" t="s">
        <v>855</v>
      </c>
      <c r="AB211" s="44"/>
      <c r="AC211" s="44"/>
      <c r="AD211" s="44"/>
      <c r="AE211" s="44"/>
      <c r="AF211" s="44"/>
      <c r="AG211" s="44"/>
      <c r="AH211" s="44"/>
      <c r="AI211" s="44"/>
      <c r="AJ211" s="44"/>
      <c r="AK211" s="44"/>
      <c r="AL211" s="44"/>
      <c r="AM211" s="44"/>
      <c r="AN211" s="44"/>
      <c r="AO211" s="44"/>
      <c r="AP211" s="44"/>
      <c r="AQ211" s="44"/>
      <c r="AR211" s="44"/>
      <c r="AS211" s="44"/>
      <c r="AT211" s="356">
        <v>15000000</v>
      </c>
      <c r="AU211" s="42">
        <v>15000000</v>
      </c>
      <c r="AV211" s="42">
        <v>5770000</v>
      </c>
      <c r="AW211" s="361"/>
      <c r="AX211" s="44"/>
      <c r="AY211" s="44"/>
      <c r="AZ211" s="358"/>
      <c r="BA211" s="44"/>
      <c r="BB211" s="44"/>
      <c r="BC211" s="361"/>
      <c r="BD211" s="44"/>
      <c r="BE211" s="44"/>
      <c r="BF211" s="298">
        <f t="shared" si="12"/>
        <v>15000000</v>
      </c>
      <c r="BG211" s="298">
        <f t="shared" si="13"/>
        <v>15000000</v>
      </c>
      <c r="BH211" s="298">
        <f t="shared" si="14"/>
        <v>5770000</v>
      </c>
      <c r="BI211" s="386" t="s">
        <v>1483</v>
      </c>
      <c r="BL211" s="34"/>
    </row>
    <row r="212" spans="1:64" s="31" customFormat="1" ht="117" customHeight="1" x14ac:dyDescent="0.25">
      <c r="A212" s="29">
        <v>318</v>
      </c>
      <c r="B212" s="325" t="s">
        <v>1209</v>
      </c>
      <c r="C212" s="29">
        <v>1</v>
      </c>
      <c r="D212" s="325" t="s">
        <v>1201</v>
      </c>
      <c r="E212" s="29">
        <v>19</v>
      </c>
      <c r="F212" s="325" t="s">
        <v>122</v>
      </c>
      <c r="G212" s="29">
        <v>1903</v>
      </c>
      <c r="H212" s="325" t="s">
        <v>805</v>
      </c>
      <c r="I212" s="29">
        <v>1903</v>
      </c>
      <c r="J212" s="30" t="s">
        <v>1240</v>
      </c>
      <c r="K212" s="301" t="s">
        <v>856</v>
      </c>
      <c r="L212" s="300">
        <v>1903010</v>
      </c>
      <c r="M212" s="302" t="s">
        <v>857</v>
      </c>
      <c r="N212" s="300">
        <v>1903010</v>
      </c>
      <c r="O212" s="302" t="s">
        <v>857</v>
      </c>
      <c r="P212" s="300">
        <v>190301000</v>
      </c>
      <c r="Q212" s="295" t="s">
        <v>858</v>
      </c>
      <c r="R212" s="300">
        <v>190301000</v>
      </c>
      <c r="S212" s="295" t="s">
        <v>858</v>
      </c>
      <c r="T212" s="299" t="s">
        <v>1469</v>
      </c>
      <c r="U212" s="311">
        <v>12</v>
      </c>
      <c r="V212" s="311"/>
      <c r="W212" s="328">
        <f t="shared" si="15"/>
        <v>12</v>
      </c>
      <c r="X212" s="530">
        <v>12</v>
      </c>
      <c r="Y212" s="296">
        <v>2020003630120</v>
      </c>
      <c r="Z212" s="30" t="s">
        <v>854</v>
      </c>
      <c r="AA212" s="297" t="s">
        <v>855</v>
      </c>
      <c r="AB212" s="44"/>
      <c r="AC212" s="44"/>
      <c r="AD212" s="44"/>
      <c r="AE212" s="44"/>
      <c r="AF212" s="44"/>
      <c r="AG212" s="44"/>
      <c r="AH212" s="44"/>
      <c r="AI212" s="44"/>
      <c r="AJ212" s="44"/>
      <c r="AK212" s="133"/>
      <c r="AL212" s="133"/>
      <c r="AM212" s="133"/>
      <c r="AN212" s="44"/>
      <c r="AO212" s="44"/>
      <c r="AP212" s="44"/>
      <c r="AQ212" s="44"/>
      <c r="AR212" s="44"/>
      <c r="AS212" s="44"/>
      <c r="AT212" s="356">
        <v>15000000</v>
      </c>
      <c r="AU212" s="42">
        <v>11540000</v>
      </c>
      <c r="AV212" s="42">
        <v>11540000</v>
      </c>
      <c r="AW212" s="361"/>
      <c r="AX212" s="44"/>
      <c r="AY212" s="44"/>
      <c r="AZ212" s="358"/>
      <c r="BA212" s="44"/>
      <c r="BB212" s="44"/>
      <c r="BC212" s="361"/>
      <c r="BD212" s="44"/>
      <c r="BE212" s="44"/>
      <c r="BF212" s="298">
        <f t="shared" si="12"/>
        <v>15000000</v>
      </c>
      <c r="BG212" s="298">
        <f t="shared" si="13"/>
        <v>11540000</v>
      </c>
      <c r="BH212" s="298">
        <f t="shared" si="14"/>
        <v>11540000</v>
      </c>
      <c r="BI212" s="386" t="s">
        <v>1483</v>
      </c>
      <c r="BL212" s="34"/>
    </row>
    <row r="213" spans="1:64" s="31" customFormat="1" ht="117" customHeight="1" x14ac:dyDescent="0.25">
      <c r="A213" s="29">
        <v>318</v>
      </c>
      <c r="B213" s="325" t="s">
        <v>1209</v>
      </c>
      <c r="C213" s="29">
        <v>1</v>
      </c>
      <c r="D213" s="325" t="s">
        <v>1201</v>
      </c>
      <c r="E213" s="29">
        <v>19</v>
      </c>
      <c r="F213" s="325" t="s">
        <v>122</v>
      </c>
      <c r="G213" s="29">
        <v>1903</v>
      </c>
      <c r="H213" s="325" t="s">
        <v>805</v>
      </c>
      <c r="I213" s="29">
        <v>1903</v>
      </c>
      <c r="J213" s="30" t="s">
        <v>1240</v>
      </c>
      <c r="K213" s="301" t="s">
        <v>829</v>
      </c>
      <c r="L213" s="29">
        <v>1903011</v>
      </c>
      <c r="M213" s="30" t="s">
        <v>830</v>
      </c>
      <c r="N213" s="29">
        <v>1903011</v>
      </c>
      <c r="O213" s="30" t="s">
        <v>830</v>
      </c>
      <c r="P213" s="300">
        <v>190301101</v>
      </c>
      <c r="Q213" s="30" t="s">
        <v>847</v>
      </c>
      <c r="R213" s="300">
        <v>190301101</v>
      </c>
      <c r="S213" s="295" t="s">
        <v>847</v>
      </c>
      <c r="T213" s="299" t="s">
        <v>1469</v>
      </c>
      <c r="U213" s="311">
        <v>12</v>
      </c>
      <c r="V213" s="311"/>
      <c r="W213" s="328">
        <f t="shared" si="15"/>
        <v>12</v>
      </c>
      <c r="X213" s="530">
        <v>12</v>
      </c>
      <c r="Y213" s="296">
        <v>2020003630120</v>
      </c>
      <c r="Z213" s="30" t="s">
        <v>854</v>
      </c>
      <c r="AA213" s="297" t="s">
        <v>855</v>
      </c>
      <c r="AB213" s="44"/>
      <c r="AC213" s="44"/>
      <c r="AD213" s="44"/>
      <c r="AE213" s="44"/>
      <c r="AF213" s="44"/>
      <c r="AG213" s="44"/>
      <c r="AH213" s="44"/>
      <c r="AI213" s="44"/>
      <c r="AJ213" s="44"/>
      <c r="AK213" s="133"/>
      <c r="AL213" s="133"/>
      <c r="AM213" s="133"/>
      <c r="AN213" s="44"/>
      <c r="AO213" s="44"/>
      <c r="AP213" s="44"/>
      <c r="AQ213" s="44"/>
      <c r="AR213" s="44"/>
      <c r="AS213" s="44"/>
      <c r="AT213" s="356">
        <v>15000000</v>
      </c>
      <c r="AU213" s="42">
        <v>14807666</v>
      </c>
      <c r="AV213" s="42">
        <v>11100000</v>
      </c>
      <c r="AW213" s="361"/>
      <c r="AX213" s="44"/>
      <c r="AY213" s="44"/>
      <c r="AZ213" s="358"/>
      <c r="BA213" s="44"/>
      <c r="BB213" s="44"/>
      <c r="BC213" s="361"/>
      <c r="BD213" s="44"/>
      <c r="BE213" s="44"/>
      <c r="BF213" s="298">
        <f t="shared" si="12"/>
        <v>15000000</v>
      </c>
      <c r="BG213" s="298">
        <f t="shared" si="13"/>
        <v>14807666</v>
      </c>
      <c r="BH213" s="298">
        <f t="shared" si="14"/>
        <v>11100000</v>
      </c>
      <c r="BI213" s="386" t="s">
        <v>1483</v>
      </c>
      <c r="BL213" s="34"/>
    </row>
    <row r="214" spans="1:64" s="16" customFormat="1" ht="117" customHeight="1" x14ac:dyDescent="0.2">
      <c r="A214" s="29">
        <v>318</v>
      </c>
      <c r="B214" s="325" t="s">
        <v>1209</v>
      </c>
      <c r="C214" s="29">
        <v>1</v>
      </c>
      <c r="D214" s="325" t="s">
        <v>1201</v>
      </c>
      <c r="E214" s="29">
        <v>19</v>
      </c>
      <c r="F214" s="325" t="s">
        <v>122</v>
      </c>
      <c r="G214" s="29">
        <v>1903</v>
      </c>
      <c r="H214" s="325" t="s">
        <v>805</v>
      </c>
      <c r="I214" s="29">
        <v>1903</v>
      </c>
      <c r="J214" s="30" t="s">
        <v>1240</v>
      </c>
      <c r="K214" s="297" t="s">
        <v>860</v>
      </c>
      <c r="L214" s="29">
        <v>1903047</v>
      </c>
      <c r="M214" s="30" t="s">
        <v>861</v>
      </c>
      <c r="N214" s="29">
        <v>1903047</v>
      </c>
      <c r="O214" s="30" t="s">
        <v>861</v>
      </c>
      <c r="P214" s="300">
        <v>190304701</v>
      </c>
      <c r="Q214" s="295" t="s">
        <v>862</v>
      </c>
      <c r="R214" s="300">
        <v>190304701</v>
      </c>
      <c r="S214" s="295" t="s">
        <v>862</v>
      </c>
      <c r="T214" s="299" t="s">
        <v>1469</v>
      </c>
      <c r="U214" s="311">
        <v>1</v>
      </c>
      <c r="V214" s="311"/>
      <c r="W214" s="328">
        <f t="shared" si="15"/>
        <v>1</v>
      </c>
      <c r="X214" s="530">
        <v>0.6</v>
      </c>
      <c r="Y214" s="296">
        <v>2020003630121</v>
      </c>
      <c r="Z214" s="30" t="s">
        <v>1372</v>
      </c>
      <c r="AA214" s="297" t="s">
        <v>864</v>
      </c>
      <c r="AB214" s="44"/>
      <c r="AC214" s="44"/>
      <c r="AD214" s="44"/>
      <c r="AE214" s="44"/>
      <c r="AF214" s="44"/>
      <c r="AG214" s="44"/>
      <c r="AH214" s="44"/>
      <c r="AI214" s="44"/>
      <c r="AJ214" s="44"/>
      <c r="AK214" s="108">
        <v>20000000</v>
      </c>
      <c r="AL214" s="108">
        <v>20000000</v>
      </c>
      <c r="AM214" s="108">
        <v>2885000</v>
      </c>
      <c r="AN214" s="44"/>
      <c r="AO214" s="44"/>
      <c r="AP214" s="44"/>
      <c r="AQ214" s="44"/>
      <c r="AR214" s="44"/>
      <c r="AS214" s="44"/>
      <c r="AT214" s="356"/>
      <c r="AU214" s="42"/>
      <c r="AV214" s="42"/>
      <c r="AW214" s="361"/>
      <c r="AX214" s="44"/>
      <c r="AY214" s="44"/>
      <c r="AZ214" s="358"/>
      <c r="BA214" s="44"/>
      <c r="BB214" s="44"/>
      <c r="BC214" s="361"/>
      <c r="BD214" s="44"/>
      <c r="BE214" s="44"/>
      <c r="BF214" s="298">
        <f t="shared" si="12"/>
        <v>20000000</v>
      </c>
      <c r="BG214" s="298">
        <f t="shared" si="13"/>
        <v>20000000</v>
      </c>
      <c r="BH214" s="298">
        <f t="shared" si="14"/>
        <v>2885000</v>
      </c>
      <c r="BI214" s="386" t="s">
        <v>1483</v>
      </c>
      <c r="BK214" s="34"/>
      <c r="BL214" s="34"/>
    </row>
    <row r="215" spans="1:64" s="16" customFormat="1" ht="117" customHeight="1" x14ac:dyDescent="0.2">
      <c r="A215" s="29">
        <v>318</v>
      </c>
      <c r="B215" s="325" t="s">
        <v>1209</v>
      </c>
      <c r="C215" s="29">
        <v>1</v>
      </c>
      <c r="D215" s="325" t="s">
        <v>1201</v>
      </c>
      <c r="E215" s="29">
        <v>19</v>
      </c>
      <c r="F215" s="325" t="s">
        <v>122</v>
      </c>
      <c r="G215" s="29">
        <v>1903</v>
      </c>
      <c r="H215" s="325" t="s">
        <v>805</v>
      </c>
      <c r="I215" s="29">
        <v>1903</v>
      </c>
      <c r="J215" s="30" t="s">
        <v>1240</v>
      </c>
      <c r="K215" s="297" t="s">
        <v>865</v>
      </c>
      <c r="L215" s="29">
        <v>1903019</v>
      </c>
      <c r="M215" s="30" t="s">
        <v>866</v>
      </c>
      <c r="N215" s="29">
        <v>1903019</v>
      </c>
      <c r="O215" s="30" t="s">
        <v>866</v>
      </c>
      <c r="P215" s="300">
        <v>190301900</v>
      </c>
      <c r="Q215" s="295" t="s">
        <v>867</v>
      </c>
      <c r="R215" s="300">
        <v>190301900</v>
      </c>
      <c r="S215" s="295" t="s">
        <v>867</v>
      </c>
      <c r="T215" s="299" t="s">
        <v>1469</v>
      </c>
      <c r="U215" s="311">
        <v>75</v>
      </c>
      <c r="V215" s="311"/>
      <c r="W215" s="328">
        <f t="shared" si="15"/>
        <v>75</v>
      </c>
      <c r="X215" s="530">
        <v>87</v>
      </c>
      <c r="Y215" s="296">
        <v>2020003630121</v>
      </c>
      <c r="Z215" s="30" t="s">
        <v>1372</v>
      </c>
      <c r="AA215" s="297" t="s">
        <v>864</v>
      </c>
      <c r="AB215" s="44"/>
      <c r="AC215" s="44"/>
      <c r="AD215" s="44"/>
      <c r="AE215" s="44"/>
      <c r="AF215" s="44"/>
      <c r="AG215" s="44"/>
      <c r="AH215" s="44"/>
      <c r="AI215" s="44"/>
      <c r="AJ215" s="44"/>
      <c r="AK215" s="108">
        <v>50000000</v>
      </c>
      <c r="AL215" s="108">
        <v>50000000</v>
      </c>
      <c r="AM215" s="108">
        <v>50000000</v>
      </c>
      <c r="AN215" s="138"/>
      <c r="AO215" s="138"/>
      <c r="AP215" s="138"/>
      <c r="AQ215" s="44"/>
      <c r="AR215" s="44"/>
      <c r="AS215" s="44"/>
      <c r="AT215" s="356"/>
      <c r="AU215" s="42"/>
      <c r="AV215" s="42"/>
      <c r="AW215" s="361"/>
      <c r="AX215" s="44"/>
      <c r="AY215" s="44"/>
      <c r="AZ215" s="358"/>
      <c r="BA215" s="44"/>
      <c r="BB215" s="44"/>
      <c r="BC215" s="361"/>
      <c r="BD215" s="44"/>
      <c r="BE215" s="44"/>
      <c r="BF215" s="298">
        <f t="shared" si="12"/>
        <v>50000000</v>
      </c>
      <c r="BG215" s="298">
        <f t="shared" si="13"/>
        <v>50000000</v>
      </c>
      <c r="BH215" s="298">
        <f t="shared" si="14"/>
        <v>50000000</v>
      </c>
      <c r="BI215" s="386" t="s">
        <v>1483</v>
      </c>
      <c r="BK215" s="34"/>
      <c r="BL215" s="34"/>
    </row>
    <row r="216" spans="1:64" s="16" customFormat="1" ht="117" customHeight="1" x14ac:dyDescent="0.2">
      <c r="A216" s="29">
        <v>318</v>
      </c>
      <c r="B216" s="325" t="s">
        <v>1209</v>
      </c>
      <c r="C216" s="29">
        <v>1</v>
      </c>
      <c r="D216" s="325" t="s">
        <v>1201</v>
      </c>
      <c r="E216" s="29">
        <v>19</v>
      </c>
      <c r="F216" s="325" t="s">
        <v>122</v>
      </c>
      <c r="G216" s="29">
        <v>1903</v>
      </c>
      <c r="H216" s="325" t="s">
        <v>805</v>
      </c>
      <c r="I216" s="29">
        <v>1903</v>
      </c>
      <c r="J216" s="30" t="s">
        <v>1240</v>
      </c>
      <c r="K216" s="297" t="s">
        <v>868</v>
      </c>
      <c r="L216" s="29">
        <v>1903028</v>
      </c>
      <c r="M216" s="30" t="s">
        <v>869</v>
      </c>
      <c r="N216" s="29">
        <v>1903028</v>
      </c>
      <c r="O216" s="30" t="s">
        <v>869</v>
      </c>
      <c r="P216" s="300">
        <v>190302800</v>
      </c>
      <c r="Q216" s="295" t="s">
        <v>870</v>
      </c>
      <c r="R216" s="300">
        <v>190302800</v>
      </c>
      <c r="S216" s="295" t="s">
        <v>870</v>
      </c>
      <c r="T216" s="299" t="s">
        <v>1469</v>
      </c>
      <c r="U216" s="311">
        <v>250</v>
      </c>
      <c r="V216" s="311"/>
      <c r="W216" s="328">
        <f t="shared" si="15"/>
        <v>250</v>
      </c>
      <c r="X216" s="530">
        <v>244</v>
      </c>
      <c r="Y216" s="296">
        <v>2020003630121</v>
      </c>
      <c r="Z216" s="30" t="s">
        <v>1372</v>
      </c>
      <c r="AA216" s="297" t="s">
        <v>864</v>
      </c>
      <c r="AB216" s="44"/>
      <c r="AC216" s="44"/>
      <c r="AD216" s="44"/>
      <c r="AE216" s="44"/>
      <c r="AF216" s="44"/>
      <c r="AG216" s="44"/>
      <c r="AH216" s="44"/>
      <c r="AI216" s="44"/>
      <c r="AJ216" s="44"/>
      <c r="AK216" s="108">
        <v>40000000</v>
      </c>
      <c r="AL216" s="108">
        <v>40000000</v>
      </c>
      <c r="AM216" s="108">
        <v>39435000</v>
      </c>
      <c r="AN216" s="44"/>
      <c r="AO216" s="44"/>
      <c r="AP216" s="44"/>
      <c r="AQ216" s="44"/>
      <c r="AR216" s="44"/>
      <c r="AS216" s="44"/>
      <c r="AT216" s="356"/>
      <c r="AU216" s="42"/>
      <c r="AV216" s="42"/>
      <c r="AW216" s="361"/>
      <c r="AX216" s="44"/>
      <c r="AY216" s="44"/>
      <c r="AZ216" s="358"/>
      <c r="BA216" s="44"/>
      <c r="BB216" s="44"/>
      <c r="BC216" s="361"/>
      <c r="BD216" s="44"/>
      <c r="BE216" s="44"/>
      <c r="BF216" s="298">
        <f t="shared" si="12"/>
        <v>40000000</v>
      </c>
      <c r="BG216" s="298">
        <f t="shared" si="13"/>
        <v>40000000</v>
      </c>
      <c r="BH216" s="298">
        <f t="shared" si="14"/>
        <v>39435000</v>
      </c>
      <c r="BI216" s="386" t="s">
        <v>1483</v>
      </c>
      <c r="BK216" s="34"/>
      <c r="BL216" s="34"/>
    </row>
    <row r="217" spans="1:64" s="16" customFormat="1" ht="117" customHeight="1" x14ac:dyDescent="0.2">
      <c r="A217" s="29">
        <v>318</v>
      </c>
      <c r="B217" s="325" t="s">
        <v>1209</v>
      </c>
      <c r="C217" s="29">
        <v>1</v>
      </c>
      <c r="D217" s="325" t="s">
        <v>1201</v>
      </c>
      <c r="E217" s="29">
        <v>19</v>
      </c>
      <c r="F217" s="325" t="s">
        <v>122</v>
      </c>
      <c r="G217" s="29">
        <v>1903</v>
      </c>
      <c r="H217" s="325" t="s">
        <v>805</v>
      </c>
      <c r="I217" s="29">
        <v>1903</v>
      </c>
      <c r="J217" s="30" t="s">
        <v>1240</v>
      </c>
      <c r="K217" s="297" t="s">
        <v>837</v>
      </c>
      <c r="L217" s="29">
        <v>1903025</v>
      </c>
      <c r="M217" s="30" t="s">
        <v>871</v>
      </c>
      <c r="N217" s="29">
        <v>1903025</v>
      </c>
      <c r="O217" s="30" t="s">
        <v>871</v>
      </c>
      <c r="P217" s="300">
        <v>190302500</v>
      </c>
      <c r="Q217" s="295" t="s">
        <v>872</v>
      </c>
      <c r="R217" s="300">
        <v>190302500</v>
      </c>
      <c r="S217" s="295" t="s">
        <v>872</v>
      </c>
      <c r="T217" s="299" t="s">
        <v>1469</v>
      </c>
      <c r="U217" s="311">
        <v>12</v>
      </c>
      <c r="V217" s="311"/>
      <c r="W217" s="328">
        <f t="shared" si="15"/>
        <v>12</v>
      </c>
      <c r="X217" s="530">
        <v>12</v>
      </c>
      <c r="Y217" s="296">
        <v>2020003630121</v>
      </c>
      <c r="Z217" s="30" t="s">
        <v>1372</v>
      </c>
      <c r="AA217" s="297" t="s">
        <v>864</v>
      </c>
      <c r="AB217" s="44"/>
      <c r="AC217" s="44"/>
      <c r="AD217" s="44"/>
      <c r="AE217" s="44"/>
      <c r="AF217" s="44"/>
      <c r="AG217" s="44"/>
      <c r="AH217" s="44"/>
      <c r="AI217" s="44"/>
      <c r="AJ217" s="44"/>
      <c r="AK217" s="108">
        <f>49125000+10000</f>
        <v>49135000</v>
      </c>
      <c r="AL217" s="108">
        <v>49135000</v>
      </c>
      <c r="AM217" s="108">
        <v>25570000</v>
      </c>
      <c r="AN217" s="44"/>
      <c r="AO217" s="44"/>
      <c r="AP217" s="44"/>
      <c r="AQ217" s="44"/>
      <c r="AR217" s="44"/>
      <c r="AS217" s="44"/>
      <c r="AT217" s="356"/>
      <c r="AU217" s="42"/>
      <c r="AV217" s="42"/>
      <c r="AW217" s="361"/>
      <c r="AX217" s="44"/>
      <c r="AY217" s="44"/>
      <c r="AZ217" s="358"/>
      <c r="BA217" s="44"/>
      <c r="BB217" s="44"/>
      <c r="BC217" s="361"/>
      <c r="BD217" s="44"/>
      <c r="BE217" s="44"/>
      <c r="BF217" s="298">
        <f t="shared" si="12"/>
        <v>49135000</v>
      </c>
      <c r="BG217" s="298">
        <f t="shared" si="13"/>
        <v>49135000</v>
      </c>
      <c r="BH217" s="298">
        <f t="shared" si="14"/>
        <v>25570000</v>
      </c>
      <c r="BI217" s="386" t="s">
        <v>1483</v>
      </c>
      <c r="BK217" s="34"/>
      <c r="BL217" s="34"/>
    </row>
    <row r="218" spans="1:64" s="16" customFormat="1" ht="117" customHeight="1" x14ac:dyDescent="0.2">
      <c r="A218" s="29">
        <v>318</v>
      </c>
      <c r="B218" s="325" t="s">
        <v>1209</v>
      </c>
      <c r="C218" s="29">
        <v>1</v>
      </c>
      <c r="D218" s="325" t="s">
        <v>1201</v>
      </c>
      <c r="E218" s="29">
        <v>19</v>
      </c>
      <c r="F218" s="325" t="s">
        <v>122</v>
      </c>
      <c r="G218" s="29">
        <v>1905</v>
      </c>
      <c r="H218" s="325" t="s">
        <v>650</v>
      </c>
      <c r="I218" s="29">
        <v>1905</v>
      </c>
      <c r="J218" s="30" t="s">
        <v>1241</v>
      </c>
      <c r="K218" s="297" t="s">
        <v>815</v>
      </c>
      <c r="L218" s="29">
        <v>1905028</v>
      </c>
      <c r="M218" s="30" t="s">
        <v>873</v>
      </c>
      <c r="N218" s="29">
        <v>1905028</v>
      </c>
      <c r="O218" s="30" t="s">
        <v>873</v>
      </c>
      <c r="P218" s="300">
        <v>190502800</v>
      </c>
      <c r="Q218" s="295" t="s">
        <v>874</v>
      </c>
      <c r="R218" s="300">
        <v>190502800</v>
      </c>
      <c r="S218" s="295" t="s">
        <v>874</v>
      </c>
      <c r="T218" s="299" t="s">
        <v>1469</v>
      </c>
      <c r="U218" s="311">
        <v>12</v>
      </c>
      <c r="V218" s="311"/>
      <c r="W218" s="328">
        <f t="shared" si="15"/>
        <v>12</v>
      </c>
      <c r="X218" s="530">
        <v>12</v>
      </c>
      <c r="Y218" s="296">
        <v>2020003630122</v>
      </c>
      <c r="Z218" s="30" t="s">
        <v>1373</v>
      </c>
      <c r="AA218" s="297" t="s">
        <v>876</v>
      </c>
      <c r="AB218" s="44"/>
      <c r="AC218" s="44"/>
      <c r="AD218" s="44"/>
      <c r="AE218" s="44"/>
      <c r="AF218" s="44"/>
      <c r="AG218" s="44"/>
      <c r="AH218" s="44">
        <f>45000000+22935000</f>
        <v>67935000</v>
      </c>
      <c r="AI218" s="44">
        <v>66931999</v>
      </c>
      <c r="AJ218" s="44">
        <v>34620000</v>
      </c>
      <c r="AK218" s="44"/>
      <c r="AL218" s="44"/>
      <c r="AM218" s="44"/>
      <c r="AN218" s="44"/>
      <c r="AO218" s="44"/>
      <c r="AP218" s="44"/>
      <c r="AQ218" s="44"/>
      <c r="AR218" s="44"/>
      <c r="AS218" s="44"/>
      <c r="AT218" s="356"/>
      <c r="AU218" s="42"/>
      <c r="AV218" s="42"/>
      <c r="AW218" s="361"/>
      <c r="AX218" s="44"/>
      <c r="AY218" s="44"/>
      <c r="AZ218" s="358"/>
      <c r="BA218" s="44"/>
      <c r="BB218" s="44"/>
      <c r="BC218" s="361"/>
      <c r="BD218" s="44"/>
      <c r="BE218" s="44"/>
      <c r="BF218" s="298">
        <f t="shared" si="12"/>
        <v>67935000</v>
      </c>
      <c r="BG218" s="298">
        <f t="shared" si="13"/>
        <v>66931999</v>
      </c>
      <c r="BH218" s="298">
        <f t="shared" si="14"/>
        <v>34620000</v>
      </c>
      <c r="BI218" s="386" t="s">
        <v>1483</v>
      </c>
      <c r="BK218" s="34"/>
      <c r="BL218" s="34"/>
    </row>
    <row r="219" spans="1:64" s="16" customFormat="1" ht="117" customHeight="1" x14ac:dyDescent="0.2">
      <c r="A219" s="29">
        <v>318</v>
      </c>
      <c r="B219" s="325" t="s">
        <v>1209</v>
      </c>
      <c r="C219" s="29">
        <v>1</v>
      </c>
      <c r="D219" s="325" t="s">
        <v>1201</v>
      </c>
      <c r="E219" s="29">
        <v>19</v>
      </c>
      <c r="F219" s="325" t="s">
        <v>122</v>
      </c>
      <c r="G219" s="29">
        <v>1905</v>
      </c>
      <c r="H219" s="325" t="s">
        <v>650</v>
      </c>
      <c r="I219" s="29">
        <v>1905</v>
      </c>
      <c r="J219" s="30" t="s">
        <v>1241</v>
      </c>
      <c r="K219" s="297" t="s">
        <v>815</v>
      </c>
      <c r="L219" s="29">
        <v>1905031</v>
      </c>
      <c r="M219" s="295" t="s">
        <v>877</v>
      </c>
      <c r="N219" s="29">
        <v>1905031</v>
      </c>
      <c r="O219" s="30" t="s">
        <v>877</v>
      </c>
      <c r="P219" s="29">
        <v>190503100</v>
      </c>
      <c r="Q219" s="295" t="s">
        <v>878</v>
      </c>
      <c r="R219" s="29">
        <v>190503100</v>
      </c>
      <c r="S219" s="295" t="s">
        <v>878</v>
      </c>
      <c r="T219" s="299" t="s">
        <v>1469</v>
      </c>
      <c r="U219" s="311">
        <v>12</v>
      </c>
      <c r="V219" s="311"/>
      <c r="W219" s="328">
        <f t="shared" si="15"/>
        <v>12</v>
      </c>
      <c r="X219" s="530">
        <v>7</v>
      </c>
      <c r="Y219" s="296">
        <v>2020003630122</v>
      </c>
      <c r="Z219" s="30" t="s">
        <v>1373</v>
      </c>
      <c r="AA219" s="297" t="s">
        <v>876</v>
      </c>
      <c r="AB219" s="44"/>
      <c r="AC219" s="44"/>
      <c r="AD219" s="44"/>
      <c r="AE219" s="44"/>
      <c r="AF219" s="44"/>
      <c r="AG219" s="44"/>
      <c r="AH219" s="44">
        <f>45000000+2400000</f>
        <v>47400000</v>
      </c>
      <c r="AI219" s="44">
        <v>43896667</v>
      </c>
      <c r="AJ219" s="44">
        <v>28440000</v>
      </c>
      <c r="AK219" s="44"/>
      <c r="AL219" s="44"/>
      <c r="AM219" s="44"/>
      <c r="AN219" s="44"/>
      <c r="AO219" s="44"/>
      <c r="AP219" s="44"/>
      <c r="AQ219" s="44"/>
      <c r="AR219" s="44"/>
      <c r="AS219" s="44"/>
      <c r="AT219" s="356"/>
      <c r="AU219" s="42"/>
      <c r="AV219" s="42"/>
      <c r="AW219" s="361"/>
      <c r="AX219" s="44"/>
      <c r="AY219" s="44"/>
      <c r="AZ219" s="358"/>
      <c r="BA219" s="44"/>
      <c r="BB219" s="44"/>
      <c r="BC219" s="361"/>
      <c r="BD219" s="44"/>
      <c r="BE219" s="44"/>
      <c r="BF219" s="298">
        <f t="shared" si="12"/>
        <v>47400000</v>
      </c>
      <c r="BG219" s="298">
        <f t="shared" si="13"/>
        <v>43896667</v>
      </c>
      <c r="BH219" s="298">
        <f t="shared" si="14"/>
        <v>28440000</v>
      </c>
      <c r="BI219" s="386" t="s">
        <v>1483</v>
      </c>
      <c r="BK219" s="34"/>
      <c r="BL219" s="34"/>
    </row>
    <row r="220" spans="1:64" s="16" customFormat="1" ht="117" customHeight="1" x14ac:dyDescent="0.2">
      <c r="A220" s="29">
        <v>318</v>
      </c>
      <c r="B220" s="325" t="s">
        <v>1209</v>
      </c>
      <c r="C220" s="29">
        <v>1</v>
      </c>
      <c r="D220" s="325" t="s">
        <v>1201</v>
      </c>
      <c r="E220" s="29">
        <v>19</v>
      </c>
      <c r="F220" s="325" t="s">
        <v>122</v>
      </c>
      <c r="G220" s="29">
        <v>1905</v>
      </c>
      <c r="H220" s="325" t="s">
        <v>650</v>
      </c>
      <c r="I220" s="29">
        <v>1905</v>
      </c>
      <c r="J220" s="30" t="s">
        <v>1241</v>
      </c>
      <c r="K220" s="297" t="s">
        <v>879</v>
      </c>
      <c r="L220" s="29">
        <v>1905019</v>
      </c>
      <c r="M220" s="30" t="s">
        <v>880</v>
      </c>
      <c r="N220" s="29">
        <v>1905019</v>
      </c>
      <c r="O220" s="30" t="s">
        <v>880</v>
      </c>
      <c r="P220" s="29">
        <v>190501900</v>
      </c>
      <c r="Q220" s="30" t="s">
        <v>274</v>
      </c>
      <c r="R220" s="29">
        <v>190501900</v>
      </c>
      <c r="S220" s="295" t="s">
        <v>274</v>
      </c>
      <c r="T220" s="299" t="s">
        <v>1469</v>
      </c>
      <c r="U220" s="311">
        <v>60</v>
      </c>
      <c r="V220" s="311"/>
      <c r="W220" s="328">
        <f t="shared" si="15"/>
        <v>60</v>
      </c>
      <c r="X220" s="530">
        <v>353</v>
      </c>
      <c r="Y220" s="296">
        <v>2020003630123</v>
      </c>
      <c r="Z220" s="30" t="s">
        <v>881</v>
      </c>
      <c r="AA220" s="297" t="s">
        <v>882</v>
      </c>
      <c r="AB220" s="44"/>
      <c r="AC220" s="44"/>
      <c r="AD220" s="44"/>
      <c r="AE220" s="44"/>
      <c r="AF220" s="44"/>
      <c r="AG220" s="44"/>
      <c r="AH220" s="44">
        <f>30000000</f>
        <v>30000000</v>
      </c>
      <c r="AI220" s="44">
        <v>28274332</v>
      </c>
      <c r="AJ220" s="44">
        <v>7310000</v>
      </c>
      <c r="AK220" s="44"/>
      <c r="AL220" s="44"/>
      <c r="AM220" s="44"/>
      <c r="AN220" s="44"/>
      <c r="AO220" s="44"/>
      <c r="AP220" s="44"/>
      <c r="AQ220" s="44"/>
      <c r="AR220" s="44"/>
      <c r="AS220" s="44"/>
      <c r="AT220" s="356"/>
      <c r="AU220" s="42"/>
      <c r="AV220" s="42"/>
      <c r="AW220" s="361"/>
      <c r="AX220" s="44"/>
      <c r="AY220" s="44"/>
      <c r="AZ220" s="358"/>
      <c r="BA220" s="44"/>
      <c r="BB220" s="44"/>
      <c r="BC220" s="361"/>
      <c r="BD220" s="44"/>
      <c r="BE220" s="44"/>
      <c r="BF220" s="298">
        <f t="shared" si="12"/>
        <v>30000000</v>
      </c>
      <c r="BG220" s="298">
        <f t="shared" si="13"/>
        <v>28274332</v>
      </c>
      <c r="BH220" s="298">
        <f t="shared" si="14"/>
        <v>7310000</v>
      </c>
      <c r="BI220" s="386" t="s">
        <v>1483</v>
      </c>
      <c r="BK220" s="34"/>
      <c r="BL220" s="34"/>
    </row>
    <row r="221" spans="1:64" s="16" customFormat="1" ht="117" customHeight="1" x14ac:dyDescent="0.2">
      <c r="A221" s="29">
        <v>318</v>
      </c>
      <c r="B221" s="325" t="s">
        <v>1209</v>
      </c>
      <c r="C221" s="29">
        <v>1</v>
      </c>
      <c r="D221" s="325" t="s">
        <v>1201</v>
      </c>
      <c r="E221" s="29">
        <v>19</v>
      </c>
      <c r="F221" s="325" t="s">
        <v>122</v>
      </c>
      <c r="G221" s="29">
        <v>1905</v>
      </c>
      <c r="H221" s="325" t="s">
        <v>650</v>
      </c>
      <c r="I221" s="29">
        <v>1905</v>
      </c>
      <c r="J221" s="30" t="s">
        <v>1241</v>
      </c>
      <c r="K221" s="297" t="s">
        <v>883</v>
      </c>
      <c r="L221" s="29" t="s">
        <v>31</v>
      </c>
      <c r="M221" s="30" t="s">
        <v>885</v>
      </c>
      <c r="N221" s="29">
        <v>1905031</v>
      </c>
      <c r="O221" s="30" t="s">
        <v>886</v>
      </c>
      <c r="P221" s="29" t="s">
        <v>884</v>
      </c>
      <c r="Q221" s="295" t="s">
        <v>887</v>
      </c>
      <c r="R221" s="29">
        <v>190503100</v>
      </c>
      <c r="S221" s="295" t="s">
        <v>888</v>
      </c>
      <c r="T221" s="299" t="s">
        <v>1469</v>
      </c>
      <c r="U221" s="311">
        <v>11</v>
      </c>
      <c r="V221" s="311"/>
      <c r="W221" s="328">
        <f t="shared" si="15"/>
        <v>11</v>
      </c>
      <c r="X221" s="530">
        <v>11</v>
      </c>
      <c r="Y221" s="296">
        <v>2020003630123</v>
      </c>
      <c r="Z221" s="30" t="s">
        <v>881</v>
      </c>
      <c r="AA221" s="297" t="s">
        <v>882</v>
      </c>
      <c r="AB221" s="44"/>
      <c r="AC221" s="44"/>
      <c r="AD221" s="44"/>
      <c r="AE221" s="44"/>
      <c r="AF221" s="44"/>
      <c r="AG221" s="44"/>
      <c r="AH221" s="44">
        <v>50000000</v>
      </c>
      <c r="AI221" s="44">
        <v>44388333</v>
      </c>
      <c r="AJ221" s="44">
        <v>33810000</v>
      </c>
      <c r="AK221" s="44"/>
      <c r="AL221" s="44"/>
      <c r="AM221" s="44"/>
      <c r="AN221" s="44"/>
      <c r="AO221" s="44"/>
      <c r="AP221" s="44"/>
      <c r="AQ221" s="44"/>
      <c r="AR221" s="44"/>
      <c r="AS221" s="44"/>
      <c r="AT221" s="356"/>
      <c r="AU221" s="42"/>
      <c r="AV221" s="42"/>
      <c r="AW221" s="361"/>
      <c r="AX221" s="44"/>
      <c r="AY221" s="44"/>
      <c r="AZ221" s="358"/>
      <c r="BA221" s="44"/>
      <c r="BB221" s="44"/>
      <c r="BC221" s="361"/>
      <c r="BD221" s="44"/>
      <c r="BE221" s="44"/>
      <c r="BF221" s="298">
        <f t="shared" si="12"/>
        <v>50000000</v>
      </c>
      <c r="BG221" s="298">
        <f t="shared" si="13"/>
        <v>44388333</v>
      </c>
      <c r="BH221" s="298">
        <f t="shared" si="14"/>
        <v>33810000</v>
      </c>
      <c r="BI221" s="386" t="s">
        <v>1483</v>
      </c>
      <c r="BK221" s="34"/>
      <c r="BL221" s="34"/>
    </row>
    <row r="222" spans="1:64" s="16" customFormat="1" ht="117" customHeight="1" x14ac:dyDescent="0.2">
      <c r="A222" s="29">
        <v>318</v>
      </c>
      <c r="B222" s="325" t="s">
        <v>1209</v>
      </c>
      <c r="C222" s="29">
        <v>1</v>
      </c>
      <c r="D222" s="325" t="s">
        <v>1201</v>
      </c>
      <c r="E222" s="29">
        <v>19</v>
      </c>
      <c r="F222" s="325" t="s">
        <v>122</v>
      </c>
      <c r="G222" s="29">
        <v>1905</v>
      </c>
      <c r="H222" s="325" t="s">
        <v>650</v>
      </c>
      <c r="I222" s="29">
        <v>1905</v>
      </c>
      <c r="J222" s="30" t="s">
        <v>1241</v>
      </c>
      <c r="K222" s="301" t="s">
        <v>895</v>
      </c>
      <c r="L222" s="29" t="s">
        <v>31</v>
      </c>
      <c r="M222" s="30" t="s">
        <v>889</v>
      </c>
      <c r="N222" s="29">
        <v>1905015</v>
      </c>
      <c r="O222" s="30" t="s">
        <v>193</v>
      </c>
      <c r="P222" s="29" t="s">
        <v>31</v>
      </c>
      <c r="Q222" s="295" t="s">
        <v>890</v>
      </c>
      <c r="R222" s="29">
        <v>190501500</v>
      </c>
      <c r="S222" s="295" t="s">
        <v>195</v>
      </c>
      <c r="T222" s="299" t="s">
        <v>1469</v>
      </c>
      <c r="U222" s="311">
        <v>1</v>
      </c>
      <c r="V222" s="311"/>
      <c r="W222" s="328">
        <f t="shared" si="15"/>
        <v>1</v>
      </c>
      <c r="X222" s="530">
        <v>0.35</v>
      </c>
      <c r="Y222" s="296">
        <v>2020003630123</v>
      </c>
      <c r="Z222" s="30" t="s">
        <v>881</v>
      </c>
      <c r="AA222" s="297" t="s">
        <v>882</v>
      </c>
      <c r="AB222" s="44"/>
      <c r="AC222" s="44"/>
      <c r="AD222" s="44"/>
      <c r="AE222" s="44"/>
      <c r="AF222" s="44"/>
      <c r="AG222" s="44"/>
      <c r="AH222" s="44">
        <v>35000000</v>
      </c>
      <c r="AI222" s="44">
        <v>28850000</v>
      </c>
      <c r="AJ222" s="44">
        <v>20195000</v>
      </c>
      <c r="AK222" s="44"/>
      <c r="AL222" s="44"/>
      <c r="AM222" s="44"/>
      <c r="AN222" s="44"/>
      <c r="AO222" s="44"/>
      <c r="AP222" s="44"/>
      <c r="AQ222" s="44"/>
      <c r="AR222" s="44"/>
      <c r="AS222" s="44"/>
      <c r="AT222" s="356"/>
      <c r="AU222" s="42"/>
      <c r="AV222" s="42"/>
      <c r="AW222" s="361"/>
      <c r="AX222" s="44"/>
      <c r="AY222" s="44"/>
      <c r="AZ222" s="358"/>
      <c r="BA222" s="44"/>
      <c r="BB222" s="44"/>
      <c r="BC222" s="361"/>
      <c r="BD222" s="44"/>
      <c r="BE222" s="44"/>
      <c r="BF222" s="298">
        <f t="shared" si="12"/>
        <v>35000000</v>
      </c>
      <c r="BG222" s="298">
        <f t="shared" si="13"/>
        <v>28850000</v>
      </c>
      <c r="BH222" s="298">
        <f t="shared" si="14"/>
        <v>20195000</v>
      </c>
      <c r="BI222" s="386" t="s">
        <v>1483</v>
      </c>
      <c r="BK222" s="34"/>
      <c r="BL222" s="34"/>
    </row>
    <row r="223" spans="1:64" s="16" customFormat="1" ht="117" customHeight="1" x14ac:dyDescent="0.2">
      <c r="A223" s="29">
        <v>318</v>
      </c>
      <c r="B223" s="325" t="s">
        <v>1209</v>
      </c>
      <c r="C223" s="29">
        <v>1</v>
      </c>
      <c r="D223" s="325" t="s">
        <v>1201</v>
      </c>
      <c r="E223" s="29">
        <v>19</v>
      </c>
      <c r="F223" s="325" t="s">
        <v>122</v>
      </c>
      <c r="G223" s="29">
        <v>1905</v>
      </c>
      <c r="H223" s="325" t="s">
        <v>650</v>
      </c>
      <c r="I223" s="29">
        <v>1905</v>
      </c>
      <c r="J223" s="30" t="s">
        <v>1241</v>
      </c>
      <c r="K223" s="297" t="s">
        <v>818</v>
      </c>
      <c r="L223" s="29" t="s">
        <v>31</v>
      </c>
      <c r="M223" s="30" t="s">
        <v>891</v>
      </c>
      <c r="N223" s="295">
        <v>1905024</v>
      </c>
      <c r="O223" s="29" t="s">
        <v>892</v>
      </c>
      <c r="P223" s="30" t="s">
        <v>31</v>
      </c>
      <c r="Q223" s="295" t="s">
        <v>893</v>
      </c>
      <c r="R223" s="29">
        <v>190502400</v>
      </c>
      <c r="S223" s="295" t="s">
        <v>894</v>
      </c>
      <c r="T223" s="299" t="s">
        <v>1470</v>
      </c>
      <c r="U223" s="311">
        <v>4</v>
      </c>
      <c r="V223" s="351">
        <v>0.4</v>
      </c>
      <c r="W223" s="370">
        <f t="shared" si="15"/>
        <v>4.4000000000000004</v>
      </c>
      <c r="X223" s="530">
        <v>3</v>
      </c>
      <c r="Y223" s="296">
        <v>2020003630123</v>
      </c>
      <c r="Z223" s="30" t="s">
        <v>881</v>
      </c>
      <c r="AA223" s="297" t="s">
        <v>882</v>
      </c>
      <c r="AB223" s="44"/>
      <c r="AC223" s="44"/>
      <c r="AD223" s="44"/>
      <c r="AE223" s="44"/>
      <c r="AF223" s="44"/>
      <c r="AG223" s="44"/>
      <c r="AH223" s="44">
        <v>70000000</v>
      </c>
      <c r="AI223" s="44">
        <f>120665028-AI225-AI226</f>
        <v>64505028</v>
      </c>
      <c r="AJ223" s="44">
        <v>43275000</v>
      </c>
      <c r="AK223" s="44"/>
      <c r="AL223" s="44"/>
      <c r="AM223" s="44"/>
      <c r="AN223" s="44"/>
      <c r="AO223" s="44"/>
      <c r="AP223" s="44"/>
      <c r="AQ223" s="44"/>
      <c r="AR223" s="44"/>
      <c r="AS223" s="44"/>
      <c r="AT223" s="356">
        <v>24000000</v>
      </c>
      <c r="AU223" s="42">
        <v>0</v>
      </c>
      <c r="AV223" s="42">
        <v>0</v>
      </c>
      <c r="AW223" s="361"/>
      <c r="AX223" s="44"/>
      <c r="AY223" s="44"/>
      <c r="AZ223" s="358"/>
      <c r="BA223" s="44"/>
      <c r="BB223" s="44"/>
      <c r="BC223" s="361"/>
      <c r="BD223" s="44"/>
      <c r="BE223" s="44"/>
      <c r="BF223" s="298">
        <f t="shared" si="12"/>
        <v>94000000</v>
      </c>
      <c r="BG223" s="298">
        <f t="shared" si="13"/>
        <v>64505028</v>
      </c>
      <c r="BH223" s="298">
        <f t="shared" si="14"/>
        <v>43275000</v>
      </c>
      <c r="BI223" s="386" t="s">
        <v>1483</v>
      </c>
      <c r="BK223" s="34"/>
      <c r="BL223" s="34"/>
    </row>
    <row r="224" spans="1:64" s="16" customFormat="1" ht="117" customHeight="1" x14ac:dyDescent="0.2">
      <c r="A224" s="29">
        <v>318</v>
      </c>
      <c r="B224" s="325" t="s">
        <v>1209</v>
      </c>
      <c r="C224" s="29">
        <v>1</v>
      </c>
      <c r="D224" s="325" t="s">
        <v>1201</v>
      </c>
      <c r="E224" s="29">
        <v>19</v>
      </c>
      <c r="F224" s="325" t="s">
        <v>122</v>
      </c>
      <c r="G224" s="29">
        <v>1905</v>
      </c>
      <c r="H224" s="325" t="s">
        <v>650</v>
      </c>
      <c r="I224" s="29">
        <v>1905</v>
      </c>
      <c r="J224" s="30" t="s">
        <v>1241</v>
      </c>
      <c r="K224" s="297" t="s">
        <v>895</v>
      </c>
      <c r="L224" s="29" t="s">
        <v>31</v>
      </c>
      <c r="M224" s="30" t="s">
        <v>896</v>
      </c>
      <c r="N224" s="29">
        <v>1905015</v>
      </c>
      <c r="O224" s="30" t="s">
        <v>193</v>
      </c>
      <c r="P224" s="29" t="s">
        <v>31</v>
      </c>
      <c r="Q224" s="295" t="s">
        <v>897</v>
      </c>
      <c r="R224" s="29">
        <v>190501500</v>
      </c>
      <c r="S224" s="295" t="s">
        <v>195</v>
      </c>
      <c r="T224" s="299" t="s">
        <v>1470</v>
      </c>
      <c r="U224" s="311">
        <v>4</v>
      </c>
      <c r="V224" s="311">
        <v>2</v>
      </c>
      <c r="W224" s="328">
        <f t="shared" si="15"/>
        <v>6</v>
      </c>
      <c r="X224" s="530">
        <v>1</v>
      </c>
      <c r="Y224" s="296">
        <v>2020003630123</v>
      </c>
      <c r="Z224" s="30" t="s">
        <v>881</v>
      </c>
      <c r="AA224" s="297" t="s">
        <v>882</v>
      </c>
      <c r="AB224" s="44"/>
      <c r="AC224" s="44"/>
      <c r="AD224" s="44"/>
      <c r="AE224" s="44"/>
      <c r="AF224" s="44"/>
      <c r="AG224" s="44"/>
      <c r="AH224" s="44">
        <v>30000000</v>
      </c>
      <c r="AI224" s="44">
        <v>0</v>
      </c>
      <c r="AJ224" s="44">
        <v>0</v>
      </c>
      <c r="AK224" s="44"/>
      <c r="AL224" s="44"/>
      <c r="AM224" s="44"/>
      <c r="AN224" s="44"/>
      <c r="AO224" s="44"/>
      <c r="AP224" s="44"/>
      <c r="AQ224" s="44"/>
      <c r="AR224" s="44"/>
      <c r="AS224" s="44"/>
      <c r="AT224" s="356"/>
      <c r="AU224" s="42"/>
      <c r="AV224" s="42"/>
      <c r="AW224" s="361"/>
      <c r="AX224" s="44"/>
      <c r="AY224" s="44"/>
      <c r="AZ224" s="358"/>
      <c r="BA224" s="44"/>
      <c r="BB224" s="44"/>
      <c r="BC224" s="361"/>
      <c r="BD224" s="44"/>
      <c r="BE224" s="44"/>
      <c r="BF224" s="298">
        <f t="shared" si="12"/>
        <v>30000000</v>
      </c>
      <c r="BG224" s="298">
        <f t="shared" si="13"/>
        <v>0</v>
      </c>
      <c r="BH224" s="298">
        <f t="shared" si="14"/>
        <v>0</v>
      </c>
      <c r="BI224" s="386" t="s">
        <v>1483</v>
      </c>
      <c r="BK224" s="34"/>
      <c r="BL224" s="34"/>
    </row>
    <row r="225" spans="1:64" s="16" customFormat="1" ht="117" customHeight="1" x14ac:dyDescent="0.2">
      <c r="A225" s="29">
        <v>318</v>
      </c>
      <c r="B225" s="325" t="s">
        <v>1209</v>
      </c>
      <c r="C225" s="29">
        <v>1</v>
      </c>
      <c r="D225" s="325" t="s">
        <v>1201</v>
      </c>
      <c r="E225" s="29">
        <v>19</v>
      </c>
      <c r="F225" s="325" t="s">
        <v>122</v>
      </c>
      <c r="G225" s="29">
        <v>1905</v>
      </c>
      <c r="H225" s="325" t="s">
        <v>650</v>
      </c>
      <c r="I225" s="29">
        <v>1905</v>
      </c>
      <c r="J225" s="30" t="s">
        <v>1241</v>
      </c>
      <c r="K225" s="297" t="s">
        <v>818</v>
      </c>
      <c r="L225" s="29" t="s">
        <v>31</v>
      </c>
      <c r="M225" s="30" t="s">
        <v>898</v>
      </c>
      <c r="N225" s="29">
        <v>1905024</v>
      </c>
      <c r="O225" s="30" t="s">
        <v>892</v>
      </c>
      <c r="P225" s="29" t="s">
        <v>31</v>
      </c>
      <c r="Q225" s="295" t="s">
        <v>899</v>
      </c>
      <c r="R225" s="300">
        <v>190502400</v>
      </c>
      <c r="S225" s="295" t="s">
        <v>894</v>
      </c>
      <c r="T225" s="299" t="s">
        <v>1469</v>
      </c>
      <c r="U225" s="311">
        <v>12</v>
      </c>
      <c r="V225" s="311"/>
      <c r="W225" s="328">
        <f t="shared" si="15"/>
        <v>12</v>
      </c>
      <c r="X225" s="530">
        <v>8</v>
      </c>
      <c r="Y225" s="296">
        <v>2020003630123</v>
      </c>
      <c r="Z225" s="30" t="s">
        <v>881</v>
      </c>
      <c r="AA225" s="297" t="s">
        <v>882</v>
      </c>
      <c r="AB225" s="44"/>
      <c r="AC225" s="44"/>
      <c r="AD225" s="44"/>
      <c r="AE225" s="44"/>
      <c r="AF225" s="44"/>
      <c r="AG225" s="44"/>
      <c r="AH225" s="44">
        <v>30000000</v>
      </c>
      <c r="AI225" s="44">
        <v>27310000</v>
      </c>
      <c r="AJ225" s="44">
        <f>AI225</f>
        <v>27310000</v>
      </c>
      <c r="AK225" s="44"/>
      <c r="AL225" s="44"/>
      <c r="AM225" s="44"/>
      <c r="AN225" s="44"/>
      <c r="AO225" s="44"/>
      <c r="AP225" s="44"/>
      <c r="AQ225" s="44"/>
      <c r="AR225" s="44"/>
      <c r="AS225" s="44"/>
      <c r="AT225" s="356"/>
      <c r="AU225" s="42"/>
      <c r="AV225" s="42"/>
      <c r="AW225" s="361"/>
      <c r="AX225" s="44"/>
      <c r="AY225" s="44"/>
      <c r="AZ225" s="358"/>
      <c r="BA225" s="44"/>
      <c r="BB225" s="44"/>
      <c r="BC225" s="361"/>
      <c r="BD225" s="44"/>
      <c r="BE225" s="44"/>
      <c r="BF225" s="298">
        <f t="shared" si="12"/>
        <v>30000000</v>
      </c>
      <c r="BG225" s="298">
        <f t="shared" si="13"/>
        <v>27310000</v>
      </c>
      <c r="BH225" s="298">
        <f t="shared" si="14"/>
        <v>27310000</v>
      </c>
      <c r="BI225" s="386" t="s">
        <v>1483</v>
      </c>
      <c r="BK225" s="34"/>
      <c r="BL225" s="34"/>
    </row>
    <row r="226" spans="1:64" s="16" customFormat="1" ht="117" customHeight="1" x14ac:dyDescent="0.2">
      <c r="A226" s="29">
        <v>318</v>
      </c>
      <c r="B226" s="325" t="s">
        <v>1209</v>
      </c>
      <c r="C226" s="29">
        <v>1</v>
      </c>
      <c r="D226" s="325" t="s">
        <v>1201</v>
      </c>
      <c r="E226" s="29">
        <v>19</v>
      </c>
      <c r="F226" s="325" t="s">
        <v>122</v>
      </c>
      <c r="G226" s="29">
        <v>1905</v>
      </c>
      <c r="H226" s="325" t="s">
        <v>650</v>
      </c>
      <c r="I226" s="29">
        <v>1905</v>
      </c>
      <c r="J226" s="30" t="s">
        <v>1241</v>
      </c>
      <c r="K226" s="297" t="s">
        <v>851</v>
      </c>
      <c r="L226" s="29" t="s">
        <v>31</v>
      </c>
      <c r="M226" s="30" t="s">
        <v>900</v>
      </c>
      <c r="N226" s="29">
        <v>1905024</v>
      </c>
      <c r="O226" s="30" t="s">
        <v>892</v>
      </c>
      <c r="P226" s="29" t="s">
        <v>31</v>
      </c>
      <c r="Q226" s="295" t="s">
        <v>901</v>
      </c>
      <c r="R226" s="300">
        <v>190502401</v>
      </c>
      <c r="S226" s="295" t="s">
        <v>902</v>
      </c>
      <c r="T226" s="299" t="s">
        <v>1470</v>
      </c>
      <c r="U226" s="311">
        <v>4</v>
      </c>
      <c r="V226" s="311"/>
      <c r="W226" s="328">
        <f t="shared" si="15"/>
        <v>4</v>
      </c>
      <c r="X226" s="530">
        <v>4</v>
      </c>
      <c r="Y226" s="296">
        <v>2020003630123</v>
      </c>
      <c r="Z226" s="30" t="s">
        <v>881</v>
      </c>
      <c r="AA226" s="297" t="s">
        <v>882</v>
      </c>
      <c r="AB226" s="44"/>
      <c r="AC226" s="44"/>
      <c r="AD226" s="44"/>
      <c r="AE226" s="44"/>
      <c r="AF226" s="44"/>
      <c r="AG226" s="44"/>
      <c r="AH226" s="134">
        <v>30000000</v>
      </c>
      <c r="AI226" s="134">
        <v>28850000</v>
      </c>
      <c r="AJ226" s="134">
        <v>20195000</v>
      </c>
      <c r="AK226" s="44"/>
      <c r="AL226" s="44"/>
      <c r="AM226" s="44"/>
      <c r="AN226" s="44"/>
      <c r="AO226" s="44"/>
      <c r="AP226" s="44"/>
      <c r="AQ226" s="44"/>
      <c r="AR226" s="44"/>
      <c r="AS226" s="44"/>
      <c r="AT226" s="356"/>
      <c r="AU226" s="42"/>
      <c r="AV226" s="42"/>
      <c r="AW226" s="361"/>
      <c r="AX226" s="44"/>
      <c r="AY226" s="44"/>
      <c r="AZ226" s="358"/>
      <c r="BA226" s="44"/>
      <c r="BB226" s="44"/>
      <c r="BC226" s="361"/>
      <c r="BD226" s="44"/>
      <c r="BE226" s="44"/>
      <c r="BF226" s="298">
        <f t="shared" si="12"/>
        <v>30000000</v>
      </c>
      <c r="BG226" s="298">
        <f t="shared" si="13"/>
        <v>28850000</v>
      </c>
      <c r="BH226" s="298">
        <f t="shared" si="14"/>
        <v>20195000</v>
      </c>
      <c r="BI226" s="386" t="s">
        <v>1483</v>
      </c>
      <c r="BK226" s="34"/>
      <c r="BL226" s="34"/>
    </row>
    <row r="227" spans="1:64" s="16" customFormat="1" ht="220.5" customHeight="1" x14ac:dyDescent="0.2">
      <c r="A227" s="29">
        <v>318</v>
      </c>
      <c r="B227" s="325" t="s">
        <v>1209</v>
      </c>
      <c r="C227" s="29">
        <v>1</v>
      </c>
      <c r="D227" s="325" t="s">
        <v>1201</v>
      </c>
      <c r="E227" s="29">
        <v>19</v>
      </c>
      <c r="F227" s="325" t="s">
        <v>122</v>
      </c>
      <c r="G227" s="29">
        <v>1905</v>
      </c>
      <c r="H227" s="325" t="s">
        <v>650</v>
      </c>
      <c r="I227" s="29">
        <v>1905</v>
      </c>
      <c r="J227" s="30" t="s">
        <v>1241</v>
      </c>
      <c r="K227" s="297" t="s">
        <v>651</v>
      </c>
      <c r="L227" s="29">
        <v>1905021</v>
      </c>
      <c r="M227" s="30" t="s">
        <v>652</v>
      </c>
      <c r="N227" s="29">
        <v>1905021</v>
      </c>
      <c r="O227" s="30" t="s">
        <v>652</v>
      </c>
      <c r="P227" s="300">
        <v>190502100</v>
      </c>
      <c r="Q227" s="295" t="s">
        <v>653</v>
      </c>
      <c r="R227" s="192">
        <v>190502100</v>
      </c>
      <c r="S227" s="295" t="s">
        <v>653</v>
      </c>
      <c r="T227" s="299" t="s">
        <v>1469</v>
      </c>
      <c r="U227" s="311">
        <v>12</v>
      </c>
      <c r="V227" s="311"/>
      <c r="W227" s="328">
        <f t="shared" si="15"/>
        <v>12</v>
      </c>
      <c r="X227" s="530">
        <v>12</v>
      </c>
      <c r="Y227" s="296">
        <v>2020003630124</v>
      </c>
      <c r="Z227" s="30" t="s">
        <v>903</v>
      </c>
      <c r="AA227" s="297" t="s">
        <v>904</v>
      </c>
      <c r="AB227" s="44"/>
      <c r="AC227" s="44"/>
      <c r="AD227" s="44"/>
      <c r="AE227" s="44"/>
      <c r="AF227" s="44"/>
      <c r="AG227" s="44"/>
      <c r="AH227" s="134">
        <v>109515000</v>
      </c>
      <c r="AI227" s="42">
        <v>101848666</v>
      </c>
      <c r="AJ227" s="42">
        <v>62245000</v>
      </c>
      <c r="AK227" s="44"/>
      <c r="AL227" s="44"/>
      <c r="AM227" s="44"/>
      <c r="AN227" s="44"/>
      <c r="AO227" s="44"/>
      <c r="AP227" s="44"/>
      <c r="AQ227" s="44"/>
      <c r="AR227" s="44"/>
      <c r="AS227" s="44"/>
      <c r="AT227" s="356"/>
      <c r="AU227" s="42"/>
      <c r="AV227" s="42"/>
      <c r="AW227" s="361"/>
      <c r="AX227" s="44"/>
      <c r="AY227" s="44"/>
      <c r="AZ227" s="358"/>
      <c r="BA227" s="44"/>
      <c r="BB227" s="44"/>
      <c r="BC227" s="361"/>
      <c r="BD227" s="44"/>
      <c r="BE227" s="44"/>
      <c r="BF227" s="298">
        <f t="shared" si="12"/>
        <v>109515000</v>
      </c>
      <c r="BG227" s="298">
        <f t="shared" si="13"/>
        <v>101848666</v>
      </c>
      <c r="BH227" s="298">
        <f t="shared" si="14"/>
        <v>62245000</v>
      </c>
      <c r="BI227" s="386" t="s">
        <v>1483</v>
      </c>
      <c r="BK227" s="34"/>
      <c r="BL227" s="34"/>
    </row>
    <row r="228" spans="1:64" s="16" customFormat="1" ht="117" customHeight="1" x14ac:dyDescent="0.2">
      <c r="A228" s="29">
        <v>318</v>
      </c>
      <c r="B228" s="325" t="s">
        <v>1209</v>
      </c>
      <c r="C228" s="29">
        <v>1</v>
      </c>
      <c r="D228" s="325" t="s">
        <v>1201</v>
      </c>
      <c r="E228" s="29">
        <v>19</v>
      </c>
      <c r="F228" s="325" t="s">
        <v>122</v>
      </c>
      <c r="G228" s="29">
        <v>1905</v>
      </c>
      <c r="H228" s="325" t="s">
        <v>650</v>
      </c>
      <c r="I228" s="29">
        <v>1905</v>
      </c>
      <c r="J228" s="30" t="s">
        <v>1241</v>
      </c>
      <c r="K228" s="297" t="s">
        <v>883</v>
      </c>
      <c r="L228" s="29" t="s">
        <v>31</v>
      </c>
      <c r="M228" s="30" t="s">
        <v>905</v>
      </c>
      <c r="N228" s="29">
        <v>1905021</v>
      </c>
      <c r="O228" s="30" t="s">
        <v>906</v>
      </c>
      <c r="P228" s="29" t="s">
        <v>31</v>
      </c>
      <c r="Q228" s="295" t="s">
        <v>887</v>
      </c>
      <c r="R228" s="29">
        <v>190502100</v>
      </c>
      <c r="S228" s="295" t="s">
        <v>907</v>
      </c>
      <c r="T228" s="299" t="s">
        <v>1469</v>
      </c>
      <c r="U228" s="311">
        <v>11</v>
      </c>
      <c r="V228" s="311"/>
      <c r="W228" s="328">
        <f t="shared" si="15"/>
        <v>11</v>
      </c>
      <c r="X228" s="530">
        <v>11</v>
      </c>
      <c r="Y228" s="296">
        <v>2020003630124</v>
      </c>
      <c r="Z228" s="30" t="s">
        <v>903</v>
      </c>
      <c r="AA228" s="297" t="s">
        <v>904</v>
      </c>
      <c r="AB228" s="44"/>
      <c r="AC228" s="44"/>
      <c r="AD228" s="44"/>
      <c r="AE228" s="44"/>
      <c r="AF228" s="44"/>
      <c r="AG228" s="44"/>
      <c r="AH228" s="134">
        <v>87930000</v>
      </c>
      <c r="AI228" s="42">
        <v>75647666</v>
      </c>
      <c r="AJ228" s="42">
        <v>38335000</v>
      </c>
      <c r="AK228" s="44"/>
      <c r="AL228" s="44"/>
      <c r="AM228" s="44"/>
      <c r="AN228" s="44"/>
      <c r="AO228" s="44"/>
      <c r="AP228" s="44"/>
      <c r="AQ228" s="44"/>
      <c r="AR228" s="44"/>
      <c r="AS228" s="44"/>
      <c r="AT228" s="356"/>
      <c r="AU228" s="42"/>
      <c r="AV228" s="42"/>
      <c r="AW228" s="361"/>
      <c r="AX228" s="44"/>
      <c r="AY228" s="44"/>
      <c r="AZ228" s="358"/>
      <c r="BA228" s="44"/>
      <c r="BB228" s="44"/>
      <c r="BC228" s="361"/>
      <c r="BD228" s="44"/>
      <c r="BE228" s="44"/>
      <c r="BF228" s="298">
        <f t="shared" ref="BF228:BF291" si="16">AB228+AE228+AH228+AK228+AN228+AQ228+AT228+AW228+BC228</f>
        <v>87930000</v>
      </c>
      <c r="BG228" s="298">
        <f t="shared" ref="BG228:BG291" si="17">AC228+AF228+AI228+AL228+AO228+AR228+AU228+AX228+BD228</f>
        <v>75647666</v>
      </c>
      <c r="BH228" s="298">
        <f t="shared" ref="BH228:BH291" si="18">AD228+AG228+AJ228+AM228+AP228+AS228+AV228+AY228+BE228</f>
        <v>38335000</v>
      </c>
      <c r="BI228" s="386" t="s">
        <v>1483</v>
      </c>
      <c r="BK228" s="34"/>
      <c r="BL228" s="34"/>
    </row>
    <row r="229" spans="1:64" s="16" customFormat="1" ht="117" customHeight="1" x14ac:dyDescent="0.2">
      <c r="A229" s="29">
        <v>318</v>
      </c>
      <c r="B229" s="325" t="s">
        <v>1209</v>
      </c>
      <c r="C229" s="29">
        <v>1</v>
      </c>
      <c r="D229" s="325" t="s">
        <v>1201</v>
      </c>
      <c r="E229" s="29">
        <v>19</v>
      </c>
      <c r="F229" s="325" t="s">
        <v>122</v>
      </c>
      <c r="G229" s="29">
        <v>1905</v>
      </c>
      <c r="H229" s="325" t="s">
        <v>650</v>
      </c>
      <c r="I229" s="29">
        <v>1905</v>
      </c>
      <c r="J229" s="30" t="s">
        <v>1241</v>
      </c>
      <c r="K229" s="297" t="s">
        <v>837</v>
      </c>
      <c r="L229" s="29">
        <v>1905020</v>
      </c>
      <c r="M229" s="30" t="s">
        <v>908</v>
      </c>
      <c r="N229" s="90">
        <v>1905020</v>
      </c>
      <c r="O229" s="30" t="s">
        <v>908</v>
      </c>
      <c r="P229" s="300">
        <v>190502000</v>
      </c>
      <c r="Q229" s="295" t="s">
        <v>909</v>
      </c>
      <c r="R229" s="300">
        <v>190502000</v>
      </c>
      <c r="S229" s="295" t="s">
        <v>909</v>
      </c>
      <c r="T229" s="299" t="s">
        <v>1469</v>
      </c>
      <c r="U229" s="311">
        <v>12</v>
      </c>
      <c r="V229" s="311"/>
      <c r="W229" s="328">
        <f t="shared" si="15"/>
        <v>12</v>
      </c>
      <c r="X229" s="530">
        <v>6</v>
      </c>
      <c r="Y229" s="296">
        <v>2020003630125</v>
      </c>
      <c r="Z229" s="30" t="s">
        <v>910</v>
      </c>
      <c r="AA229" s="297" t="s">
        <v>911</v>
      </c>
      <c r="AB229" s="44"/>
      <c r="AC229" s="44"/>
      <c r="AD229" s="44"/>
      <c r="AE229" s="44"/>
      <c r="AF229" s="44"/>
      <c r="AG229" s="44"/>
      <c r="AH229" s="42">
        <f>40000000+13271000</f>
        <v>53271000</v>
      </c>
      <c r="AI229" s="42">
        <v>50540000</v>
      </c>
      <c r="AJ229" s="42">
        <v>39785000</v>
      </c>
      <c r="AK229" s="44"/>
      <c r="AL229" s="44"/>
      <c r="AM229" s="44"/>
      <c r="AN229" s="44"/>
      <c r="AO229" s="44"/>
      <c r="AP229" s="44"/>
      <c r="AQ229" s="44"/>
      <c r="AR229" s="44"/>
      <c r="AS229" s="44"/>
      <c r="AT229" s="356"/>
      <c r="AU229" s="42"/>
      <c r="AV229" s="42"/>
      <c r="AW229" s="361"/>
      <c r="AX229" s="44"/>
      <c r="AY229" s="44"/>
      <c r="AZ229" s="358"/>
      <c r="BA229" s="44"/>
      <c r="BB229" s="44"/>
      <c r="BC229" s="361">
        <f>548597644+225000000</f>
        <v>773597644</v>
      </c>
      <c r="BD229" s="44">
        <v>587259167</v>
      </c>
      <c r="BE229" s="44">
        <v>163060000</v>
      </c>
      <c r="BF229" s="298">
        <f t="shared" si="16"/>
        <v>826868644</v>
      </c>
      <c r="BG229" s="298">
        <f t="shared" si="17"/>
        <v>637799167</v>
      </c>
      <c r="BH229" s="298">
        <f t="shared" si="18"/>
        <v>202845000</v>
      </c>
      <c r="BI229" s="386" t="s">
        <v>1483</v>
      </c>
      <c r="BK229" s="34"/>
      <c r="BL229" s="34"/>
    </row>
    <row r="230" spans="1:64" s="16" customFormat="1" ht="177" customHeight="1" x14ac:dyDescent="0.2">
      <c r="A230" s="29">
        <v>318</v>
      </c>
      <c r="B230" s="325" t="s">
        <v>1209</v>
      </c>
      <c r="C230" s="29">
        <v>1</v>
      </c>
      <c r="D230" s="325" t="s">
        <v>1201</v>
      </c>
      <c r="E230" s="29">
        <v>19</v>
      </c>
      <c r="F230" s="325" t="s">
        <v>122</v>
      </c>
      <c r="G230" s="29">
        <v>1905</v>
      </c>
      <c r="H230" s="325" t="s">
        <v>650</v>
      </c>
      <c r="I230" s="29">
        <v>1905</v>
      </c>
      <c r="J230" s="30" t="s">
        <v>1241</v>
      </c>
      <c r="K230" s="297" t="s">
        <v>655</v>
      </c>
      <c r="L230" s="29">
        <v>1905022</v>
      </c>
      <c r="M230" s="30" t="s">
        <v>656</v>
      </c>
      <c r="N230" s="90">
        <v>1905022</v>
      </c>
      <c r="O230" s="30" t="s">
        <v>656</v>
      </c>
      <c r="P230" s="300">
        <v>190502200</v>
      </c>
      <c r="Q230" s="295" t="s">
        <v>657</v>
      </c>
      <c r="R230" s="300">
        <v>190502200</v>
      </c>
      <c r="S230" s="295" t="s">
        <v>657</v>
      </c>
      <c r="T230" s="299" t="s">
        <v>1469</v>
      </c>
      <c r="U230" s="311">
        <v>12</v>
      </c>
      <c r="V230" s="311"/>
      <c r="W230" s="328">
        <f t="shared" si="15"/>
        <v>12</v>
      </c>
      <c r="X230" s="530">
        <v>12</v>
      </c>
      <c r="Y230" s="296">
        <v>2020003630125</v>
      </c>
      <c r="Z230" s="30" t="s">
        <v>910</v>
      </c>
      <c r="AA230" s="297" t="s">
        <v>911</v>
      </c>
      <c r="AB230" s="44"/>
      <c r="AC230" s="44"/>
      <c r="AD230" s="44"/>
      <c r="AE230" s="44"/>
      <c r="AF230" s="44"/>
      <c r="AG230" s="44"/>
      <c r="AH230" s="42">
        <f>70000000+12004333</f>
        <v>82004333</v>
      </c>
      <c r="AI230" s="42">
        <v>76733164</v>
      </c>
      <c r="AJ230" s="42">
        <v>42287500</v>
      </c>
      <c r="AK230" s="44"/>
      <c r="AL230" s="44"/>
      <c r="AM230" s="44"/>
      <c r="AN230" s="44"/>
      <c r="AO230" s="44"/>
      <c r="AP230" s="44"/>
      <c r="AQ230" s="44"/>
      <c r="AR230" s="44"/>
      <c r="AS230" s="44"/>
      <c r="AT230" s="356"/>
      <c r="AU230" s="42"/>
      <c r="AV230" s="42"/>
      <c r="AW230" s="361"/>
      <c r="AX230" s="44"/>
      <c r="AY230" s="44"/>
      <c r="AZ230" s="358"/>
      <c r="BA230" s="44"/>
      <c r="BB230" s="44"/>
      <c r="BC230" s="361"/>
      <c r="BD230" s="44"/>
      <c r="BE230" s="44"/>
      <c r="BF230" s="298">
        <f t="shared" si="16"/>
        <v>82004333</v>
      </c>
      <c r="BG230" s="298">
        <f t="shared" si="17"/>
        <v>76733164</v>
      </c>
      <c r="BH230" s="298">
        <f t="shared" si="18"/>
        <v>42287500</v>
      </c>
      <c r="BI230" s="386" t="s">
        <v>1483</v>
      </c>
      <c r="BK230" s="34"/>
      <c r="BL230" s="34"/>
    </row>
    <row r="231" spans="1:64" s="16" customFormat="1" ht="117" customHeight="1" x14ac:dyDescent="0.2">
      <c r="A231" s="29">
        <v>318</v>
      </c>
      <c r="B231" s="325" t="s">
        <v>1209</v>
      </c>
      <c r="C231" s="29">
        <v>1</v>
      </c>
      <c r="D231" s="325" t="s">
        <v>1201</v>
      </c>
      <c r="E231" s="29">
        <v>19</v>
      </c>
      <c r="F231" s="325" t="s">
        <v>122</v>
      </c>
      <c r="G231" s="29">
        <v>1905</v>
      </c>
      <c r="H231" s="325" t="s">
        <v>650</v>
      </c>
      <c r="I231" s="29">
        <v>1905</v>
      </c>
      <c r="J231" s="30" t="s">
        <v>1241</v>
      </c>
      <c r="K231" s="297" t="s">
        <v>837</v>
      </c>
      <c r="L231" s="29" t="s">
        <v>31</v>
      </c>
      <c r="M231" s="30" t="s">
        <v>912</v>
      </c>
      <c r="N231" s="29">
        <v>1905015</v>
      </c>
      <c r="O231" s="30" t="s">
        <v>193</v>
      </c>
      <c r="P231" s="29" t="s">
        <v>31</v>
      </c>
      <c r="Q231" s="295" t="s">
        <v>913</v>
      </c>
      <c r="R231" s="29" t="s">
        <v>914</v>
      </c>
      <c r="S231" s="295" t="s">
        <v>915</v>
      </c>
      <c r="T231" s="299" t="s">
        <v>1469</v>
      </c>
      <c r="U231" s="311">
        <v>1</v>
      </c>
      <c r="V231" s="311"/>
      <c r="W231" s="328">
        <f t="shared" si="15"/>
        <v>1</v>
      </c>
      <c r="X231" s="530">
        <v>0.7</v>
      </c>
      <c r="Y231" s="296">
        <v>2020003630125</v>
      </c>
      <c r="Z231" s="30" t="s">
        <v>910</v>
      </c>
      <c r="AA231" s="297" t="s">
        <v>911</v>
      </c>
      <c r="AB231" s="44"/>
      <c r="AC231" s="44"/>
      <c r="AD231" s="44"/>
      <c r="AE231" s="44"/>
      <c r="AF231" s="44"/>
      <c r="AG231" s="44"/>
      <c r="AH231" s="42">
        <f>50000000+6366667</f>
        <v>56366667</v>
      </c>
      <c r="AI231" s="42">
        <v>46822169</v>
      </c>
      <c r="AJ231" s="42">
        <v>32562500</v>
      </c>
      <c r="AK231" s="44"/>
      <c r="AL231" s="44"/>
      <c r="AM231" s="44"/>
      <c r="AN231" s="44"/>
      <c r="AO231" s="44"/>
      <c r="AP231" s="44"/>
      <c r="AQ231" s="44"/>
      <c r="AR231" s="44"/>
      <c r="AS231" s="44"/>
      <c r="AT231" s="356"/>
      <c r="AU231" s="42"/>
      <c r="AV231" s="42"/>
      <c r="AW231" s="361"/>
      <c r="AX231" s="44"/>
      <c r="AY231" s="44"/>
      <c r="AZ231" s="358"/>
      <c r="BA231" s="44"/>
      <c r="BB231" s="44"/>
      <c r="BC231" s="361"/>
      <c r="BD231" s="44"/>
      <c r="BE231" s="44"/>
      <c r="BF231" s="298">
        <f>AB231+AE231+AH231+AK231+AN231+AQ231+AT231+AW231+BC231</f>
        <v>56366667</v>
      </c>
      <c r="BG231" s="298">
        <f t="shared" si="17"/>
        <v>46822169</v>
      </c>
      <c r="BH231" s="298">
        <f t="shared" si="18"/>
        <v>32562500</v>
      </c>
      <c r="BI231" s="386" t="s">
        <v>1483</v>
      </c>
      <c r="BK231" s="34"/>
      <c r="BL231" s="34"/>
    </row>
    <row r="232" spans="1:64" s="16" customFormat="1" ht="117" customHeight="1" x14ac:dyDescent="0.2">
      <c r="A232" s="29">
        <v>318</v>
      </c>
      <c r="B232" s="325" t="s">
        <v>1209</v>
      </c>
      <c r="C232" s="29">
        <v>1</v>
      </c>
      <c r="D232" s="325" t="s">
        <v>1201</v>
      </c>
      <c r="E232" s="29">
        <v>19</v>
      </c>
      <c r="F232" s="325" t="s">
        <v>122</v>
      </c>
      <c r="G232" s="29">
        <v>1905</v>
      </c>
      <c r="H232" s="325" t="s">
        <v>650</v>
      </c>
      <c r="I232" s="29">
        <v>1905</v>
      </c>
      <c r="J232" s="30" t="s">
        <v>1241</v>
      </c>
      <c r="K232" s="297" t="s">
        <v>916</v>
      </c>
      <c r="L232" s="29">
        <v>1905023</v>
      </c>
      <c r="M232" s="30" t="s">
        <v>917</v>
      </c>
      <c r="N232" s="29">
        <v>1905023</v>
      </c>
      <c r="O232" s="30" t="s">
        <v>917</v>
      </c>
      <c r="P232" s="300">
        <v>190502300</v>
      </c>
      <c r="Q232" s="295" t="s">
        <v>918</v>
      </c>
      <c r="R232" s="300">
        <v>190502300</v>
      </c>
      <c r="S232" s="295" t="s">
        <v>918</v>
      </c>
      <c r="T232" s="299" t="s">
        <v>1469</v>
      </c>
      <c r="U232" s="311">
        <v>12</v>
      </c>
      <c r="V232" s="311"/>
      <c r="W232" s="328">
        <f t="shared" si="15"/>
        <v>12</v>
      </c>
      <c r="X232" s="530">
        <v>12</v>
      </c>
      <c r="Y232" s="296">
        <v>2020003630126</v>
      </c>
      <c r="Z232" s="30" t="s">
        <v>1185</v>
      </c>
      <c r="AA232" s="297" t="s">
        <v>919</v>
      </c>
      <c r="AB232" s="44"/>
      <c r="AC232" s="44"/>
      <c r="AD232" s="44"/>
      <c r="AE232" s="44"/>
      <c r="AF232" s="44"/>
      <c r="AG232" s="44"/>
      <c r="AH232" s="42">
        <f>90000000+54642867</f>
        <v>144642867</v>
      </c>
      <c r="AI232" s="42">
        <v>127786000</v>
      </c>
      <c r="AJ232" s="42">
        <v>80750000</v>
      </c>
      <c r="AK232" s="44"/>
      <c r="AL232" s="44"/>
      <c r="AM232" s="44"/>
      <c r="AN232" s="44"/>
      <c r="AO232" s="44"/>
      <c r="AP232" s="44"/>
      <c r="AQ232" s="44"/>
      <c r="AR232" s="44"/>
      <c r="AS232" s="44"/>
      <c r="AT232" s="356">
        <v>30484800</v>
      </c>
      <c r="AU232" s="42">
        <v>24494000</v>
      </c>
      <c r="AV232" s="42">
        <v>13890000</v>
      </c>
      <c r="AW232" s="361"/>
      <c r="AX232" s="44"/>
      <c r="AY232" s="44"/>
      <c r="AZ232" s="358"/>
      <c r="BA232" s="44"/>
      <c r="BB232" s="44"/>
      <c r="BC232" s="361"/>
      <c r="BD232" s="44"/>
      <c r="BE232" s="44"/>
      <c r="BF232" s="298">
        <f t="shared" si="16"/>
        <v>175127667</v>
      </c>
      <c r="BG232" s="298">
        <f t="shared" si="17"/>
        <v>152280000</v>
      </c>
      <c r="BH232" s="298">
        <f t="shared" si="18"/>
        <v>94640000</v>
      </c>
      <c r="BI232" s="386" t="s">
        <v>1483</v>
      </c>
      <c r="BK232" s="34"/>
      <c r="BL232" s="34"/>
    </row>
    <row r="233" spans="1:64" s="16" customFormat="1" ht="117" customHeight="1" x14ac:dyDescent="0.2">
      <c r="A233" s="29">
        <v>318</v>
      </c>
      <c r="B233" s="325" t="s">
        <v>1209</v>
      </c>
      <c r="C233" s="29">
        <v>1</v>
      </c>
      <c r="D233" s="325" t="s">
        <v>1201</v>
      </c>
      <c r="E233" s="29">
        <v>19</v>
      </c>
      <c r="F233" s="325" t="s">
        <v>122</v>
      </c>
      <c r="G233" s="29">
        <v>1905</v>
      </c>
      <c r="H233" s="325" t="s">
        <v>650</v>
      </c>
      <c r="I233" s="29">
        <v>1905</v>
      </c>
      <c r="J233" s="30" t="s">
        <v>1241</v>
      </c>
      <c r="K233" s="297" t="s">
        <v>815</v>
      </c>
      <c r="L233" s="29">
        <v>1905031</v>
      </c>
      <c r="M233" s="295" t="s">
        <v>877</v>
      </c>
      <c r="N233" s="29">
        <v>1905031</v>
      </c>
      <c r="O233" s="30" t="s">
        <v>877</v>
      </c>
      <c r="P233" s="29">
        <v>190503100</v>
      </c>
      <c r="Q233" s="295" t="s">
        <v>878</v>
      </c>
      <c r="R233" s="29">
        <v>190503100</v>
      </c>
      <c r="S233" s="295" t="s">
        <v>878</v>
      </c>
      <c r="T233" s="299" t="s">
        <v>1469</v>
      </c>
      <c r="U233" s="311">
        <v>12</v>
      </c>
      <c r="V233" s="311"/>
      <c r="W233" s="328">
        <f t="shared" si="15"/>
        <v>12</v>
      </c>
      <c r="X233" s="530">
        <v>12</v>
      </c>
      <c r="Y233" s="296">
        <v>2020003630126</v>
      </c>
      <c r="Z233" s="30" t="s">
        <v>1185</v>
      </c>
      <c r="AA233" s="297" t="s">
        <v>919</v>
      </c>
      <c r="AB233" s="44"/>
      <c r="AC233" s="44"/>
      <c r="AD233" s="44"/>
      <c r="AE233" s="44"/>
      <c r="AF233" s="44"/>
      <c r="AG233" s="44"/>
      <c r="AH233" s="42">
        <f>80000000+30374667</f>
        <v>110374667</v>
      </c>
      <c r="AI233" s="42">
        <v>86507666</v>
      </c>
      <c r="AJ233" s="42">
        <v>61890000</v>
      </c>
      <c r="AK233" s="44"/>
      <c r="AL233" s="44"/>
      <c r="AM233" s="44"/>
      <c r="AN233" s="44"/>
      <c r="AO233" s="44"/>
      <c r="AP233" s="44"/>
      <c r="AQ233" s="44"/>
      <c r="AR233" s="44"/>
      <c r="AS233" s="44"/>
      <c r="AT233" s="356"/>
      <c r="AU233" s="42"/>
      <c r="AV233" s="42"/>
      <c r="AW233" s="361"/>
      <c r="AX233" s="44"/>
      <c r="AY233" s="44"/>
      <c r="AZ233" s="358"/>
      <c r="BA233" s="44"/>
      <c r="BB233" s="44"/>
      <c r="BC233" s="361"/>
      <c r="BD233" s="44"/>
      <c r="BE233" s="44"/>
      <c r="BF233" s="298">
        <f t="shared" si="16"/>
        <v>110374667</v>
      </c>
      <c r="BG233" s="298">
        <f t="shared" si="17"/>
        <v>86507666</v>
      </c>
      <c r="BH233" s="298">
        <f t="shared" si="18"/>
        <v>61890000</v>
      </c>
      <c r="BI233" s="386" t="s">
        <v>1483</v>
      </c>
      <c r="BK233" s="34"/>
      <c r="BL233" s="34"/>
    </row>
    <row r="234" spans="1:64" s="16" customFormat="1" ht="117" customHeight="1" x14ac:dyDescent="0.2">
      <c r="A234" s="29">
        <v>318</v>
      </c>
      <c r="B234" s="325" t="s">
        <v>1209</v>
      </c>
      <c r="C234" s="29">
        <v>1</v>
      </c>
      <c r="D234" s="325" t="s">
        <v>1201</v>
      </c>
      <c r="E234" s="29">
        <v>19</v>
      </c>
      <c r="F234" s="325" t="s">
        <v>122</v>
      </c>
      <c r="G234" s="29">
        <v>1905</v>
      </c>
      <c r="H234" s="325" t="s">
        <v>650</v>
      </c>
      <c r="I234" s="29">
        <v>1905</v>
      </c>
      <c r="J234" s="30" t="s">
        <v>1241</v>
      </c>
      <c r="K234" s="297" t="s">
        <v>920</v>
      </c>
      <c r="L234" s="29">
        <v>1905012</v>
      </c>
      <c r="M234" s="30" t="s">
        <v>921</v>
      </c>
      <c r="N234" s="29">
        <v>1905012</v>
      </c>
      <c r="O234" s="30" t="s">
        <v>921</v>
      </c>
      <c r="P234" s="300">
        <v>190501200</v>
      </c>
      <c r="Q234" s="295" t="s">
        <v>921</v>
      </c>
      <c r="R234" s="300">
        <v>190501200</v>
      </c>
      <c r="S234" s="295" t="s">
        <v>921</v>
      </c>
      <c r="T234" s="299" t="s">
        <v>1469</v>
      </c>
      <c r="U234" s="311">
        <v>1</v>
      </c>
      <c r="V234" s="311"/>
      <c r="W234" s="328">
        <f t="shared" si="15"/>
        <v>1</v>
      </c>
      <c r="X234" s="530">
        <v>0.6</v>
      </c>
      <c r="Y234" s="296">
        <v>2020003630127</v>
      </c>
      <c r="Z234" s="30" t="s">
        <v>922</v>
      </c>
      <c r="AA234" s="297" t="s">
        <v>923</v>
      </c>
      <c r="AB234" s="44"/>
      <c r="AC234" s="44"/>
      <c r="AD234" s="44"/>
      <c r="AE234" s="44"/>
      <c r="AF234" s="44"/>
      <c r="AG234" s="44"/>
      <c r="AH234" s="44">
        <f>20000000+2782168+1704450491.94-1163271904.1-260000000</f>
        <v>303960755.84000015</v>
      </c>
      <c r="AI234" s="44">
        <v>83954835</v>
      </c>
      <c r="AJ234" s="44">
        <v>42262168</v>
      </c>
      <c r="AK234" s="44"/>
      <c r="AL234" s="44"/>
      <c r="AM234" s="44"/>
      <c r="AN234" s="44"/>
      <c r="AO234" s="44"/>
      <c r="AP234" s="44"/>
      <c r="AQ234" s="44"/>
      <c r="AR234" s="44"/>
      <c r="AS234" s="44"/>
      <c r="AT234" s="356"/>
      <c r="AU234" s="42"/>
      <c r="AV234" s="42"/>
      <c r="AW234" s="361"/>
      <c r="AX234" s="44"/>
      <c r="AY234" s="44"/>
      <c r="AZ234" s="358"/>
      <c r="BA234" s="44"/>
      <c r="BB234" s="44"/>
      <c r="BC234" s="366"/>
      <c r="BD234" s="108"/>
      <c r="BE234" s="108"/>
      <c r="BF234" s="298">
        <f t="shared" si="16"/>
        <v>303960755.84000015</v>
      </c>
      <c r="BG234" s="298">
        <f t="shared" si="17"/>
        <v>83954835</v>
      </c>
      <c r="BH234" s="298">
        <f t="shared" si="18"/>
        <v>42262168</v>
      </c>
      <c r="BI234" s="386" t="s">
        <v>1483</v>
      </c>
      <c r="BK234" s="34"/>
      <c r="BL234" s="34"/>
    </row>
    <row r="235" spans="1:64" s="16" customFormat="1" ht="184.5" customHeight="1" x14ac:dyDescent="0.2">
      <c r="A235" s="29">
        <v>318</v>
      </c>
      <c r="B235" s="325" t="s">
        <v>1209</v>
      </c>
      <c r="C235" s="29">
        <v>1</v>
      </c>
      <c r="D235" s="325" t="s">
        <v>1201</v>
      </c>
      <c r="E235" s="29">
        <v>19</v>
      </c>
      <c r="F235" s="325" t="s">
        <v>122</v>
      </c>
      <c r="G235" s="29">
        <v>1905</v>
      </c>
      <c r="H235" s="325" t="s">
        <v>650</v>
      </c>
      <c r="I235" s="29">
        <v>1905</v>
      </c>
      <c r="J235" s="30" t="s">
        <v>1241</v>
      </c>
      <c r="K235" s="297" t="s">
        <v>924</v>
      </c>
      <c r="L235" s="29">
        <v>1905026</v>
      </c>
      <c r="M235" s="295" t="s">
        <v>925</v>
      </c>
      <c r="N235" s="29">
        <v>1905026</v>
      </c>
      <c r="O235" s="30" t="s">
        <v>925</v>
      </c>
      <c r="P235" s="300">
        <v>190502600</v>
      </c>
      <c r="Q235" s="295" t="s">
        <v>926</v>
      </c>
      <c r="R235" s="300">
        <v>190502600</v>
      </c>
      <c r="S235" s="295" t="s">
        <v>926</v>
      </c>
      <c r="T235" s="299" t="s">
        <v>1469</v>
      </c>
      <c r="U235" s="311">
        <v>12</v>
      </c>
      <c r="V235" s="311"/>
      <c r="W235" s="328">
        <f t="shared" si="15"/>
        <v>12</v>
      </c>
      <c r="X235" s="530">
        <v>12</v>
      </c>
      <c r="Y235" s="296">
        <v>2020003630127</v>
      </c>
      <c r="Z235" s="30" t="s">
        <v>922</v>
      </c>
      <c r="AA235" s="297" t="s">
        <v>923</v>
      </c>
      <c r="AB235" s="44"/>
      <c r="AC235" s="44"/>
      <c r="AD235" s="44"/>
      <c r="AE235" s="44"/>
      <c r="AF235" s="44"/>
      <c r="AG235" s="44"/>
      <c r="AH235" s="44">
        <f>70000000+20000000+20000000</f>
        <v>110000000</v>
      </c>
      <c r="AI235" s="44">
        <v>74195000</v>
      </c>
      <c r="AJ235" s="44">
        <v>54410000</v>
      </c>
      <c r="AK235" s="40"/>
      <c r="AL235" s="40"/>
      <c r="AM235" s="40"/>
      <c r="AN235" s="44"/>
      <c r="AO235" s="44"/>
      <c r="AP235" s="44"/>
      <c r="AQ235" s="44"/>
      <c r="AR235" s="44"/>
      <c r="AS235" s="44"/>
      <c r="AT235" s="356"/>
      <c r="AU235" s="42"/>
      <c r="AV235" s="42"/>
      <c r="AW235" s="361"/>
      <c r="AX235" s="44"/>
      <c r="AY235" s="44"/>
      <c r="AZ235" s="358"/>
      <c r="BA235" s="44"/>
      <c r="BB235" s="44"/>
      <c r="BC235" s="361"/>
      <c r="BD235" s="44"/>
      <c r="BE235" s="44"/>
      <c r="BF235" s="298">
        <f t="shared" si="16"/>
        <v>110000000</v>
      </c>
      <c r="BG235" s="298">
        <f t="shared" si="17"/>
        <v>74195000</v>
      </c>
      <c r="BH235" s="298">
        <f t="shared" si="18"/>
        <v>54410000</v>
      </c>
      <c r="BI235" s="386" t="s">
        <v>1483</v>
      </c>
      <c r="BK235" s="34"/>
      <c r="BL235" s="34"/>
    </row>
    <row r="236" spans="1:64" s="16" customFormat="1" ht="117" customHeight="1" x14ac:dyDescent="0.2">
      <c r="A236" s="29">
        <v>318</v>
      </c>
      <c r="B236" s="325" t="s">
        <v>1209</v>
      </c>
      <c r="C236" s="29">
        <v>1</v>
      </c>
      <c r="D236" s="325" t="s">
        <v>1201</v>
      </c>
      <c r="E236" s="29">
        <v>19</v>
      </c>
      <c r="F236" s="325" t="s">
        <v>122</v>
      </c>
      <c r="G236" s="29">
        <v>1905</v>
      </c>
      <c r="H236" s="325" t="s">
        <v>650</v>
      </c>
      <c r="I236" s="29">
        <v>1905</v>
      </c>
      <c r="J236" s="30" t="s">
        <v>1241</v>
      </c>
      <c r="K236" s="297" t="s">
        <v>920</v>
      </c>
      <c r="L236" s="29">
        <v>1905027</v>
      </c>
      <c r="M236" s="30" t="s">
        <v>927</v>
      </c>
      <c r="N236" s="29">
        <v>1905027</v>
      </c>
      <c r="O236" s="30" t="s">
        <v>927</v>
      </c>
      <c r="P236" s="300">
        <v>190502700</v>
      </c>
      <c r="Q236" s="30" t="s">
        <v>928</v>
      </c>
      <c r="R236" s="300">
        <v>190502700</v>
      </c>
      <c r="S236" s="295" t="s">
        <v>928</v>
      </c>
      <c r="T236" s="299" t="s">
        <v>1469</v>
      </c>
      <c r="U236" s="311">
        <v>12</v>
      </c>
      <c r="V236" s="311"/>
      <c r="W236" s="328">
        <f t="shared" si="15"/>
        <v>12</v>
      </c>
      <c r="X236" s="530">
        <v>12</v>
      </c>
      <c r="Y236" s="296">
        <v>2020003630127</v>
      </c>
      <c r="Z236" s="30" t="s">
        <v>922</v>
      </c>
      <c r="AA236" s="297" t="s">
        <v>923</v>
      </c>
      <c r="AB236" s="44"/>
      <c r="AC236" s="44"/>
      <c r="AD236" s="44"/>
      <c r="AE236" s="44"/>
      <c r="AF236" s="44"/>
      <c r="AG236" s="44"/>
      <c r="AH236" s="44">
        <f>75000000+90000000</f>
        <v>165000000</v>
      </c>
      <c r="AI236" s="44">
        <v>74870000</v>
      </c>
      <c r="AJ236" s="44">
        <v>60275000</v>
      </c>
      <c r="AK236" s="40"/>
      <c r="AL236" s="40"/>
      <c r="AM236" s="40"/>
      <c r="AN236" s="44"/>
      <c r="AO236" s="44"/>
      <c r="AP236" s="44"/>
      <c r="AQ236" s="44"/>
      <c r="AR236" s="44"/>
      <c r="AS236" s="44"/>
      <c r="AT236" s="356"/>
      <c r="AU236" s="42"/>
      <c r="AV236" s="42"/>
      <c r="AW236" s="361"/>
      <c r="AX236" s="44"/>
      <c r="AY236" s="44"/>
      <c r="AZ236" s="358"/>
      <c r="BA236" s="44"/>
      <c r="BB236" s="44"/>
      <c r="BC236" s="361"/>
      <c r="BD236" s="44"/>
      <c r="BE236" s="44"/>
      <c r="BF236" s="298">
        <f t="shared" si="16"/>
        <v>165000000</v>
      </c>
      <c r="BG236" s="298">
        <f t="shared" si="17"/>
        <v>74870000</v>
      </c>
      <c r="BH236" s="298">
        <f t="shared" si="18"/>
        <v>60275000</v>
      </c>
      <c r="BI236" s="386" t="s">
        <v>1483</v>
      </c>
      <c r="BK236" s="34"/>
      <c r="BL236" s="34"/>
    </row>
    <row r="237" spans="1:64" s="16" customFormat="1" ht="117" customHeight="1" x14ac:dyDescent="0.2">
      <c r="A237" s="29">
        <v>318</v>
      </c>
      <c r="B237" s="325" t="s">
        <v>1209</v>
      </c>
      <c r="C237" s="29">
        <v>1</v>
      </c>
      <c r="D237" s="325" t="s">
        <v>1201</v>
      </c>
      <c r="E237" s="29">
        <v>19</v>
      </c>
      <c r="F237" s="325" t="s">
        <v>122</v>
      </c>
      <c r="G237" s="29">
        <v>1905</v>
      </c>
      <c r="H237" s="325" t="s">
        <v>650</v>
      </c>
      <c r="I237" s="29">
        <v>1905</v>
      </c>
      <c r="J237" s="30" t="s">
        <v>1241</v>
      </c>
      <c r="K237" s="297" t="s">
        <v>929</v>
      </c>
      <c r="L237" s="29" t="s">
        <v>31</v>
      </c>
      <c r="M237" s="30" t="s">
        <v>896</v>
      </c>
      <c r="N237" s="29">
        <v>1905015</v>
      </c>
      <c r="O237" s="30" t="s">
        <v>297</v>
      </c>
      <c r="P237" s="29" t="s">
        <v>31</v>
      </c>
      <c r="Q237" s="295" t="s">
        <v>897</v>
      </c>
      <c r="R237" s="300" t="s">
        <v>930</v>
      </c>
      <c r="S237" s="295" t="s">
        <v>195</v>
      </c>
      <c r="T237" s="299" t="s">
        <v>1470</v>
      </c>
      <c r="U237" s="311">
        <v>4</v>
      </c>
      <c r="V237" s="311">
        <v>2</v>
      </c>
      <c r="W237" s="328">
        <f t="shared" si="15"/>
        <v>6</v>
      </c>
      <c r="X237" s="530">
        <v>1</v>
      </c>
      <c r="Y237" s="296">
        <v>2020003630128</v>
      </c>
      <c r="Z237" s="30" t="s">
        <v>931</v>
      </c>
      <c r="AA237" s="297" t="s">
        <v>1371</v>
      </c>
      <c r="AB237" s="44"/>
      <c r="AC237" s="44"/>
      <c r="AD237" s="44"/>
      <c r="AE237" s="44"/>
      <c r="AF237" s="44"/>
      <c r="AG237" s="44"/>
      <c r="AH237" s="44">
        <v>80000000</v>
      </c>
      <c r="AI237" s="44">
        <v>78886500</v>
      </c>
      <c r="AJ237" s="44">
        <v>76005000</v>
      </c>
      <c r="AK237" s="44"/>
      <c r="AL237" s="44"/>
      <c r="AM237" s="44"/>
      <c r="AN237" s="44"/>
      <c r="AO237" s="44"/>
      <c r="AP237" s="44"/>
      <c r="AQ237" s="44"/>
      <c r="AR237" s="44"/>
      <c r="AS237" s="44"/>
      <c r="AT237" s="356">
        <v>40000000</v>
      </c>
      <c r="AU237" s="42">
        <v>38582666</v>
      </c>
      <c r="AV237" s="42">
        <v>8660000</v>
      </c>
      <c r="AW237" s="361"/>
      <c r="AX237" s="44"/>
      <c r="AY237" s="44"/>
      <c r="AZ237" s="358"/>
      <c r="BA237" s="44"/>
      <c r="BB237" s="44"/>
      <c r="BC237" s="361"/>
      <c r="BD237" s="44"/>
      <c r="BE237" s="44"/>
      <c r="BF237" s="298">
        <f t="shared" si="16"/>
        <v>120000000</v>
      </c>
      <c r="BG237" s="298">
        <f t="shared" si="17"/>
        <v>117469166</v>
      </c>
      <c r="BH237" s="298">
        <f t="shared" si="18"/>
        <v>84665000</v>
      </c>
      <c r="BI237" s="386" t="s">
        <v>1483</v>
      </c>
      <c r="BK237" s="34"/>
      <c r="BL237" s="34"/>
    </row>
    <row r="238" spans="1:64" s="16" customFormat="1" ht="148.5" customHeight="1" x14ac:dyDescent="0.2">
      <c r="A238" s="29">
        <v>318</v>
      </c>
      <c r="B238" s="325" t="s">
        <v>1209</v>
      </c>
      <c r="C238" s="29">
        <v>1</v>
      </c>
      <c r="D238" s="325" t="s">
        <v>1201</v>
      </c>
      <c r="E238" s="29">
        <v>19</v>
      </c>
      <c r="F238" s="325" t="s">
        <v>122</v>
      </c>
      <c r="G238" s="29">
        <v>1905</v>
      </c>
      <c r="H238" s="325" t="s">
        <v>650</v>
      </c>
      <c r="I238" s="29">
        <v>1905</v>
      </c>
      <c r="J238" s="30" t="s">
        <v>1241</v>
      </c>
      <c r="K238" s="297" t="s">
        <v>924</v>
      </c>
      <c r="L238" s="29">
        <v>1905026</v>
      </c>
      <c r="M238" s="295" t="s">
        <v>925</v>
      </c>
      <c r="N238" s="29">
        <v>1905026</v>
      </c>
      <c r="O238" s="30" t="s">
        <v>925</v>
      </c>
      <c r="P238" s="300">
        <v>190502600</v>
      </c>
      <c r="Q238" s="295" t="s">
        <v>926</v>
      </c>
      <c r="R238" s="300">
        <v>190502600</v>
      </c>
      <c r="S238" s="295" t="s">
        <v>926</v>
      </c>
      <c r="T238" s="299" t="s">
        <v>1469</v>
      </c>
      <c r="U238" s="296">
        <v>12</v>
      </c>
      <c r="V238" s="296"/>
      <c r="W238" s="328">
        <f t="shared" si="15"/>
        <v>12</v>
      </c>
      <c r="X238" s="530">
        <v>11</v>
      </c>
      <c r="Y238" s="296">
        <v>2020003630128</v>
      </c>
      <c r="Z238" s="30" t="s">
        <v>931</v>
      </c>
      <c r="AA238" s="297" t="s">
        <v>1371</v>
      </c>
      <c r="AB238" s="44"/>
      <c r="AC238" s="44"/>
      <c r="AD238" s="44"/>
      <c r="AE238" s="44"/>
      <c r="AF238" s="44"/>
      <c r="AG238" s="44"/>
      <c r="AH238" s="44">
        <f>30000000+10000000+47478000</f>
        <v>87478000</v>
      </c>
      <c r="AI238" s="44">
        <v>66895833</v>
      </c>
      <c r="AJ238" s="44">
        <v>30000000</v>
      </c>
      <c r="AK238" s="44"/>
      <c r="AL238" s="44"/>
      <c r="AM238" s="44"/>
      <c r="AN238" s="40"/>
      <c r="AO238" s="40"/>
      <c r="AP238" s="40"/>
      <c r="AQ238" s="44"/>
      <c r="AR238" s="44"/>
      <c r="AS238" s="44"/>
      <c r="AT238" s="358">
        <v>130000000</v>
      </c>
      <c r="AU238" s="44">
        <v>120920971</v>
      </c>
      <c r="AV238" s="44">
        <v>120920971</v>
      </c>
      <c r="AW238" s="361"/>
      <c r="AX238" s="44"/>
      <c r="AY238" s="44"/>
      <c r="AZ238" s="358"/>
      <c r="BA238" s="44"/>
      <c r="BB238" s="44"/>
      <c r="BC238" s="361">
        <v>232096860</v>
      </c>
      <c r="BD238" s="44">
        <v>110057437</v>
      </c>
      <c r="BE238" s="44">
        <v>110057437</v>
      </c>
      <c r="BF238" s="298">
        <f t="shared" si="16"/>
        <v>449574860</v>
      </c>
      <c r="BG238" s="298">
        <f t="shared" si="17"/>
        <v>297874241</v>
      </c>
      <c r="BH238" s="298">
        <f t="shared" si="18"/>
        <v>260978408</v>
      </c>
      <c r="BI238" s="386" t="s">
        <v>1483</v>
      </c>
      <c r="BK238" s="34"/>
      <c r="BL238" s="34"/>
    </row>
    <row r="239" spans="1:64" s="16" customFormat="1" ht="117" customHeight="1" x14ac:dyDescent="0.2">
      <c r="A239" s="29">
        <v>318</v>
      </c>
      <c r="B239" s="325" t="s">
        <v>1209</v>
      </c>
      <c r="C239" s="29">
        <v>1</v>
      </c>
      <c r="D239" s="325" t="s">
        <v>1201</v>
      </c>
      <c r="E239" s="29">
        <v>19</v>
      </c>
      <c r="F239" s="325" t="s">
        <v>122</v>
      </c>
      <c r="G239" s="29">
        <v>1905</v>
      </c>
      <c r="H239" s="325" t="s">
        <v>650</v>
      </c>
      <c r="I239" s="29">
        <v>1905</v>
      </c>
      <c r="J239" s="30" t="s">
        <v>1241</v>
      </c>
      <c r="K239" s="297" t="s">
        <v>818</v>
      </c>
      <c r="L239" s="29">
        <v>1905014</v>
      </c>
      <c r="M239" s="30" t="s">
        <v>68</v>
      </c>
      <c r="N239" s="29">
        <v>1905014</v>
      </c>
      <c r="O239" s="30" t="s">
        <v>68</v>
      </c>
      <c r="P239" s="29">
        <v>190501400</v>
      </c>
      <c r="Q239" s="30" t="s">
        <v>444</v>
      </c>
      <c r="R239" s="29">
        <v>190501400</v>
      </c>
      <c r="S239" s="295" t="s">
        <v>444</v>
      </c>
      <c r="T239" s="299" t="s">
        <v>1469</v>
      </c>
      <c r="U239" s="311">
        <v>12</v>
      </c>
      <c r="V239" s="311"/>
      <c r="W239" s="328">
        <f t="shared" si="15"/>
        <v>12</v>
      </c>
      <c r="X239" s="530">
        <v>12</v>
      </c>
      <c r="Y239" s="296">
        <v>2020003630129</v>
      </c>
      <c r="Z239" s="30" t="s">
        <v>1361</v>
      </c>
      <c r="AA239" s="297" t="s">
        <v>1370</v>
      </c>
      <c r="AB239" s="44"/>
      <c r="AC239" s="44"/>
      <c r="AD239" s="44"/>
      <c r="AE239" s="44"/>
      <c r="AF239" s="44"/>
      <c r="AG239" s="44"/>
      <c r="AH239" s="44">
        <f>45000000+9452467</f>
        <v>54452467</v>
      </c>
      <c r="AI239" s="44">
        <v>53187500</v>
      </c>
      <c r="AJ239" s="44">
        <v>44620000</v>
      </c>
      <c r="AK239" s="44"/>
      <c r="AL239" s="44"/>
      <c r="AM239" s="44"/>
      <c r="AN239" s="44"/>
      <c r="AO239" s="44"/>
      <c r="AP239" s="44"/>
      <c r="AQ239" s="44"/>
      <c r="AR239" s="44"/>
      <c r="AS239" s="44"/>
      <c r="AT239" s="356"/>
      <c r="AU239" s="42"/>
      <c r="AV239" s="42"/>
      <c r="AW239" s="361"/>
      <c r="AX239" s="44"/>
      <c r="AY239" s="44"/>
      <c r="AZ239" s="358"/>
      <c r="BA239" s="44"/>
      <c r="BB239" s="44"/>
      <c r="BC239" s="361"/>
      <c r="BD239" s="44"/>
      <c r="BE239" s="44"/>
      <c r="BF239" s="298">
        <f t="shared" si="16"/>
        <v>54452467</v>
      </c>
      <c r="BG239" s="298">
        <f t="shared" si="17"/>
        <v>53187500</v>
      </c>
      <c r="BH239" s="298">
        <f t="shared" si="18"/>
        <v>44620000</v>
      </c>
      <c r="BI239" s="386" t="s">
        <v>1483</v>
      </c>
      <c r="BK239" s="34"/>
      <c r="BL239" s="34"/>
    </row>
    <row r="240" spans="1:64" s="16" customFormat="1" ht="147" customHeight="1" x14ac:dyDescent="0.2">
      <c r="A240" s="29">
        <v>318</v>
      </c>
      <c r="B240" s="325" t="s">
        <v>1209</v>
      </c>
      <c r="C240" s="29">
        <v>1</v>
      </c>
      <c r="D240" s="325" t="s">
        <v>1201</v>
      </c>
      <c r="E240" s="29">
        <v>19</v>
      </c>
      <c r="F240" s="325" t="s">
        <v>122</v>
      </c>
      <c r="G240" s="29">
        <v>1905</v>
      </c>
      <c r="H240" s="325" t="s">
        <v>650</v>
      </c>
      <c r="I240" s="29">
        <v>1905</v>
      </c>
      <c r="J240" s="30" t="s">
        <v>1241</v>
      </c>
      <c r="K240" s="297" t="s">
        <v>924</v>
      </c>
      <c r="L240" s="300">
        <v>1905026</v>
      </c>
      <c r="M240" s="295" t="s">
        <v>933</v>
      </c>
      <c r="N240" s="29">
        <v>1905026</v>
      </c>
      <c r="O240" s="30" t="s">
        <v>933</v>
      </c>
      <c r="P240" s="300">
        <v>190502600</v>
      </c>
      <c r="Q240" s="295" t="s">
        <v>926</v>
      </c>
      <c r="R240" s="300">
        <v>190502600</v>
      </c>
      <c r="S240" s="295" t="s">
        <v>926</v>
      </c>
      <c r="T240" s="299" t="s">
        <v>1469</v>
      </c>
      <c r="U240" s="296">
        <v>12</v>
      </c>
      <c r="V240" s="296"/>
      <c r="W240" s="328">
        <f t="shared" si="15"/>
        <v>12</v>
      </c>
      <c r="X240" s="530">
        <v>12</v>
      </c>
      <c r="Y240" s="296">
        <v>2020003630129</v>
      </c>
      <c r="Z240" s="30" t="s">
        <v>1361</v>
      </c>
      <c r="AA240" s="297" t="s">
        <v>1370</v>
      </c>
      <c r="AB240" s="44"/>
      <c r="AC240" s="44"/>
      <c r="AD240" s="44"/>
      <c r="AE240" s="44"/>
      <c r="AF240" s="44"/>
      <c r="AG240" s="44"/>
      <c r="AH240" s="44"/>
      <c r="AI240" s="44"/>
      <c r="AJ240" s="44"/>
      <c r="AK240" s="44"/>
      <c r="AL240" s="44"/>
      <c r="AM240" s="44"/>
      <c r="AN240" s="44"/>
      <c r="AO240" s="44"/>
      <c r="AP240" s="44"/>
      <c r="AQ240" s="44"/>
      <c r="AR240" s="44"/>
      <c r="AS240" s="44"/>
      <c r="AT240" s="356"/>
      <c r="AU240" s="42"/>
      <c r="AV240" s="42"/>
      <c r="AW240" s="361"/>
      <c r="AX240" s="44"/>
      <c r="AY240" s="44"/>
      <c r="AZ240" s="358"/>
      <c r="BA240" s="44"/>
      <c r="BB240" s="44"/>
      <c r="BC240" s="361">
        <v>177530473</v>
      </c>
      <c r="BD240" s="44">
        <v>116874166</v>
      </c>
      <c r="BE240" s="44">
        <v>55280000</v>
      </c>
      <c r="BF240" s="298">
        <f t="shared" si="16"/>
        <v>177530473</v>
      </c>
      <c r="BG240" s="298">
        <f t="shared" si="17"/>
        <v>116874166</v>
      </c>
      <c r="BH240" s="298">
        <f t="shared" si="18"/>
        <v>55280000</v>
      </c>
      <c r="BI240" s="386" t="s">
        <v>1483</v>
      </c>
      <c r="BK240" s="34"/>
      <c r="BL240" s="34"/>
    </row>
    <row r="241" spans="1:65" s="16" customFormat="1" ht="147" customHeight="1" x14ac:dyDescent="0.2">
      <c r="A241" s="29">
        <v>318</v>
      </c>
      <c r="B241" s="325" t="s">
        <v>1209</v>
      </c>
      <c r="C241" s="29">
        <v>1</v>
      </c>
      <c r="D241" s="325" t="s">
        <v>1201</v>
      </c>
      <c r="E241" s="29">
        <v>19</v>
      </c>
      <c r="F241" s="325" t="s">
        <v>122</v>
      </c>
      <c r="G241" s="29">
        <v>1905</v>
      </c>
      <c r="H241" s="325" t="s">
        <v>650</v>
      </c>
      <c r="I241" s="29">
        <v>1905</v>
      </c>
      <c r="J241" s="30" t="s">
        <v>1241</v>
      </c>
      <c r="K241" s="297" t="s">
        <v>924</v>
      </c>
      <c r="L241" s="29">
        <v>1905026</v>
      </c>
      <c r="M241" s="295" t="s">
        <v>925</v>
      </c>
      <c r="N241" s="29">
        <v>1905026</v>
      </c>
      <c r="O241" s="30" t="s">
        <v>925</v>
      </c>
      <c r="P241" s="300">
        <v>190502600</v>
      </c>
      <c r="Q241" s="295" t="s">
        <v>926</v>
      </c>
      <c r="R241" s="300">
        <v>190502600</v>
      </c>
      <c r="S241" s="295" t="s">
        <v>926</v>
      </c>
      <c r="T241" s="299" t="s">
        <v>1469</v>
      </c>
      <c r="U241" s="296">
        <v>12</v>
      </c>
      <c r="V241" s="296"/>
      <c r="W241" s="328">
        <f t="shared" si="15"/>
        <v>12</v>
      </c>
      <c r="X241" s="530">
        <v>12</v>
      </c>
      <c r="Y241" s="296">
        <v>2020003630130</v>
      </c>
      <c r="Z241" s="310" t="s">
        <v>934</v>
      </c>
      <c r="AA241" s="297" t="s">
        <v>935</v>
      </c>
      <c r="AB241" s="44"/>
      <c r="AC241" s="44"/>
      <c r="AD241" s="44"/>
      <c r="AE241" s="44"/>
      <c r="AF241" s="44"/>
      <c r="AG241" s="44"/>
      <c r="AH241" s="44"/>
      <c r="AI241" s="44"/>
      <c r="AJ241" s="44"/>
      <c r="AK241" s="108"/>
      <c r="AL241" s="108"/>
      <c r="AM241" s="108"/>
      <c r="AN241" s="44"/>
      <c r="AO241" s="44"/>
      <c r="AP241" s="44"/>
      <c r="AQ241" s="44"/>
      <c r="AR241" s="44"/>
      <c r="AS241" s="44"/>
      <c r="AT241" s="356">
        <f>500000000-398675151+36000000+100000000+10000000+252675151-48165000</f>
        <v>451835000</v>
      </c>
      <c r="AU241" s="42">
        <v>383246138</v>
      </c>
      <c r="AV241" s="42">
        <v>210932050</v>
      </c>
      <c r="AW241" s="361"/>
      <c r="AX241" s="44"/>
      <c r="AY241" s="44"/>
      <c r="AZ241" s="358"/>
      <c r="BA241" s="44"/>
      <c r="BB241" s="44"/>
      <c r="BC241" s="361"/>
      <c r="BD241" s="44"/>
      <c r="BE241" s="44"/>
      <c r="BF241" s="298">
        <f t="shared" si="16"/>
        <v>451835000</v>
      </c>
      <c r="BG241" s="298">
        <f t="shared" si="17"/>
        <v>383246138</v>
      </c>
      <c r="BH241" s="298">
        <f t="shared" si="18"/>
        <v>210932050</v>
      </c>
      <c r="BI241" s="386" t="s">
        <v>1483</v>
      </c>
      <c r="BK241" s="34"/>
      <c r="BL241" s="34"/>
    </row>
    <row r="242" spans="1:65" s="16" customFormat="1" ht="117" customHeight="1" x14ac:dyDescent="0.2">
      <c r="A242" s="29">
        <v>318</v>
      </c>
      <c r="B242" s="325" t="s">
        <v>1209</v>
      </c>
      <c r="C242" s="29">
        <v>1</v>
      </c>
      <c r="D242" s="325" t="s">
        <v>1201</v>
      </c>
      <c r="E242" s="29">
        <v>19</v>
      </c>
      <c r="F242" s="325" t="s">
        <v>122</v>
      </c>
      <c r="G242" s="29">
        <v>1905</v>
      </c>
      <c r="H242" s="325" t="s">
        <v>650</v>
      </c>
      <c r="I242" s="29">
        <v>1905</v>
      </c>
      <c r="J242" s="30" t="s">
        <v>1241</v>
      </c>
      <c r="K242" s="297" t="s">
        <v>825</v>
      </c>
      <c r="L242" s="29">
        <v>1905029</v>
      </c>
      <c r="M242" s="30" t="s">
        <v>936</v>
      </c>
      <c r="N242" s="29">
        <v>1905030</v>
      </c>
      <c r="O242" s="30" t="s">
        <v>937</v>
      </c>
      <c r="P242" s="300">
        <v>190502900</v>
      </c>
      <c r="Q242" s="295" t="s">
        <v>938</v>
      </c>
      <c r="R242" s="300">
        <v>190503000</v>
      </c>
      <c r="S242" s="295" t="s">
        <v>938</v>
      </c>
      <c r="T242" s="299" t="s">
        <v>1469</v>
      </c>
      <c r="U242" s="311">
        <v>60</v>
      </c>
      <c r="V242" s="311"/>
      <c r="W242" s="328">
        <f t="shared" si="15"/>
        <v>60</v>
      </c>
      <c r="X242" s="530">
        <v>41</v>
      </c>
      <c r="Y242" s="296">
        <v>2020003630131</v>
      </c>
      <c r="Z242" s="310" t="s">
        <v>1172</v>
      </c>
      <c r="AA242" s="297" t="s">
        <v>939</v>
      </c>
      <c r="AB242" s="44"/>
      <c r="AC242" s="44"/>
      <c r="AD242" s="44"/>
      <c r="AE242" s="44"/>
      <c r="AF242" s="44"/>
      <c r="AG242" s="44"/>
      <c r="AH242" s="44">
        <v>20000000</v>
      </c>
      <c r="AI242" s="44">
        <v>14834167</v>
      </c>
      <c r="AJ242" s="44">
        <v>0</v>
      </c>
      <c r="AK242" s="44"/>
      <c r="AL242" s="44"/>
      <c r="AM242" s="44"/>
      <c r="AN242" s="44"/>
      <c r="AO242" s="44"/>
      <c r="AP242" s="44"/>
      <c r="AQ242" s="44"/>
      <c r="AR242" s="44"/>
      <c r="AS242" s="44"/>
      <c r="AT242" s="356"/>
      <c r="AU242" s="42"/>
      <c r="AV242" s="42"/>
      <c r="AW242" s="361"/>
      <c r="AX242" s="44"/>
      <c r="AY242" s="44"/>
      <c r="AZ242" s="358"/>
      <c r="BA242" s="44"/>
      <c r="BB242" s="44"/>
      <c r="BC242" s="361"/>
      <c r="BD242" s="44"/>
      <c r="BE242" s="44"/>
      <c r="BF242" s="298">
        <f t="shared" si="16"/>
        <v>20000000</v>
      </c>
      <c r="BG242" s="298">
        <f t="shared" si="17"/>
        <v>14834167</v>
      </c>
      <c r="BH242" s="298">
        <f t="shared" si="18"/>
        <v>0</v>
      </c>
      <c r="BI242" s="386" t="s">
        <v>1483</v>
      </c>
      <c r="BK242" s="34"/>
      <c r="BL242" s="34"/>
    </row>
    <row r="243" spans="1:65" s="16" customFormat="1" ht="117" customHeight="1" x14ac:dyDescent="0.2">
      <c r="A243" s="29">
        <v>318</v>
      </c>
      <c r="B243" s="325" t="s">
        <v>1209</v>
      </c>
      <c r="C243" s="29">
        <v>1</v>
      </c>
      <c r="D243" s="325" t="s">
        <v>1201</v>
      </c>
      <c r="E243" s="29">
        <v>19</v>
      </c>
      <c r="F243" s="325" t="s">
        <v>122</v>
      </c>
      <c r="G243" s="29">
        <v>1905</v>
      </c>
      <c r="H243" s="325" t="s">
        <v>650</v>
      </c>
      <c r="I243" s="29">
        <v>1905</v>
      </c>
      <c r="J243" s="30" t="s">
        <v>1241</v>
      </c>
      <c r="K243" s="297" t="s">
        <v>860</v>
      </c>
      <c r="L243" s="29">
        <v>1905025</v>
      </c>
      <c r="M243" s="30" t="s">
        <v>940</v>
      </c>
      <c r="N243" s="29">
        <v>1905025</v>
      </c>
      <c r="O243" s="30" t="s">
        <v>940</v>
      </c>
      <c r="P243" s="300">
        <v>190502500</v>
      </c>
      <c r="Q243" s="295" t="s">
        <v>941</v>
      </c>
      <c r="R243" s="300">
        <v>190502500</v>
      </c>
      <c r="S243" s="295" t="s">
        <v>941</v>
      </c>
      <c r="T243" s="299" t="s">
        <v>1469</v>
      </c>
      <c r="U243" s="311">
        <v>12</v>
      </c>
      <c r="V243" s="311"/>
      <c r="W243" s="328">
        <f t="shared" si="15"/>
        <v>12</v>
      </c>
      <c r="X243" s="530">
        <v>12</v>
      </c>
      <c r="Y243" s="296">
        <v>2020003630132</v>
      </c>
      <c r="Z243" s="310" t="s">
        <v>1362</v>
      </c>
      <c r="AA243" s="297" t="s">
        <v>943</v>
      </c>
      <c r="AB243" s="44"/>
      <c r="AC243" s="44"/>
      <c r="AD243" s="44"/>
      <c r="AE243" s="44"/>
      <c r="AF243" s="44"/>
      <c r="AG243" s="44"/>
      <c r="AH243" s="44">
        <f>85000000+8077333</f>
        <v>93077333</v>
      </c>
      <c r="AI243" s="44">
        <v>72894274</v>
      </c>
      <c r="AJ243" s="44">
        <v>51930000</v>
      </c>
      <c r="AK243" s="44"/>
      <c r="AL243" s="44"/>
      <c r="AM243" s="44"/>
      <c r="AN243" s="44"/>
      <c r="AO243" s="44"/>
      <c r="AP243" s="44"/>
      <c r="AQ243" s="44"/>
      <c r="AR243" s="44"/>
      <c r="AS243" s="44"/>
      <c r="AT243" s="356"/>
      <c r="AU243" s="42"/>
      <c r="AV243" s="42"/>
      <c r="AW243" s="361"/>
      <c r="AX243" s="44"/>
      <c r="AY243" s="44"/>
      <c r="AZ243" s="358"/>
      <c r="BA243" s="44"/>
      <c r="BB243" s="44"/>
      <c r="BC243" s="361"/>
      <c r="BD243" s="44"/>
      <c r="BE243" s="44"/>
      <c r="BF243" s="298">
        <f t="shared" si="16"/>
        <v>93077333</v>
      </c>
      <c r="BG243" s="298">
        <f t="shared" si="17"/>
        <v>72894274</v>
      </c>
      <c r="BH243" s="298">
        <f t="shared" si="18"/>
        <v>51930000</v>
      </c>
      <c r="BI243" s="386" t="s">
        <v>1483</v>
      </c>
      <c r="BK243" s="34"/>
      <c r="BL243" s="34"/>
    </row>
    <row r="244" spans="1:65" s="16" customFormat="1" ht="117" customHeight="1" x14ac:dyDescent="0.2">
      <c r="A244" s="29">
        <v>318</v>
      </c>
      <c r="B244" s="325" t="s">
        <v>1209</v>
      </c>
      <c r="C244" s="29">
        <v>1</v>
      </c>
      <c r="D244" s="325" t="s">
        <v>1201</v>
      </c>
      <c r="E244" s="29">
        <v>19</v>
      </c>
      <c r="F244" s="325" t="s">
        <v>122</v>
      </c>
      <c r="G244" s="29">
        <v>1905</v>
      </c>
      <c r="H244" s="325" t="s">
        <v>650</v>
      </c>
      <c r="I244" s="29">
        <v>1905</v>
      </c>
      <c r="J244" s="30" t="s">
        <v>1241</v>
      </c>
      <c r="K244" s="297" t="s">
        <v>829</v>
      </c>
      <c r="L244" s="29">
        <v>1905015</v>
      </c>
      <c r="M244" s="30" t="s">
        <v>193</v>
      </c>
      <c r="N244" s="29">
        <v>1905015</v>
      </c>
      <c r="O244" s="30" t="s">
        <v>193</v>
      </c>
      <c r="P244" s="29">
        <v>190501503</v>
      </c>
      <c r="Q244" s="295" t="s">
        <v>944</v>
      </c>
      <c r="R244" s="29">
        <v>190501503</v>
      </c>
      <c r="S244" s="295" t="s">
        <v>944</v>
      </c>
      <c r="T244" s="299" t="s">
        <v>1469</v>
      </c>
      <c r="U244" s="311">
        <v>15</v>
      </c>
      <c r="V244" s="311"/>
      <c r="W244" s="328">
        <f t="shared" si="15"/>
        <v>15</v>
      </c>
      <c r="X244" s="530">
        <v>12</v>
      </c>
      <c r="Y244" s="296">
        <v>2020003630133</v>
      </c>
      <c r="Z244" s="310" t="s">
        <v>1363</v>
      </c>
      <c r="AA244" s="297" t="s">
        <v>946</v>
      </c>
      <c r="AB244" s="44"/>
      <c r="AC244" s="44"/>
      <c r="AD244" s="44"/>
      <c r="AE244" s="44"/>
      <c r="AF244" s="44"/>
      <c r="AG244" s="44"/>
      <c r="AH244" s="133">
        <f>320000000+98400120</f>
        <v>418400120</v>
      </c>
      <c r="AI244" s="133">
        <v>408094000</v>
      </c>
      <c r="AJ244" s="133">
        <v>294310000</v>
      </c>
      <c r="AK244" s="44"/>
      <c r="AL244" s="44"/>
      <c r="AM244" s="44"/>
      <c r="AN244" s="44"/>
      <c r="AO244" s="44"/>
      <c r="AP244" s="44"/>
      <c r="AQ244" s="44"/>
      <c r="AR244" s="44"/>
      <c r="AS244" s="44"/>
      <c r="AT244" s="356">
        <v>80000000</v>
      </c>
      <c r="AU244" s="42">
        <v>63406000</v>
      </c>
      <c r="AV244" s="42">
        <v>40340000</v>
      </c>
      <c r="AW244" s="361"/>
      <c r="AX244" s="44"/>
      <c r="AY244" s="44"/>
      <c r="AZ244" s="358"/>
      <c r="BA244" s="44"/>
      <c r="BB244" s="44"/>
      <c r="BC244" s="361"/>
      <c r="BD244" s="44"/>
      <c r="BE244" s="44"/>
      <c r="BF244" s="298">
        <f t="shared" si="16"/>
        <v>498400120</v>
      </c>
      <c r="BG244" s="298">
        <f t="shared" si="17"/>
        <v>471500000</v>
      </c>
      <c r="BH244" s="298">
        <f t="shared" si="18"/>
        <v>334650000</v>
      </c>
      <c r="BI244" s="386" t="s">
        <v>1483</v>
      </c>
      <c r="BK244" s="34"/>
      <c r="BL244" s="34"/>
    </row>
    <row r="245" spans="1:65" s="16" customFormat="1" ht="117" customHeight="1" x14ac:dyDescent="0.2">
      <c r="A245" s="29">
        <v>318</v>
      </c>
      <c r="B245" s="325" t="s">
        <v>1209</v>
      </c>
      <c r="C245" s="29">
        <v>1</v>
      </c>
      <c r="D245" s="325" t="s">
        <v>1201</v>
      </c>
      <c r="E245" s="29">
        <v>19</v>
      </c>
      <c r="F245" s="325" t="s">
        <v>122</v>
      </c>
      <c r="G245" s="29">
        <v>1905</v>
      </c>
      <c r="H245" s="325" t="s">
        <v>650</v>
      </c>
      <c r="I245" s="29">
        <v>1905</v>
      </c>
      <c r="J245" s="30" t="s">
        <v>1241</v>
      </c>
      <c r="K245" s="297" t="s">
        <v>947</v>
      </c>
      <c r="L245" s="29" t="s">
        <v>31</v>
      </c>
      <c r="M245" s="30" t="s">
        <v>948</v>
      </c>
      <c r="N245" s="29">
        <v>1905009</v>
      </c>
      <c r="O245" s="30" t="s">
        <v>949</v>
      </c>
      <c r="P245" s="29" t="s">
        <v>31</v>
      </c>
      <c r="Q245" s="295" t="s">
        <v>950</v>
      </c>
      <c r="R245" s="29" t="s">
        <v>951</v>
      </c>
      <c r="S245" s="295" t="s">
        <v>952</v>
      </c>
      <c r="T245" s="299" t="s">
        <v>1469</v>
      </c>
      <c r="U245" s="311">
        <v>1</v>
      </c>
      <c r="V245" s="311"/>
      <c r="W245" s="328">
        <f t="shared" si="15"/>
        <v>1</v>
      </c>
      <c r="X245" s="530">
        <v>1</v>
      </c>
      <c r="Y245" s="296">
        <v>2020003630134</v>
      </c>
      <c r="Z245" s="310" t="s">
        <v>953</v>
      </c>
      <c r="AA245" s="297" t="s">
        <v>954</v>
      </c>
      <c r="AB245" s="44"/>
      <c r="AC245" s="44"/>
      <c r="AD245" s="44"/>
      <c r="AE245" s="44"/>
      <c r="AF245" s="44"/>
      <c r="AG245" s="44"/>
      <c r="AH245" s="44"/>
      <c r="AI245" s="44"/>
      <c r="AJ245" s="44"/>
      <c r="AK245" s="134"/>
      <c r="AL245" s="134"/>
      <c r="AM245" s="134"/>
      <c r="AN245" s="44"/>
      <c r="AO245" s="44"/>
      <c r="AP245" s="44"/>
      <c r="AQ245" s="44"/>
      <c r="AR245" s="44"/>
      <c r="AS245" s="44"/>
      <c r="AT245" s="356">
        <f>300000000+54900000</f>
        <v>354900000</v>
      </c>
      <c r="AU245" s="42">
        <v>342799153</v>
      </c>
      <c r="AV245" s="42">
        <v>223716000</v>
      </c>
      <c r="AW245" s="361"/>
      <c r="AX245" s="44"/>
      <c r="AY245" s="44"/>
      <c r="AZ245" s="358"/>
      <c r="BA245" s="44"/>
      <c r="BB245" s="44"/>
      <c r="BC245" s="361"/>
      <c r="BD245" s="44"/>
      <c r="BE245" s="44"/>
      <c r="BF245" s="298">
        <f t="shared" si="16"/>
        <v>354900000</v>
      </c>
      <c r="BG245" s="298">
        <f t="shared" si="17"/>
        <v>342799153</v>
      </c>
      <c r="BH245" s="298">
        <f t="shared" si="18"/>
        <v>223716000</v>
      </c>
      <c r="BI245" s="386" t="s">
        <v>1483</v>
      </c>
      <c r="BK245" s="34"/>
      <c r="BL245" s="34"/>
    </row>
    <row r="246" spans="1:65" s="16" customFormat="1" ht="117" customHeight="1" x14ac:dyDescent="0.2">
      <c r="A246" s="29">
        <v>318</v>
      </c>
      <c r="B246" s="325" t="s">
        <v>1209</v>
      </c>
      <c r="C246" s="29">
        <v>1</v>
      </c>
      <c r="D246" s="325" t="s">
        <v>1201</v>
      </c>
      <c r="E246" s="29">
        <v>19</v>
      </c>
      <c r="F246" s="325" t="s">
        <v>122</v>
      </c>
      <c r="G246" s="29">
        <v>1905</v>
      </c>
      <c r="H246" s="325" t="s">
        <v>650</v>
      </c>
      <c r="I246" s="29">
        <v>1905</v>
      </c>
      <c r="J246" s="30" t="s">
        <v>1241</v>
      </c>
      <c r="K246" s="301" t="s">
        <v>815</v>
      </c>
      <c r="L246" s="29">
        <v>1905031</v>
      </c>
      <c r="M246" s="295" t="s">
        <v>877</v>
      </c>
      <c r="N246" s="90">
        <v>1905031</v>
      </c>
      <c r="O246" s="30" t="s">
        <v>877</v>
      </c>
      <c r="P246" s="90">
        <v>190503100</v>
      </c>
      <c r="Q246" s="295" t="s">
        <v>878</v>
      </c>
      <c r="R246" s="29">
        <v>190503100</v>
      </c>
      <c r="S246" s="295" t="s">
        <v>878</v>
      </c>
      <c r="T246" s="299" t="s">
        <v>1469</v>
      </c>
      <c r="U246" s="311">
        <v>12</v>
      </c>
      <c r="V246" s="311"/>
      <c r="W246" s="328">
        <f t="shared" si="15"/>
        <v>12</v>
      </c>
      <c r="X246" s="530">
        <v>12</v>
      </c>
      <c r="Y246" s="296">
        <v>2020003630135</v>
      </c>
      <c r="Z246" s="310" t="s">
        <v>955</v>
      </c>
      <c r="AA246" s="297" t="s">
        <v>956</v>
      </c>
      <c r="AB246" s="44"/>
      <c r="AC246" s="44"/>
      <c r="AD246" s="44"/>
      <c r="AE246" s="44"/>
      <c r="AF246" s="44"/>
      <c r="AG246" s="44"/>
      <c r="AH246" s="44">
        <f>1282454279.1+302759625+102548000-705793904.1+1005793904.1+260000000</f>
        <v>2247761904.0999999</v>
      </c>
      <c r="AI246" s="44">
        <v>970323439</v>
      </c>
      <c r="AJ246" s="44">
        <v>617746000</v>
      </c>
      <c r="AK246" s="44"/>
      <c r="AL246" s="44"/>
      <c r="AM246" s="44"/>
      <c r="AN246" s="44"/>
      <c r="AO246" s="44"/>
      <c r="AP246" s="44"/>
      <c r="AQ246" s="44"/>
      <c r="AR246" s="44"/>
      <c r="AS246" s="44"/>
      <c r="AT246" s="356"/>
      <c r="AU246" s="42"/>
      <c r="AV246" s="42"/>
      <c r="AW246" s="361"/>
      <c r="AX246" s="44"/>
      <c r="AY246" s="44"/>
      <c r="AZ246" s="358"/>
      <c r="BA246" s="44"/>
      <c r="BB246" s="44"/>
      <c r="BC246" s="361"/>
      <c r="BD246" s="44"/>
      <c r="BE246" s="44"/>
      <c r="BF246" s="298">
        <f t="shared" si="16"/>
        <v>2247761904.0999999</v>
      </c>
      <c r="BG246" s="298">
        <f t="shared" si="17"/>
        <v>970323439</v>
      </c>
      <c r="BH246" s="298">
        <f t="shared" si="18"/>
        <v>617746000</v>
      </c>
      <c r="BI246" s="386" t="s">
        <v>1483</v>
      </c>
      <c r="BK246" s="34"/>
      <c r="BL246" s="34"/>
    </row>
    <row r="247" spans="1:65" s="16" customFormat="1" ht="117" customHeight="1" x14ac:dyDescent="0.2">
      <c r="A247" s="29">
        <v>318</v>
      </c>
      <c r="B247" s="325" t="s">
        <v>1209</v>
      </c>
      <c r="C247" s="29">
        <v>1</v>
      </c>
      <c r="D247" s="325" t="s">
        <v>1201</v>
      </c>
      <c r="E247" s="29">
        <v>19</v>
      </c>
      <c r="F247" s="325" t="s">
        <v>122</v>
      </c>
      <c r="G247" s="29">
        <v>1906</v>
      </c>
      <c r="H247" s="325" t="s">
        <v>1216</v>
      </c>
      <c r="I247" s="29">
        <v>1906</v>
      </c>
      <c r="J247" s="30" t="s">
        <v>1217</v>
      </c>
      <c r="K247" s="297" t="s">
        <v>959</v>
      </c>
      <c r="L247" s="29" t="s">
        <v>31</v>
      </c>
      <c r="M247" s="30" t="s">
        <v>960</v>
      </c>
      <c r="N247" s="29">
        <v>1906023</v>
      </c>
      <c r="O247" s="30" t="s">
        <v>961</v>
      </c>
      <c r="P247" s="29" t="s">
        <v>31</v>
      </c>
      <c r="Q247" s="30" t="s">
        <v>962</v>
      </c>
      <c r="R247" s="29">
        <v>190602300</v>
      </c>
      <c r="S247" s="295" t="s">
        <v>963</v>
      </c>
      <c r="T247" s="299" t="s">
        <v>1469</v>
      </c>
      <c r="U247" s="311">
        <v>19899</v>
      </c>
      <c r="V247" s="311"/>
      <c r="W247" s="328">
        <f t="shared" si="15"/>
        <v>19899</v>
      </c>
      <c r="X247" s="530">
        <v>273055</v>
      </c>
      <c r="Y247" s="296">
        <v>2020003630136</v>
      </c>
      <c r="Z247" s="310" t="s">
        <v>957</v>
      </c>
      <c r="AA247" s="297" t="s">
        <v>958</v>
      </c>
      <c r="AB247" s="44"/>
      <c r="AC247" s="44"/>
      <c r="AD247" s="44"/>
      <c r="AE247" s="44">
        <f>3929163384-3929163384</f>
        <v>0</v>
      </c>
      <c r="AF247" s="44"/>
      <c r="AG247" s="44"/>
      <c r="AH247" s="44"/>
      <c r="AI247" s="44"/>
      <c r="AJ247" s="44"/>
      <c r="AK247" s="41">
        <f>4200828874+7157581679+1640264244+1327550400+742627190+425625593+13600000+393715436+1021550853+625149620+1679821678+3749209145+4269680335+8180037495.7+3926845415.95</f>
        <v>39354087958.649994</v>
      </c>
      <c r="AL247" s="41">
        <v>35427242542.700005</v>
      </c>
      <c r="AM247" s="41">
        <v>27986686301.309998</v>
      </c>
      <c r="AN247" s="44"/>
      <c r="AO247" s="44"/>
      <c r="AP247" s="44"/>
      <c r="AQ247" s="44"/>
      <c r="AR247" s="44"/>
      <c r="AS247" s="44"/>
      <c r="AT247" s="356"/>
      <c r="AU247" s="42"/>
      <c r="AV247" s="42"/>
      <c r="AW247" s="361"/>
      <c r="AX247" s="44"/>
      <c r="AY247" s="44"/>
      <c r="AZ247" s="358"/>
      <c r="BA247" s="44"/>
      <c r="BB247" s="44"/>
      <c r="BC247" s="361"/>
      <c r="BD247" s="44"/>
      <c r="BE247" s="44"/>
      <c r="BF247" s="298">
        <f t="shared" si="16"/>
        <v>39354087958.649994</v>
      </c>
      <c r="BG247" s="298">
        <f t="shared" si="17"/>
        <v>35427242542.700005</v>
      </c>
      <c r="BH247" s="298">
        <f t="shared" si="18"/>
        <v>27986686301.309998</v>
      </c>
      <c r="BI247" s="386" t="s">
        <v>1483</v>
      </c>
      <c r="BK247" s="34"/>
      <c r="BL247" s="34"/>
    </row>
    <row r="248" spans="1:65" s="16" customFormat="1" ht="117" customHeight="1" x14ac:dyDescent="0.2">
      <c r="A248" s="29">
        <v>318</v>
      </c>
      <c r="B248" s="325" t="s">
        <v>1209</v>
      </c>
      <c r="C248" s="29">
        <v>1</v>
      </c>
      <c r="D248" s="325" t="s">
        <v>1201</v>
      </c>
      <c r="E248" s="29">
        <v>19</v>
      </c>
      <c r="F248" s="325" t="s">
        <v>122</v>
      </c>
      <c r="G248" s="29">
        <v>1906</v>
      </c>
      <c r="H248" s="325" t="s">
        <v>1216</v>
      </c>
      <c r="I248" s="29">
        <v>1906</v>
      </c>
      <c r="J248" s="30" t="s">
        <v>1217</v>
      </c>
      <c r="K248" s="301" t="s">
        <v>844</v>
      </c>
      <c r="L248" s="29" t="s">
        <v>31</v>
      </c>
      <c r="M248" s="30" t="s">
        <v>964</v>
      </c>
      <c r="N248" s="29">
        <v>1906023</v>
      </c>
      <c r="O248" s="30" t="s">
        <v>961</v>
      </c>
      <c r="P248" s="29" t="s">
        <v>31</v>
      </c>
      <c r="Q248" s="295" t="s">
        <v>965</v>
      </c>
      <c r="R248" s="300">
        <v>190602301</v>
      </c>
      <c r="S248" s="295" t="s">
        <v>966</v>
      </c>
      <c r="T248" s="299" t="s">
        <v>1469</v>
      </c>
      <c r="U248" s="311">
        <v>60</v>
      </c>
      <c r="V248" s="311"/>
      <c r="W248" s="328">
        <f t="shared" si="15"/>
        <v>60</v>
      </c>
      <c r="X248" s="530">
        <v>32</v>
      </c>
      <c r="Y248" s="296">
        <v>2020003630137</v>
      </c>
      <c r="Z248" s="30" t="s">
        <v>1173</v>
      </c>
      <c r="AA248" s="297" t="s">
        <v>967</v>
      </c>
      <c r="AB248" s="44"/>
      <c r="AC248" s="44"/>
      <c r="AD248" s="44"/>
      <c r="AE248" s="44"/>
      <c r="AF248" s="44"/>
      <c r="AG248" s="44"/>
      <c r="AH248" s="44"/>
      <c r="AI248" s="44"/>
      <c r="AJ248" s="44"/>
      <c r="AK248" s="41"/>
      <c r="AL248" s="41"/>
      <c r="AM248" s="41"/>
      <c r="AN248" s="44"/>
      <c r="AO248" s="44"/>
      <c r="AP248" s="44"/>
      <c r="AQ248" s="44"/>
      <c r="AR248" s="44"/>
      <c r="AS248" s="44"/>
      <c r="AT248" s="356"/>
      <c r="AU248" s="42"/>
      <c r="AV248" s="42"/>
      <c r="AW248" s="361"/>
      <c r="AX248" s="44"/>
      <c r="AY248" s="44"/>
      <c r="AZ248" s="358"/>
      <c r="BA248" s="44"/>
      <c r="BB248" s="44"/>
      <c r="BC248" s="361">
        <f>1485182577.2+0.8+417055422</f>
        <v>1902238000</v>
      </c>
      <c r="BD248" s="44">
        <v>1664530966</v>
      </c>
      <c r="BE248" s="44">
        <v>1106888482</v>
      </c>
      <c r="BF248" s="298">
        <f t="shared" si="16"/>
        <v>1902238000</v>
      </c>
      <c r="BG248" s="298">
        <f t="shared" si="17"/>
        <v>1664530966</v>
      </c>
      <c r="BH248" s="298">
        <f t="shared" si="18"/>
        <v>1106888482</v>
      </c>
      <c r="BI248" s="386" t="s">
        <v>1483</v>
      </c>
      <c r="BK248" s="34"/>
      <c r="BL248" s="34"/>
    </row>
    <row r="249" spans="1:65" s="16" customFormat="1" ht="117" customHeight="1" x14ac:dyDescent="0.2">
      <c r="A249" s="29">
        <v>318</v>
      </c>
      <c r="B249" s="325" t="s">
        <v>1209</v>
      </c>
      <c r="C249" s="29">
        <v>1</v>
      </c>
      <c r="D249" s="325" t="s">
        <v>1201</v>
      </c>
      <c r="E249" s="29">
        <v>19</v>
      </c>
      <c r="F249" s="325" t="s">
        <v>122</v>
      </c>
      <c r="G249" s="29">
        <v>1906</v>
      </c>
      <c r="H249" s="325" t="s">
        <v>1216</v>
      </c>
      <c r="I249" s="29">
        <v>1906</v>
      </c>
      <c r="J249" s="30" t="s">
        <v>1217</v>
      </c>
      <c r="K249" s="297" t="s">
        <v>959</v>
      </c>
      <c r="L249" s="29" t="s">
        <v>31</v>
      </c>
      <c r="M249" s="30" t="s">
        <v>968</v>
      </c>
      <c r="N249" s="29">
        <v>1906025</v>
      </c>
      <c r="O249" s="30" t="s">
        <v>969</v>
      </c>
      <c r="P249" s="29" t="s">
        <v>31</v>
      </c>
      <c r="Q249" s="295" t="s">
        <v>970</v>
      </c>
      <c r="R249" s="29">
        <v>190602500</v>
      </c>
      <c r="S249" s="295" t="s">
        <v>971</v>
      </c>
      <c r="T249" s="299" t="s">
        <v>1469</v>
      </c>
      <c r="U249" s="311">
        <v>100</v>
      </c>
      <c r="V249" s="311"/>
      <c r="W249" s="328">
        <f t="shared" si="15"/>
        <v>100</v>
      </c>
      <c r="X249" s="530">
        <v>23</v>
      </c>
      <c r="Y249" s="296">
        <v>2020003630137</v>
      </c>
      <c r="Z249" s="310" t="s">
        <v>1173</v>
      </c>
      <c r="AA249" s="297" t="s">
        <v>967</v>
      </c>
      <c r="AB249" s="44"/>
      <c r="AC249" s="44"/>
      <c r="AD249" s="44"/>
      <c r="AE249" s="44">
        <f>400000000+100000000</f>
        <v>500000000</v>
      </c>
      <c r="AF249" s="44">
        <v>0</v>
      </c>
      <c r="AG249" s="44">
        <v>0</v>
      </c>
      <c r="AH249" s="528">
        <f>1724393294+1000000+31823996</f>
        <v>1757217290</v>
      </c>
      <c r="AI249" s="44">
        <v>1627922685</v>
      </c>
      <c r="AJ249" s="44">
        <v>514371839</v>
      </c>
      <c r="AK249" s="44"/>
      <c r="AL249" s="44"/>
      <c r="AM249" s="44"/>
      <c r="AN249" s="44"/>
      <c r="AO249" s="44"/>
      <c r="AP249" s="44"/>
      <c r="AQ249" s="44"/>
      <c r="AR249" s="44"/>
      <c r="AS249" s="44"/>
      <c r="AT249" s="356"/>
      <c r="AU249" s="42"/>
      <c r="AV249" s="42"/>
      <c r="AW249" s="361"/>
      <c r="AX249" s="44"/>
      <c r="AY249" s="44"/>
      <c r="AZ249" s="358"/>
      <c r="BA249" s="44"/>
      <c r="BB249" s="44"/>
      <c r="BC249" s="361"/>
      <c r="BD249" s="44"/>
      <c r="BE249" s="44"/>
      <c r="BF249" s="298">
        <f t="shared" si="16"/>
        <v>2257217290</v>
      </c>
      <c r="BG249" s="298">
        <f t="shared" si="17"/>
        <v>1627922685</v>
      </c>
      <c r="BH249" s="298">
        <f t="shared" si="18"/>
        <v>514371839</v>
      </c>
      <c r="BI249" s="386" t="s">
        <v>1483</v>
      </c>
      <c r="BK249" s="34"/>
      <c r="BL249" s="34"/>
    </row>
    <row r="250" spans="1:65" s="16" customFormat="1" ht="117" customHeight="1" x14ac:dyDescent="0.2">
      <c r="A250" s="29">
        <v>318</v>
      </c>
      <c r="B250" s="325" t="s">
        <v>1209</v>
      </c>
      <c r="C250" s="29">
        <v>1</v>
      </c>
      <c r="D250" s="325" t="s">
        <v>1201</v>
      </c>
      <c r="E250" s="29">
        <v>19</v>
      </c>
      <c r="F250" s="325" t="s">
        <v>122</v>
      </c>
      <c r="G250" s="29">
        <v>1906</v>
      </c>
      <c r="H250" s="325" t="s">
        <v>1216</v>
      </c>
      <c r="I250" s="29">
        <v>1906</v>
      </c>
      <c r="J250" s="30" t="s">
        <v>1217</v>
      </c>
      <c r="K250" s="297" t="s">
        <v>959</v>
      </c>
      <c r="L250" s="29" t="s">
        <v>31</v>
      </c>
      <c r="M250" s="30" t="s">
        <v>972</v>
      </c>
      <c r="N250" s="29">
        <v>1906025</v>
      </c>
      <c r="O250" s="30" t="s">
        <v>969</v>
      </c>
      <c r="P250" s="29" t="s">
        <v>31</v>
      </c>
      <c r="Q250" s="295" t="s">
        <v>973</v>
      </c>
      <c r="R250" s="29">
        <v>190602500</v>
      </c>
      <c r="S250" s="295" t="s">
        <v>971</v>
      </c>
      <c r="T250" s="299" t="s">
        <v>1469</v>
      </c>
      <c r="U250" s="311">
        <v>100</v>
      </c>
      <c r="V250" s="311"/>
      <c r="W250" s="328">
        <f t="shared" si="15"/>
        <v>100</v>
      </c>
      <c r="X250" s="530">
        <v>67</v>
      </c>
      <c r="Y250" s="296">
        <v>2020003630137</v>
      </c>
      <c r="Z250" s="310" t="s">
        <v>1173</v>
      </c>
      <c r="AA250" s="297" t="s">
        <v>967</v>
      </c>
      <c r="AB250" s="44"/>
      <c r="AC250" s="44"/>
      <c r="AD250" s="44"/>
      <c r="AE250" s="44">
        <f>1964581691-1964581691+159888430.18</f>
        <v>159888430.18000001</v>
      </c>
      <c r="AF250" s="44">
        <v>0</v>
      </c>
      <c r="AG250" s="44">
        <v>0</v>
      </c>
      <c r="AH250" s="528">
        <f>1889.57+144394752.27</f>
        <v>144396641.84</v>
      </c>
      <c r="AI250" s="44">
        <v>0</v>
      </c>
      <c r="AJ250" s="44">
        <v>0</v>
      </c>
      <c r="AK250" s="44">
        <f>1000000+820132122+340516951+839910839+1624064740+27051355.4+1165629392.29+1104800028.08</f>
        <v>5923105427.7700005</v>
      </c>
      <c r="AL250" s="44">
        <v>1350381288</v>
      </c>
      <c r="AM250" s="44">
        <v>1350381288</v>
      </c>
      <c r="AN250" s="44"/>
      <c r="AO250" s="44"/>
      <c r="AP250" s="44"/>
      <c r="AQ250" s="44"/>
      <c r="AR250" s="44"/>
      <c r="AS250" s="44"/>
      <c r="AT250" s="356"/>
      <c r="AU250" s="42"/>
      <c r="AV250" s="42"/>
      <c r="AW250" s="358">
        <v>12226.6</v>
      </c>
      <c r="AX250" s="44">
        <v>0</v>
      </c>
      <c r="AY250" s="44">
        <v>0</v>
      </c>
      <c r="AZ250" s="358"/>
      <c r="BA250" s="44"/>
      <c r="BB250" s="44"/>
      <c r="BC250" s="361">
        <v>6443391987</v>
      </c>
      <c r="BD250" s="44">
        <v>6443391987</v>
      </c>
      <c r="BE250" s="44">
        <v>6443391987</v>
      </c>
      <c r="BF250" s="298">
        <f t="shared" si="16"/>
        <v>12670794713.390001</v>
      </c>
      <c r="BG250" s="298">
        <f t="shared" si="17"/>
        <v>7793773275</v>
      </c>
      <c r="BH250" s="298">
        <f t="shared" si="18"/>
        <v>7793773275</v>
      </c>
      <c r="BI250" s="386" t="s">
        <v>1483</v>
      </c>
      <c r="BK250" s="34"/>
      <c r="BL250" s="34"/>
      <c r="BM250" s="34"/>
    </row>
    <row r="251" spans="1:65" s="16" customFormat="1" ht="117" customHeight="1" x14ac:dyDescent="0.2">
      <c r="A251" s="29">
        <v>318</v>
      </c>
      <c r="B251" s="325" t="s">
        <v>1209</v>
      </c>
      <c r="C251" s="29">
        <v>1</v>
      </c>
      <c r="D251" s="325" t="s">
        <v>1201</v>
      </c>
      <c r="E251" s="29">
        <v>19</v>
      </c>
      <c r="F251" s="325" t="s">
        <v>122</v>
      </c>
      <c r="G251" s="29">
        <v>1906</v>
      </c>
      <c r="H251" s="325" t="s">
        <v>1216</v>
      </c>
      <c r="I251" s="29">
        <v>1906</v>
      </c>
      <c r="J251" s="30" t="s">
        <v>1217</v>
      </c>
      <c r="K251" s="297" t="s">
        <v>974</v>
      </c>
      <c r="L251" s="29">
        <v>1906029</v>
      </c>
      <c r="M251" s="30" t="s">
        <v>975</v>
      </c>
      <c r="N251" s="29">
        <v>1906029</v>
      </c>
      <c r="O251" s="30" t="s">
        <v>975</v>
      </c>
      <c r="P251" s="300">
        <v>190602900</v>
      </c>
      <c r="Q251" s="295" t="s">
        <v>976</v>
      </c>
      <c r="R251" s="300">
        <v>190602900</v>
      </c>
      <c r="S251" s="295" t="s">
        <v>976</v>
      </c>
      <c r="T251" s="299" t="s">
        <v>1469</v>
      </c>
      <c r="U251" s="311">
        <v>40</v>
      </c>
      <c r="V251" s="311"/>
      <c r="W251" s="328">
        <f t="shared" si="15"/>
        <v>40</v>
      </c>
      <c r="X251" s="530">
        <v>42</v>
      </c>
      <c r="Y251" s="296">
        <v>2020003630138</v>
      </c>
      <c r="Z251" s="310" t="s">
        <v>977</v>
      </c>
      <c r="AA251" s="297" t="s">
        <v>978</v>
      </c>
      <c r="AB251" s="44"/>
      <c r="AC251" s="44"/>
      <c r="AD251" s="44"/>
      <c r="AE251" s="44"/>
      <c r="AF251" s="44"/>
      <c r="AG251" s="44"/>
      <c r="AH251" s="44"/>
      <c r="AI251" s="44"/>
      <c r="AJ251" s="44"/>
      <c r="AK251" s="133"/>
      <c r="AL251" s="133"/>
      <c r="AM251" s="133"/>
      <c r="AN251" s="44"/>
      <c r="AO251" s="44"/>
      <c r="AP251" s="44"/>
      <c r="AQ251" s="44"/>
      <c r="AR251" s="44"/>
      <c r="AS251" s="44"/>
      <c r="AT251" s="356">
        <f>150390000+25000000+24165000</f>
        <v>199555000</v>
      </c>
      <c r="AU251" s="42">
        <v>107005000</v>
      </c>
      <c r="AV251" s="42">
        <v>81720000</v>
      </c>
      <c r="AW251" s="361"/>
      <c r="AX251" s="44"/>
      <c r="AY251" s="44"/>
      <c r="AZ251" s="358"/>
      <c r="BA251" s="44"/>
      <c r="BB251" s="44"/>
      <c r="BC251" s="361">
        <v>468599154.12</v>
      </c>
      <c r="BD251" s="44">
        <v>468599154</v>
      </c>
      <c r="BE251" s="44">
        <v>468599154</v>
      </c>
      <c r="BF251" s="298">
        <f t="shared" si="16"/>
        <v>668154154.12</v>
      </c>
      <c r="BG251" s="298">
        <f t="shared" si="17"/>
        <v>575604154</v>
      </c>
      <c r="BH251" s="298">
        <f t="shared" si="18"/>
        <v>550319154</v>
      </c>
      <c r="BI251" s="386" t="s">
        <v>1483</v>
      </c>
      <c r="BK251" s="34"/>
      <c r="BL251" s="34"/>
    </row>
    <row r="252" spans="1:65" s="16" customFormat="1" ht="117" customHeight="1" x14ac:dyDescent="0.2">
      <c r="A252" s="29">
        <v>318</v>
      </c>
      <c r="B252" s="325" t="s">
        <v>1209</v>
      </c>
      <c r="C252" s="29">
        <v>1</v>
      </c>
      <c r="D252" s="325" t="s">
        <v>1201</v>
      </c>
      <c r="E252" s="29">
        <v>19</v>
      </c>
      <c r="F252" s="325" t="s">
        <v>122</v>
      </c>
      <c r="G252" s="29">
        <v>1906</v>
      </c>
      <c r="H252" s="325" t="s">
        <v>1216</v>
      </c>
      <c r="I252" s="29">
        <v>1906</v>
      </c>
      <c r="J252" s="30" t="s">
        <v>1217</v>
      </c>
      <c r="K252" s="297" t="s">
        <v>979</v>
      </c>
      <c r="L252" s="29">
        <v>1906005</v>
      </c>
      <c r="M252" s="30" t="s">
        <v>980</v>
      </c>
      <c r="N252" s="29">
        <v>1906005</v>
      </c>
      <c r="O252" s="30" t="s">
        <v>980</v>
      </c>
      <c r="P252" s="300">
        <v>190600500</v>
      </c>
      <c r="Q252" s="295" t="s">
        <v>980</v>
      </c>
      <c r="R252" s="300">
        <v>190600500</v>
      </c>
      <c r="S252" s="295" t="s">
        <v>980</v>
      </c>
      <c r="T252" s="299" t="s">
        <v>1470</v>
      </c>
      <c r="U252" s="311">
        <v>4</v>
      </c>
      <c r="V252" s="311">
        <v>3</v>
      </c>
      <c r="W252" s="328">
        <f t="shared" si="15"/>
        <v>7</v>
      </c>
      <c r="X252" s="530">
        <v>1</v>
      </c>
      <c r="Y252" s="296">
        <v>2020003630138</v>
      </c>
      <c r="Z252" s="310" t="s">
        <v>977</v>
      </c>
      <c r="AA252" s="297" t="s">
        <v>978</v>
      </c>
      <c r="AB252" s="44"/>
      <c r="AC252" s="44"/>
      <c r="AD252" s="44"/>
      <c r="AE252" s="44"/>
      <c r="AF252" s="44"/>
      <c r="AG252" s="44"/>
      <c r="AH252" s="44"/>
      <c r="AI252" s="44"/>
      <c r="AJ252" s="44"/>
      <c r="AK252" s="133"/>
      <c r="AL252" s="133"/>
      <c r="AM252" s="133"/>
      <c r="AN252" s="44"/>
      <c r="AO252" s="44"/>
      <c r="AP252" s="44"/>
      <c r="AQ252" s="44"/>
      <c r="AR252" s="44"/>
      <c r="AS252" s="44"/>
      <c r="AT252" s="356">
        <f>20000000+20000000</f>
        <v>40000000</v>
      </c>
      <c r="AU252" s="42">
        <v>0</v>
      </c>
      <c r="AV252" s="42">
        <v>0</v>
      </c>
      <c r="AW252" s="361"/>
      <c r="AX252" s="44"/>
      <c r="AY252" s="44"/>
      <c r="AZ252" s="358"/>
      <c r="BA252" s="44"/>
      <c r="BB252" s="44"/>
      <c r="BC252" s="361"/>
      <c r="BD252" s="44"/>
      <c r="BE252" s="44"/>
      <c r="BF252" s="298">
        <f t="shared" si="16"/>
        <v>40000000</v>
      </c>
      <c r="BG252" s="298">
        <f t="shared" si="17"/>
        <v>0</v>
      </c>
      <c r="BH252" s="298">
        <f t="shared" si="18"/>
        <v>0</v>
      </c>
      <c r="BI252" s="386" t="s">
        <v>1483</v>
      </c>
      <c r="BK252" s="34"/>
      <c r="BL252" s="34"/>
    </row>
    <row r="253" spans="1:65" s="16" customFormat="1" ht="117" customHeight="1" x14ac:dyDescent="0.2">
      <c r="A253" s="29">
        <v>318</v>
      </c>
      <c r="B253" s="325" t="s">
        <v>1209</v>
      </c>
      <c r="C253" s="29">
        <v>1</v>
      </c>
      <c r="D253" s="325" t="s">
        <v>1201</v>
      </c>
      <c r="E253" s="29">
        <v>19</v>
      </c>
      <c r="F253" s="325" t="s">
        <v>122</v>
      </c>
      <c r="G253" s="29">
        <v>1906</v>
      </c>
      <c r="H253" s="325" t="s">
        <v>1216</v>
      </c>
      <c r="I253" s="29">
        <v>1906</v>
      </c>
      <c r="J253" s="30" t="s">
        <v>1217</v>
      </c>
      <c r="K253" s="297" t="s">
        <v>812</v>
      </c>
      <c r="L253" s="29">
        <v>1906022</v>
      </c>
      <c r="M253" s="30" t="s">
        <v>981</v>
      </c>
      <c r="N253" s="29">
        <v>1906022</v>
      </c>
      <c r="O253" s="30" t="s">
        <v>981</v>
      </c>
      <c r="P253" s="300">
        <v>190602200</v>
      </c>
      <c r="Q253" s="295" t="s">
        <v>982</v>
      </c>
      <c r="R253" s="300">
        <v>190602200</v>
      </c>
      <c r="S253" s="295" t="s">
        <v>982</v>
      </c>
      <c r="T253" s="299" t="s">
        <v>1470</v>
      </c>
      <c r="U253" s="311">
        <v>3</v>
      </c>
      <c r="V253" s="311"/>
      <c r="W253" s="328">
        <f t="shared" si="15"/>
        <v>3</v>
      </c>
      <c r="X253" s="530">
        <v>0</v>
      </c>
      <c r="Y253" s="296">
        <v>2020003630138</v>
      </c>
      <c r="Z253" s="310" t="s">
        <v>977</v>
      </c>
      <c r="AA253" s="297" t="s">
        <v>978</v>
      </c>
      <c r="AB253" s="44"/>
      <c r="AC253" s="44"/>
      <c r="AD253" s="44"/>
      <c r="AE253" s="44"/>
      <c r="AF253" s="44"/>
      <c r="AG253" s="44"/>
      <c r="AH253" s="44"/>
      <c r="AI253" s="44"/>
      <c r="AJ253" s="44"/>
      <c r="AK253" s="133"/>
      <c r="AL253" s="133"/>
      <c r="AM253" s="133"/>
      <c r="AN253" s="44"/>
      <c r="AO253" s="44"/>
      <c r="AP253" s="44"/>
      <c r="AQ253" s="44"/>
      <c r="AR253" s="44"/>
      <c r="AS253" s="44"/>
      <c r="AT253" s="356">
        <v>20000000</v>
      </c>
      <c r="AU253" s="42">
        <v>0</v>
      </c>
      <c r="AV253" s="42">
        <v>0</v>
      </c>
      <c r="AW253" s="361"/>
      <c r="AX253" s="44"/>
      <c r="AY253" s="44"/>
      <c r="AZ253" s="358"/>
      <c r="BA253" s="44"/>
      <c r="BB253" s="44"/>
      <c r="BC253" s="361"/>
      <c r="BD253" s="44"/>
      <c r="BE253" s="44"/>
      <c r="BF253" s="298">
        <f t="shared" si="16"/>
        <v>20000000</v>
      </c>
      <c r="BG253" s="298">
        <f t="shared" si="17"/>
        <v>0</v>
      </c>
      <c r="BH253" s="298">
        <f t="shared" si="18"/>
        <v>0</v>
      </c>
      <c r="BI253" s="386" t="s">
        <v>1483</v>
      </c>
      <c r="BK253" s="34"/>
      <c r="BL253" s="34"/>
    </row>
    <row r="254" spans="1:65" s="16" customFormat="1" ht="117" customHeight="1" x14ac:dyDescent="0.2">
      <c r="A254" s="29">
        <v>318</v>
      </c>
      <c r="B254" s="325" t="s">
        <v>1209</v>
      </c>
      <c r="C254" s="29">
        <v>1</v>
      </c>
      <c r="D254" s="325" t="s">
        <v>1201</v>
      </c>
      <c r="E254" s="29">
        <v>19</v>
      </c>
      <c r="F254" s="325" t="s">
        <v>122</v>
      </c>
      <c r="G254" s="29">
        <v>1906</v>
      </c>
      <c r="H254" s="325" t="s">
        <v>1216</v>
      </c>
      <c r="I254" s="29">
        <v>1906</v>
      </c>
      <c r="J254" s="30" t="s">
        <v>1217</v>
      </c>
      <c r="K254" s="297" t="s">
        <v>959</v>
      </c>
      <c r="L254" s="29" t="s">
        <v>31</v>
      </c>
      <c r="M254" s="30" t="s">
        <v>964</v>
      </c>
      <c r="N254" s="29">
        <v>1906023</v>
      </c>
      <c r="O254" s="30" t="s">
        <v>983</v>
      </c>
      <c r="P254" s="29" t="s">
        <v>31</v>
      </c>
      <c r="Q254" s="295" t="s">
        <v>984</v>
      </c>
      <c r="R254" s="300">
        <v>190602301</v>
      </c>
      <c r="S254" s="295" t="s">
        <v>966</v>
      </c>
      <c r="T254" s="299" t="s">
        <v>1469</v>
      </c>
      <c r="U254" s="311">
        <v>40</v>
      </c>
      <c r="V254" s="311"/>
      <c r="W254" s="328">
        <f t="shared" si="15"/>
        <v>40</v>
      </c>
      <c r="X254" s="530">
        <v>0</v>
      </c>
      <c r="Y254" s="296">
        <v>2020003630138</v>
      </c>
      <c r="Z254" s="310" t="s">
        <v>977</v>
      </c>
      <c r="AA254" s="297" t="s">
        <v>978</v>
      </c>
      <c r="AB254" s="44"/>
      <c r="AC254" s="44"/>
      <c r="AD254" s="44"/>
      <c r="AE254" s="44"/>
      <c r="AF254" s="44"/>
      <c r="AG254" s="44"/>
      <c r="AH254" s="44"/>
      <c r="AI254" s="44"/>
      <c r="AJ254" s="44"/>
      <c r="AK254" s="133"/>
      <c r="AL254" s="133"/>
      <c r="AM254" s="133"/>
      <c r="AN254" s="44"/>
      <c r="AO254" s="44"/>
      <c r="AP254" s="44"/>
      <c r="AQ254" s="44"/>
      <c r="AR254" s="44"/>
      <c r="AS254" s="44"/>
      <c r="AT254" s="356">
        <v>20000000</v>
      </c>
      <c r="AU254" s="42">
        <v>2885000</v>
      </c>
      <c r="AV254" s="42">
        <v>2885000</v>
      </c>
      <c r="AW254" s="361"/>
      <c r="AX254" s="44"/>
      <c r="AY254" s="44"/>
      <c r="AZ254" s="358"/>
      <c r="BA254" s="44"/>
      <c r="BB254" s="44"/>
      <c r="BC254" s="361"/>
      <c r="BD254" s="44"/>
      <c r="BE254" s="44"/>
      <c r="BF254" s="298">
        <f t="shared" si="16"/>
        <v>20000000</v>
      </c>
      <c r="BG254" s="298">
        <f t="shared" si="17"/>
        <v>2885000</v>
      </c>
      <c r="BH254" s="298">
        <f t="shared" si="18"/>
        <v>2885000</v>
      </c>
      <c r="BI254" s="386" t="s">
        <v>1483</v>
      </c>
      <c r="BK254" s="34"/>
      <c r="BL254" s="34"/>
    </row>
    <row r="255" spans="1:65" s="16" customFormat="1" ht="117" customHeight="1" x14ac:dyDescent="0.2">
      <c r="A255" s="29">
        <v>324</v>
      </c>
      <c r="B255" s="325" t="s">
        <v>1297</v>
      </c>
      <c r="C255" s="29">
        <v>1</v>
      </c>
      <c r="D255" s="325" t="s">
        <v>1201</v>
      </c>
      <c r="E255" s="29">
        <v>23</v>
      </c>
      <c r="F255" s="325" t="s">
        <v>986</v>
      </c>
      <c r="G255" s="29">
        <v>2301</v>
      </c>
      <c r="H255" s="325" t="s">
        <v>1368</v>
      </c>
      <c r="I255" s="29">
        <v>2301</v>
      </c>
      <c r="J255" s="30" t="s">
        <v>1222</v>
      </c>
      <c r="K255" s="297" t="s">
        <v>988</v>
      </c>
      <c r="L255" s="29">
        <v>2301024</v>
      </c>
      <c r="M255" s="30" t="s">
        <v>989</v>
      </c>
      <c r="N255" s="29">
        <v>2301024</v>
      </c>
      <c r="O255" s="30" t="s">
        <v>989</v>
      </c>
      <c r="P255" s="300">
        <v>230102401</v>
      </c>
      <c r="Q255" s="295" t="s">
        <v>990</v>
      </c>
      <c r="R255" s="300">
        <v>230102401</v>
      </c>
      <c r="S255" s="295" t="s">
        <v>990</v>
      </c>
      <c r="T255" s="299" t="s">
        <v>1469</v>
      </c>
      <c r="U255" s="311">
        <v>15</v>
      </c>
      <c r="V255" s="311"/>
      <c r="W255" s="328">
        <f t="shared" si="15"/>
        <v>15</v>
      </c>
      <c r="X255" s="530">
        <v>0</v>
      </c>
      <c r="Y255" s="296">
        <v>2020003630038</v>
      </c>
      <c r="Z255" s="310" t="s">
        <v>1364</v>
      </c>
      <c r="AA255" s="297" t="s">
        <v>992</v>
      </c>
      <c r="AB255" s="44"/>
      <c r="AC255" s="44"/>
      <c r="AD255" s="44"/>
      <c r="AE255" s="108"/>
      <c r="AF255" s="108"/>
      <c r="AG255" s="108"/>
      <c r="AH255" s="108"/>
      <c r="AI255" s="108"/>
      <c r="AJ255" s="108"/>
      <c r="AK255" s="108"/>
      <c r="AL255" s="108"/>
      <c r="AM255" s="108"/>
      <c r="AN255" s="108"/>
      <c r="AO255" s="108"/>
      <c r="AP255" s="108"/>
      <c r="AQ255" s="108"/>
      <c r="AR255" s="108"/>
      <c r="AS255" s="108"/>
      <c r="AT255" s="354">
        <v>18000000</v>
      </c>
      <c r="AU255" s="108">
        <v>6000000</v>
      </c>
      <c r="AV255" s="108">
        <v>6000000</v>
      </c>
      <c r="AW255" s="366"/>
      <c r="AX255" s="108"/>
      <c r="AY255" s="108"/>
      <c r="AZ255" s="354"/>
      <c r="BA255" s="108"/>
      <c r="BB255" s="108"/>
      <c r="BC255" s="366"/>
      <c r="BD255" s="108"/>
      <c r="BE255" s="108"/>
      <c r="BF255" s="298">
        <f t="shared" si="16"/>
        <v>18000000</v>
      </c>
      <c r="BG255" s="298">
        <f t="shared" si="17"/>
        <v>6000000</v>
      </c>
      <c r="BH255" s="298">
        <f t="shared" si="18"/>
        <v>6000000</v>
      </c>
      <c r="BI255" s="386" t="s">
        <v>1480</v>
      </c>
      <c r="BK255" s="34"/>
      <c r="BL255" s="34"/>
    </row>
    <row r="256" spans="1:65" s="16" customFormat="1" ht="117" customHeight="1" x14ac:dyDescent="0.2">
      <c r="A256" s="29">
        <v>324</v>
      </c>
      <c r="B256" s="325" t="s">
        <v>1297</v>
      </c>
      <c r="C256" s="29">
        <v>1</v>
      </c>
      <c r="D256" s="325" t="s">
        <v>1201</v>
      </c>
      <c r="E256" s="29">
        <v>23</v>
      </c>
      <c r="F256" s="325" t="s">
        <v>986</v>
      </c>
      <c r="G256" s="29">
        <v>2301</v>
      </c>
      <c r="H256" s="325" t="s">
        <v>1368</v>
      </c>
      <c r="I256" s="29">
        <v>2301</v>
      </c>
      <c r="J256" s="30" t="s">
        <v>1222</v>
      </c>
      <c r="K256" s="297" t="s">
        <v>988</v>
      </c>
      <c r="L256" s="29">
        <v>2301024</v>
      </c>
      <c r="M256" s="30" t="s">
        <v>989</v>
      </c>
      <c r="N256" s="29">
        <v>2301024</v>
      </c>
      <c r="O256" s="30" t="s">
        <v>989</v>
      </c>
      <c r="P256" s="300">
        <v>230102404</v>
      </c>
      <c r="Q256" s="295" t="s">
        <v>993</v>
      </c>
      <c r="R256" s="300">
        <v>230102404</v>
      </c>
      <c r="S256" s="295" t="s">
        <v>993</v>
      </c>
      <c r="T256" s="299" t="s">
        <v>1470</v>
      </c>
      <c r="U256" s="311">
        <v>4</v>
      </c>
      <c r="V256" s="311"/>
      <c r="W256" s="328">
        <f t="shared" si="15"/>
        <v>4</v>
      </c>
      <c r="X256" s="530">
        <v>0</v>
      </c>
      <c r="Y256" s="296">
        <v>2020003630038</v>
      </c>
      <c r="Z256" s="310" t="s">
        <v>1364</v>
      </c>
      <c r="AA256" s="297" t="s">
        <v>992</v>
      </c>
      <c r="AB256" s="44"/>
      <c r="AC256" s="44"/>
      <c r="AD256" s="44"/>
      <c r="AE256" s="108"/>
      <c r="AF256" s="108"/>
      <c r="AG256" s="108"/>
      <c r="AH256" s="108"/>
      <c r="AI256" s="108"/>
      <c r="AJ256" s="108"/>
      <c r="AK256" s="108"/>
      <c r="AL256" s="108"/>
      <c r="AM256" s="108"/>
      <c r="AN256" s="108"/>
      <c r="AO256" s="108"/>
      <c r="AP256" s="108"/>
      <c r="AQ256" s="108"/>
      <c r="AR256" s="108"/>
      <c r="AS256" s="108"/>
      <c r="AT256" s="529">
        <f>100000000+37526000+40000000-5862500+17000000</f>
        <v>188663500</v>
      </c>
      <c r="AU256" s="108">
        <v>92905000</v>
      </c>
      <c r="AV256" s="108">
        <v>67165000</v>
      </c>
      <c r="AW256" s="366"/>
      <c r="AX256" s="108"/>
      <c r="AY256" s="108"/>
      <c r="AZ256" s="354"/>
      <c r="BA256" s="108"/>
      <c r="BB256" s="108"/>
      <c r="BC256" s="366"/>
      <c r="BD256" s="108"/>
      <c r="BE256" s="108"/>
      <c r="BF256" s="298">
        <f t="shared" si="16"/>
        <v>188663500</v>
      </c>
      <c r="BG256" s="298">
        <f t="shared" si="17"/>
        <v>92905000</v>
      </c>
      <c r="BH256" s="298">
        <f t="shared" si="18"/>
        <v>67165000</v>
      </c>
      <c r="BI256" s="386" t="s">
        <v>1480</v>
      </c>
      <c r="BK256" s="34"/>
      <c r="BL256" s="34"/>
    </row>
    <row r="257" spans="1:64" s="16" customFormat="1" ht="117" customHeight="1" x14ac:dyDescent="0.2">
      <c r="A257" s="29">
        <v>324</v>
      </c>
      <c r="B257" s="325" t="s">
        <v>1297</v>
      </c>
      <c r="C257" s="29">
        <v>1</v>
      </c>
      <c r="D257" s="325" t="s">
        <v>1201</v>
      </c>
      <c r="E257" s="29">
        <v>23</v>
      </c>
      <c r="F257" s="325" t="s">
        <v>986</v>
      </c>
      <c r="G257" s="29">
        <v>2301</v>
      </c>
      <c r="H257" s="325" t="s">
        <v>1368</v>
      </c>
      <c r="I257" s="29">
        <v>2301</v>
      </c>
      <c r="J257" s="30" t="s">
        <v>1222</v>
      </c>
      <c r="K257" s="297" t="s">
        <v>988</v>
      </c>
      <c r="L257" s="300">
        <v>2301012</v>
      </c>
      <c r="M257" s="30" t="s">
        <v>994</v>
      </c>
      <c r="N257" s="29">
        <v>2301079</v>
      </c>
      <c r="O257" s="30" t="s">
        <v>995</v>
      </c>
      <c r="P257" s="300">
        <v>230101204</v>
      </c>
      <c r="Q257" s="295" t="s">
        <v>996</v>
      </c>
      <c r="R257" s="300">
        <v>230107902</v>
      </c>
      <c r="S257" s="295" t="s">
        <v>997</v>
      </c>
      <c r="T257" s="299" t="s">
        <v>1470</v>
      </c>
      <c r="U257" s="311">
        <v>15</v>
      </c>
      <c r="V257" s="311">
        <v>13</v>
      </c>
      <c r="W257" s="328">
        <f t="shared" si="15"/>
        <v>28</v>
      </c>
      <c r="X257" s="530">
        <v>2</v>
      </c>
      <c r="Y257" s="296">
        <v>2020003630038</v>
      </c>
      <c r="Z257" s="310" t="s">
        <v>1364</v>
      </c>
      <c r="AA257" s="297" t="s">
        <v>992</v>
      </c>
      <c r="AB257" s="44"/>
      <c r="AC257" s="44"/>
      <c r="AD257" s="44"/>
      <c r="AE257" s="108"/>
      <c r="AF257" s="108"/>
      <c r="AG257" s="108"/>
      <c r="AH257" s="108"/>
      <c r="AI257" s="108"/>
      <c r="AJ257" s="108"/>
      <c r="AK257" s="108"/>
      <c r="AL257" s="108"/>
      <c r="AM257" s="108"/>
      <c r="AN257" s="108"/>
      <c r="AO257" s="108"/>
      <c r="AP257" s="108"/>
      <c r="AQ257" s="108"/>
      <c r="AR257" s="108"/>
      <c r="AS257" s="108"/>
      <c r="AT257" s="354">
        <f>80000000-49707500</f>
        <v>30292500</v>
      </c>
      <c r="AU257" s="108">
        <v>21060038</v>
      </c>
      <c r="AV257" s="108">
        <v>0</v>
      </c>
      <c r="AW257" s="366"/>
      <c r="AX257" s="108"/>
      <c r="AY257" s="108"/>
      <c r="AZ257" s="354"/>
      <c r="BA257" s="108"/>
      <c r="BB257" s="108"/>
      <c r="BC257" s="366"/>
      <c r="BD257" s="108"/>
      <c r="BE257" s="108"/>
      <c r="BF257" s="298">
        <f t="shared" si="16"/>
        <v>30292500</v>
      </c>
      <c r="BG257" s="298">
        <f t="shared" si="17"/>
        <v>21060038</v>
      </c>
      <c r="BH257" s="298">
        <f t="shared" si="18"/>
        <v>0</v>
      </c>
      <c r="BI257" s="386" t="s">
        <v>1480</v>
      </c>
      <c r="BK257" s="34"/>
      <c r="BL257" s="34"/>
    </row>
    <row r="258" spans="1:64" s="16" customFormat="1" ht="117" customHeight="1" x14ac:dyDescent="0.2">
      <c r="A258" s="29">
        <v>324</v>
      </c>
      <c r="B258" s="325" t="s">
        <v>1297</v>
      </c>
      <c r="C258" s="29">
        <v>1</v>
      </c>
      <c r="D258" s="325" t="s">
        <v>1201</v>
      </c>
      <c r="E258" s="29">
        <v>23</v>
      </c>
      <c r="F258" s="325" t="s">
        <v>986</v>
      </c>
      <c r="G258" s="29">
        <v>2301</v>
      </c>
      <c r="H258" s="325" t="s">
        <v>1368</v>
      </c>
      <c r="I258" s="29">
        <v>2301</v>
      </c>
      <c r="J258" s="30" t="s">
        <v>1222</v>
      </c>
      <c r="K258" s="297" t="s">
        <v>988</v>
      </c>
      <c r="L258" s="29">
        <v>2301062</v>
      </c>
      <c r="M258" s="30" t="s">
        <v>998</v>
      </c>
      <c r="N258" s="29">
        <v>2301062</v>
      </c>
      <c r="O258" s="30" t="s">
        <v>998</v>
      </c>
      <c r="P258" s="300">
        <v>230106201</v>
      </c>
      <c r="Q258" s="295" t="s">
        <v>999</v>
      </c>
      <c r="R258" s="300">
        <v>230106201</v>
      </c>
      <c r="S258" s="295" t="s">
        <v>999</v>
      </c>
      <c r="T258" s="299" t="s">
        <v>1469</v>
      </c>
      <c r="U258" s="311">
        <v>8</v>
      </c>
      <c r="V258" s="311"/>
      <c r="W258" s="328">
        <f t="shared" si="15"/>
        <v>8</v>
      </c>
      <c r="X258" s="530">
        <v>5</v>
      </c>
      <c r="Y258" s="296">
        <v>2020003630038</v>
      </c>
      <c r="Z258" s="310" t="s">
        <v>1364</v>
      </c>
      <c r="AA258" s="297" t="s">
        <v>992</v>
      </c>
      <c r="AB258" s="44"/>
      <c r="AC258" s="44"/>
      <c r="AD258" s="44"/>
      <c r="AE258" s="108"/>
      <c r="AF258" s="108"/>
      <c r="AG258" s="108"/>
      <c r="AH258" s="108"/>
      <c r="AI258" s="108"/>
      <c r="AJ258" s="108"/>
      <c r="AK258" s="108"/>
      <c r="AL258" s="108"/>
      <c r="AM258" s="108"/>
      <c r="AN258" s="108"/>
      <c r="AO258" s="108"/>
      <c r="AP258" s="108"/>
      <c r="AQ258" s="108"/>
      <c r="AR258" s="108"/>
      <c r="AS258" s="108"/>
      <c r="AT258" s="354">
        <f>50000000-30207500-11137500</f>
        <v>8655000</v>
      </c>
      <c r="AU258" s="108">
        <v>8655000</v>
      </c>
      <c r="AV258" s="108">
        <v>8655000</v>
      </c>
      <c r="AW258" s="366"/>
      <c r="AX258" s="108"/>
      <c r="AY258" s="108"/>
      <c r="AZ258" s="354"/>
      <c r="BA258" s="108"/>
      <c r="BB258" s="108"/>
      <c r="BC258" s="366"/>
      <c r="BD258" s="108"/>
      <c r="BE258" s="108"/>
      <c r="BF258" s="298">
        <f t="shared" si="16"/>
        <v>8655000</v>
      </c>
      <c r="BG258" s="298">
        <f t="shared" si="17"/>
        <v>8655000</v>
      </c>
      <c r="BH258" s="298">
        <f t="shared" si="18"/>
        <v>8655000</v>
      </c>
      <c r="BI258" s="386" t="s">
        <v>1480</v>
      </c>
      <c r="BK258" s="34"/>
      <c r="BL258" s="34"/>
    </row>
    <row r="259" spans="1:64" s="16" customFormat="1" ht="117" customHeight="1" x14ac:dyDescent="0.2">
      <c r="A259" s="29">
        <v>324</v>
      </c>
      <c r="B259" s="325" t="s">
        <v>1297</v>
      </c>
      <c r="C259" s="29">
        <v>1</v>
      </c>
      <c r="D259" s="325" t="s">
        <v>1201</v>
      </c>
      <c r="E259" s="29">
        <v>23</v>
      </c>
      <c r="F259" s="325" t="s">
        <v>986</v>
      </c>
      <c r="G259" s="29">
        <v>2301</v>
      </c>
      <c r="H259" s="325" t="s">
        <v>1368</v>
      </c>
      <c r="I259" s="29">
        <v>2301</v>
      </c>
      <c r="J259" s="30" t="s">
        <v>1222</v>
      </c>
      <c r="K259" s="297" t="s">
        <v>1000</v>
      </c>
      <c r="L259" s="29">
        <v>2301030</v>
      </c>
      <c r="M259" s="30" t="s">
        <v>1001</v>
      </c>
      <c r="N259" s="29">
        <v>2301030</v>
      </c>
      <c r="O259" s="30" t="s">
        <v>1001</v>
      </c>
      <c r="P259" s="300">
        <v>230103000</v>
      </c>
      <c r="Q259" s="295" t="s">
        <v>1002</v>
      </c>
      <c r="R259" s="300">
        <v>230103000</v>
      </c>
      <c r="S259" s="295" t="s">
        <v>1002</v>
      </c>
      <c r="T259" s="299" t="s">
        <v>1470</v>
      </c>
      <c r="U259" s="311">
        <v>7000</v>
      </c>
      <c r="V259" s="311"/>
      <c r="W259" s="328">
        <f t="shared" si="15"/>
        <v>7000</v>
      </c>
      <c r="X259" s="530">
        <v>5615</v>
      </c>
      <c r="Y259" s="296">
        <v>2020003630139</v>
      </c>
      <c r="Z259" s="310" t="s">
        <v>1291</v>
      </c>
      <c r="AA259" s="297" t="s">
        <v>1003</v>
      </c>
      <c r="AB259" s="44"/>
      <c r="AC259" s="44"/>
      <c r="AD259" s="44"/>
      <c r="AE259" s="108"/>
      <c r="AF259" s="108"/>
      <c r="AG259" s="108"/>
      <c r="AH259" s="108"/>
      <c r="AI259" s="108"/>
      <c r="AJ259" s="108"/>
      <c r="AK259" s="108"/>
      <c r="AL259" s="108"/>
      <c r="AM259" s="108"/>
      <c r="AN259" s="108"/>
      <c r="AO259" s="108"/>
      <c r="AP259" s="108"/>
      <c r="AQ259" s="108"/>
      <c r="AR259" s="108"/>
      <c r="AS259" s="108"/>
      <c r="AT259" s="354">
        <f>36000000+79915000+140000000+55060000-5000000+54777780+50000000</f>
        <v>410752780</v>
      </c>
      <c r="AU259" s="108">
        <v>360295000</v>
      </c>
      <c r="AV259" s="108">
        <v>255490000</v>
      </c>
      <c r="AW259" s="366"/>
      <c r="AX259" s="108"/>
      <c r="AY259" s="108"/>
      <c r="AZ259" s="354"/>
      <c r="BA259" s="108"/>
      <c r="BB259" s="108"/>
      <c r="BC259" s="366"/>
      <c r="BD259" s="108"/>
      <c r="BE259" s="108"/>
      <c r="BF259" s="298">
        <f t="shared" si="16"/>
        <v>410752780</v>
      </c>
      <c r="BG259" s="298">
        <f t="shared" si="17"/>
        <v>360295000</v>
      </c>
      <c r="BH259" s="298">
        <f t="shared" si="18"/>
        <v>255490000</v>
      </c>
      <c r="BI259" s="386" t="s">
        <v>1480</v>
      </c>
      <c r="BK259" s="34"/>
      <c r="BL259" s="34"/>
    </row>
    <row r="260" spans="1:64" s="16" customFormat="1" ht="117" customHeight="1" x14ac:dyDescent="0.2">
      <c r="A260" s="29">
        <v>324</v>
      </c>
      <c r="B260" s="325" t="s">
        <v>1297</v>
      </c>
      <c r="C260" s="29">
        <v>1</v>
      </c>
      <c r="D260" s="325" t="s">
        <v>1201</v>
      </c>
      <c r="E260" s="29">
        <v>23</v>
      </c>
      <c r="F260" s="325" t="s">
        <v>986</v>
      </c>
      <c r="G260" s="29">
        <v>2301</v>
      </c>
      <c r="H260" s="325" t="s">
        <v>1368</v>
      </c>
      <c r="I260" s="29">
        <v>2301</v>
      </c>
      <c r="J260" s="30" t="s">
        <v>1222</v>
      </c>
      <c r="K260" s="297" t="s">
        <v>1000</v>
      </c>
      <c r="L260" s="29">
        <v>2301015</v>
      </c>
      <c r="M260" s="30" t="s">
        <v>1004</v>
      </c>
      <c r="N260" s="29">
        <v>2301015</v>
      </c>
      <c r="O260" s="30" t="s">
        <v>1004</v>
      </c>
      <c r="P260" s="300">
        <v>230101500</v>
      </c>
      <c r="Q260" s="295" t="s">
        <v>1005</v>
      </c>
      <c r="R260" s="300">
        <v>230101500</v>
      </c>
      <c r="S260" s="295" t="s">
        <v>1005</v>
      </c>
      <c r="T260" s="299" t="s">
        <v>1469</v>
      </c>
      <c r="U260" s="311">
        <v>3</v>
      </c>
      <c r="V260" s="311"/>
      <c r="W260" s="328">
        <f t="shared" si="15"/>
        <v>3</v>
      </c>
      <c r="X260" s="530">
        <v>3</v>
      </c>
      <c r="Y260" s="296">
        <v>2020003630139</v>
      </c>
      <c r="Z260" s="310" t="s">
        <v>1291</v>
      </c>
      <c r="AA260" s="297" t="s">
        <v>1003</v>
      </c>
      <c r="AB260" s="44"/>
      <c r="AC260" s="44"/>
      <c r="AD260" s="44"/>
      <c r="AE260" s="108"/>
      <c r="AF260" s="108"/>
      <c r="AG260" s="108"/>
      <c r="AH260" s="108"/>
      <c r="AI260" s="108"/>
      <c r="AJ260" s="108"/>
      <c r="AK260" s="108"/>
      <c r="AL260" s="108"/>
      <c r="AM260" s="108"/>
      <c r="AN260" s="108"/>
      <c r="AO260" s="108"/>
      <c r="AP260" s="108"/>
      <c r="AQ260" s="108"/>
      <c r="AR260" s="108"/>
      <c r="AS260" s="108"/>
      <c r="AT260" s="354">
        <f>18000000+13200000</f>
        <v>31200000</v>
      </c>
      <c r="AU260" s="108">
        <v>31200000</v>
      </c>
      <c r="AV260" s="108">
        <v>31200000</v>
      </c>
      <c r="AW260" s="366"/>
      <c r="AX260" s="108"/>
      <c r="AY260" s="108"/>
      <c r="AZ260" s="354"/>
      <c r="BA260" s="108"/>
      <c r="BB260" s="108"/>
      <c r="BC260" s="366"/>
      <c r="BD260" s="108"/>
      <c r="BE260" s="108"/>
      <c r="BF260" s="298">
        <f t="shared" si="16"/>
        <v>31200000</v>
      </c>
      <c r="BG260" s="298">
        <f t="shared" si="17"/>
        <v>31200000</v>
      </c>
      <c r="BH260" s="298">
        <f t="shared" si="18"/>
        <v>31200000</v>
      </c>
      <c r="BI260" s="386" t="s">
        <v>1480</v>
      </c>
      <c r="BK260" s="34"/>
      <c r="BL260" s="34"/>
    </row>
    <row r="261" spans="1:64" s="16" customFormat="1" ht="117" customHeight="1" x14ac:dyDescent="0.2">
      <c r="A261" s="29">
        <v>324</v>
      </c>
      <c r="B261" s="325" t="s">
        <v>1297</v>
      </c>
      <c r="C261" s="29">
        <v>1</v>
      </c>
      <c r="D261" s="325" t="s">
        <v>1201</v>
      </c>
      <c r="E261" s="29">
        <v>23</v>
      </c>
      <c r="F261" s="325" t="s">
        <v>986</v>
      </c>
      <c r="G261" s="29">
        <v>2301</v>
      </c>
      <c r="H261" s="325" t="s">
        <v>1368</v>
      </c>
      <c r="I261" s="29">
        <v>2301</v>
      </c>
      <c r="J261" s="30" t="s">
        <v>1222</v>
      </c>
      <c r="K261" s="297" t="s">
        <v>1000</v>
      </c>
      <c r="L261" s="29">
        <v>2301004</v>
      </c>
      <c r="M261" s="30" t="s">
        <v>193</v>
      </c>
      <c r="N261" s="29">
        <v>2301004</v>
      </c>
      <c r="O261" s="30" t="s">
        <v>193</v>
      </c>
      <c r="P261" s="300">
        <v>230200400</v>
      </c>
      <c r="Q261" s="295" t="s">
        <v>195</v>
      </c>
      <c r="R261" s="300">
        <v>230100400</v>
      </c>
      <c r="S261" s="30" t="s">
        <v>195</v>
      </c>
      <c r="T261" s="299" t="s">
        <v>1469</v>
      </c>
      <c r="U261" s="311">
        <v>1</v>
      </c>
      <c r="V261" s="311"/>
      <c r="W261" s="328">
        <f t="shared" si="15"/>
        <v>1</v>
      </c>
      <c r="X261" s="530">
        <v>1</v>
      </c>
      <c r="Y261" s="296">
        <v>2020003630139</v>
      </c>
      <c r="Z261" s="310" t="s">
        <v>1291</v>
      </c>
      <c r="AA261" s="297" t="s">
        <v>1003</v>
      </c>
      <c r="AB261" s="44"/>
      <c r="AC261" s="44"/>
      <c r="AD261" s="44"/>
      <c r="AE261" s="108"/>
      <c r="AF261" s="108"/>
      <c r="AG261" s="108"/>
      <c r="AH261" s="108"/>
      <c r="AI261" s="108"/>
      <c r="AJ261" s="108"/>
      <c r="AK261" s="108"/>
      <c r="AL261" s="108"/>
      <c r="AM261" s="108"/>
      <c r="AN261" s="108"/>
      <c r="AO261" s="108"/>
      <c r="AP261" s="108"/>
      <c r="AQ261" s="108"/>
      <c r="AR261" s="108"/>
      <c r="AS261" s="108"/>
      <c r="AT261" s="354">
        <v>18000000</v>
      </c>
      <c r="AU261" s="108">
        <v>18000000</v>
      </c>
      <c r="AV261" s="108">
        <v>18000000</v>
      </c>
      <c r="AW261" s="366"/>
      <c r="AX261" s="108"/>
      <c r="AY261" s="108"/>
      <c r="AZ261" s="354"/>
      <c r="BA261" s="108"/>
      <c r="BB261" s="108"/>
      <c r="BC261" s="366"/>
      <c r="BD261" s="108"/>
      <c r="BE261" s="108"/>
      <c r="BF261" s="298">
        <f t="shared" si="16"/>
        <v>18000000</v>
      </c>
      <c r="BG261" s="298">
        <f t="shared" si="17"/>
        <v>18000000</v>
      </c>
      <c r="BH261" s="298">
        <f t="shared" si="18"/>
        <v>18000000</v>
      </c>
      <c r="BI261" s="386" t="s">
        <v>1480</v>
      </c>
      <c r="BK261" s="34"/>
      <c r="BL261" s="34"/>
    </row>
    <row r="262" spans="1:64" s="16" customFormat="1" ht="117" customHeight="1" x14ac:dyDescent="0.2">
      <c r="A262" s="29">
        <v>324</v>
      </c>
      <c r="B262" s="325" t="s">
        <v>1297</v>
      </c>
      <c r="C262" s="29">
        <v>1</v>
      </c>
      <c r="D262" s="325" t="s">
        <v>1201</v>
      </c>
      <c r="E262" s="29">
        <v>23</v>
      </c>
      <c r="F262" s="325" t="s">
        <v>986</v>
      </c>
      <c r="G262" s="29">
        <v>2301</v>
      </c>
      <c r="H262" s="325" t="s">
        <v>1368</v>
      </c>
      <c r="I262" s="29">
        <v>2301</v>
      </c>
      <c r="J262" s="30" t="s">
        <v>1222</v>
      </c>
      <c r="K262" s="297" t="s">
        <v>1000</v>
      </c>
      <c r="L262" s="29">
        <v>2301035</v>
      </c>
      <c r="M262" s="30" t="s">
        <v>1006</v>
      </c>
      <c r="N262" s="29">
        <v>2301035</v>
      </c>
      <c r="O262" s="30" t="s">
        <v>1006</v>
      </c>
      <c r="P262" s="300">
        <v>230103500</v>
      </c>
      <c r="Q262" s="295" t="s">
        <v>1007</v>
      </c>
      <c r="R262" s="300">
        <v>230103500</v>
      </c>
      <c r="S262" s="295" t="s">
        <v>1007</v>
      </c>
      <c r="T262" s="299" t="s">
        <v>1470</v>
      </c>
      <c r="U262" s="311">
        <v>40</v>
      </c>
      <c r="V262" s="311"/>
      <c r="W262" s="328">
        <f t="shared" si="15"/>
        <v>40</v>
      </c>
      <c r="X262" s="530">
        <v>40</v>
      </c>
      <c r="Y262" s="296">
        <v>2020003630139</v>
      </c>
      <c r="Z262" s="310" t="s">
        <v>1291</v>
      </c>
      <c r="AA262" s="297" t="s">
        <v>1003</v>
      </c>
      <c r="AB262" s="44"/>
      <c r="AC262" s="44"/>
      <c r="AD262" s="44"/>
      <c r="AE262" s="108"/>
      <c r="AF262" s="108"/>
      <c r="AG262" s="108"/>
      <c r="AH262" s="108"/>
      <c r="AI262" s="108"/>
      <c r="AJ262" s="108"/>
      <c r="AK262" s="108"/>
      <c r="AL262" s="108"/>
      <c r="AM262" s="108"/>
      <c r="AN262" s="108"/>
      <c r="AO262" s="108"/>
      <c r="AP262" s="108"/>
      <c r="AQ262" s="108"/>
      <c r="AR262" s="108"/>
      <c r="AS262" s="108"/>
      <c r="AT262" s="354">
        <f>36000000+50000000+56720000-49777780</f>
        <v>92942220</v>
      </c>
      <c r="AU262" s="108">
        <v>92942219.040000007</v>
      </c>
      <c r="AV262" s="108">
        <v>59725219.039999999</v>
      </c>
      <c r="AW262" s="366"/>
      <c r="AX262" s="108"/>
      <c r="AY262" s="108"/>
      <c r="AZ262" s="354"/>
      <c r="BA262" s="108"/>
      <c r="BB262" s="108"/>
      <c r="BC262" s="366"/>
      <c r="BD262" s="108"/>
      <c r="BE262" s="108"/>
      <c r="BF262" s="298">
        <f t="shared" si="16"/>
        <v>92942220</v>
      </c>
      <c r="BG262" s="298">
        <f t="shared" si="17"/>
        <v>92942219.040000007</v>
      </c>
      <c r="BH262" s="298">
        <f t="shared" si="18"/>
        <v>59725219.039999999</v>
      </c>
      <c r="BI262" s="386" t="s">
        <v>1480</v>
      </c>
      <c r="BK262" s="34"/>
      <c r="BL262" s="34"/>
    </row>
    <row r="263" spans="1:64" s="16" customFormat="1" ht="117" customHeight="1" x14ac:dyDescent="0.2">
      <c r="A263" s="29">
        <v>324</v>
      </c>
      <c r="B263" s="325" t="s">
        <v>1297</v>
      </c>
      <c r="C263" s="29">
        <v>1</v>
      </c>
      <c r="D263" s="325" t="s">
        <v>1201</v>
      </c>
      <c r="E263" s="29">
        <v>23</v>
      </c>
      <c r="F263" s="325" t="s">
        <v>986</v>
      </c>
      <c r="G263" s="29">
        <v>2301</v>
      </c>
      <c r="H263" s="325" t="s">
        <v>1368</v>
      </c>
      <c r="I263" s="29">
        <v>2301</v>
      </c>
      <c r="J263" s="30" t="s">
        <v>1222</v>
      </c>
      <c r="K263" s="297" t="s">
        <v>1000</v>
      </c>
      <c r="L263" s="29">
        <v>2301042</v>
      </c>
      <c r="M263" s="30" t="s">
        <v>1008</v>
      </c>
      <c r="N263" s="29">
        <v>2301042</v>
      </c>
      <c r="O263" s="30" t="s">
        <v>1008</v>
      </c>
      <c r="P263" s="300">
        <v>230104201</v>
      </c>
      <c r="Q263" s="295" t="s">
        <v>1009</v>
      </c>
      <c r="R263" s="300">
        <v>230104201</v>
      </c>
      <c r="S263" s="295" t="s">
        <v>1009</v>
      </c>
      <c r="T263" s="299" t="s">
        <v>1469</v>
      </c>
      <c r="U263" s="311">
        <v>1</v>
      </c>
      <c r="V263" s="311"/>
      <c r="W263" s="328">
        <f t="shared" si="15"/>
        <v>1</v>
      </c>
      <c r="X263" s="530">
        <v>1</v>
      </c>
      <c r="Y263" s="296">
        <v>2020003630139</v>
      </c>
      <c r="Z263" s="310" t="s">
        <v>1291</v>
      </c>
      <c r="AA263" s="297" t="s">
        <v>1003</v>
      </c>
      <c r="AB263" s="44"/>
      <c r="AC263" s="44"/>
      <c r="AD263" s="44"/>
      <c r="AE263" s="108"/>
      <c r="AF263" s="108"/>
      <c r="AG263" s="108"/>
      <c r="AH263" s="108"/>
      <c r="AI263" s="108"/>
      <c r="AJ263" s="108"/>
      <c r="AK263" s="108"/>
      <c r="AL263" s="108"/>
      <c r="AM263" s="108"/>
      <c r="AN263" s="108"/>
      <c r="AO263" s="108"/>
      <c r="AP263" s="108"/>
      <c r="AQ263" s="108"/>
      <c r="AR263" s="108"/>
      <c r="AS263" s="108"/>
      <c r="AT263" s="354">
        <v>18000000</v>
      </c>
      <c r="AU263" s="108">
        <v>0</v>
      </c>
      <c r="AV263" s="108">
        <v>0</v>
      </c>
      <c r="AW263" s="366"/>
      <c r="AX263" s="108"/>
      <c r="AY263" s="108"/>
      <c r="AZ263" s="354"/>
      <c r="BA263" s="108"/>
      <c r="BB263" s="108"/>
      <c r="BC263" s="366"/>
      <c r="BD263" s="108"/>
      <c r="BE263" s="108"/>
      <c r="BF263" s="298">
        <f t="shared" si="16"/>
        <v>18000000</v>
      </c>
      <c r="BG263" s="298">
        <f t="shared" si="17"/>
        <v>0</v>
      </c>
      <c r="BH263" s="298">
        <f t="shared" si="18"/>
        <v>0</v>
      </c>
      <c r="BI263" s="386" t="s">
        <v>1480</v>
      </c>
      <c r="BK263" s="34"/>
      <c r="BL263" s="34"/>
    </row>
    <row r="264" spans="1:64" s="16" customFormat="1" ht="117" customHeight="1" x14ac:dyDescent="0.2">
      <c r="A264" s="29">
        <v>324</v>
      </c>
      <c r="B264" s="325" t="s">
        <v>1297</v>
      </c>
      <c r="C264" s="29">
        <v>1</v>
      </c>
      <c r="D264" s="325" t="s">
        <v>1201</v>
      </c>
      <c r="E264" s="29">
        <v>23</v>
      </c>
      <c r="F264" s="325" t="s">
        <v>986</v>
      </c>
      <c r="G264" s="29">
        <v>2302</v>
      </c>
      <c r="H264" s="325" t="s">
        <v>1140</v>
      </c>
      <c r="I264" s="29">
        <v>2302</v>
      </c>
      <c r="J264" s="30" t="s">
        <v>1243</v>
      </c>
      <c r="K264" s="297" t="s">
        <v>988</v>
      </c>
      <c r="L264" s="29">
        <v>2302042</v>
      </c>
      <c r="M264" s="30" t="s">
        <v>1010</v>
      </c>
      <c r="N264" s="29">
        <v>2302042</v>
      </c>
      <c r="O264" s="30" t="s">
        <v>1010</v>
      </c>
      <c r="P264" s="300">
        <v>230204200</v>
      </c>
      <c r="Q264" s="295" t="s">
        <v>1011</v>
      </c>
      <c r="R264" s="300">
        <v>230204200</v>
      </c>
      <c r="S264" s="295" t="s">
        <v>1011</v>
      </c>
      <c r="T264" s="299" t="s">
        <v>1470</v>
      </c>
      <c r="U264" s="311">
        <v>1</v>
      </c>
      <c r="V264" s="311"/>
      <c r="W264" s="328">
        <f t="shared" si="15"/>
        <v>1</v>
      </c>
      <c r="X264" s="530">
        <v>1</v>
      </c>
      <c r="Y264" s="296">
        <v>2020003630039</v>
      </c>
      <c r="Z264" s="310" t="s">
        <v>1357</v>
      </c>
      <c r="AA264" s="297" t="s">
        <v>1013</v>
      </c>
      <c r="AB264" s="44"/>
      <c r="AC264" s="44"/>
      <c r="AD264" s="44"/>
      <c r="AE264" s="108"/>
      <c r="AF264" s="108"/>
      <c r="AG264" s="108"/>
      <c r="AH264" s="108"/>
      <c r="AI264" s="108"/>
      <c r="AJ264" s="108"/>
      <c r="AK264" s="108"/>
      <c r="AL264" s="108"/>
      <c r="AM264" s="108"/>
      <c r="AN264" s="108"/>
      <c r="AO264" s="108"/>
      <c r="AP264" s="108"/>
      <c r="AQ264" s="108"/>
      <c r="AR264" s="108"/>
      <c r="AS264" s="108"/>
      <c r="AT264" s="354">
        <f>20000000+5900000</f>
        <v>25900000</v>
      </c>
      <c r="AU264" s="108">
        <v>25770000</v>
      </c>
      <c r="AV264" s="108">
        <v>25768800</v>
      </c>
      <c r="AW264" s="366"/>
      <c r="AX264" s="108"/>
      <c r="AY264" s="108"/>
      <c r="AZ264" s="354"/>
      <c r="BA264" s="108"/>
      <c r="BB264" s="108"/>
      <c r="BC264" s="366"/>
      <c r="BD264" s="108"/>
      <c r="BE264" s="108"/>
      <c r="BF264" s="298">
        <f t="shared" si="16"/>
        <v>25900000</v>
      </c>
      <c r="BG264" s="298">
        <f t="shared" si="17"/>
        <v>25770000</v>
      </c>
      <c r="BH264" s="298">
        <f t="shared" si="18"/>
        <v>25768800</v>
      </c>
      <c r="BI264" s="386" t="s">
        <v>1480</v>
      </c>
      <c r="BK264" s="34"/>
      <c r="BL264" s="34"/>
    </row>
    <row r="265" spans="1:64" s="16" customFormat="1" ht="117" customHeight="1" x14ac:dyDescent="0.2">
      <c r="A265" s="29">
        <v>324</v>
      </c>
      <c r="B265" s="325" t="s">
        <v>1297</v>
      </c>
      <c r="C265" s="29">
        <v>1</v>
      </c>
      <c r="D265" s="325" t="s">
        <v>1201</v>
      </c>
      <c r="E265" s="29">
        <v>23</v>
      </c>
      <c r="F265" s="325" t="s">
        <v>986</v>
      </c>
      <c r="G265" s="29">
        <v>2302</v>
      </c>
      <c r="H265" s="325" t="s">
        <v>1140</v>
      </c>
      <c r="I265" s="29">
        <v>2302</v>
      </c>
      <c r="J265" s="30" t="s">
        <v>1243</v>
      </c>
      <c r="K265" s="297" t="s">
        <v>988</v>
      </c>
      <c r="L265" s="29">
        <v>2302022</v>
      </c>
      <c r="M265" s="30" t="s">
        <v>1014</v>
      </c>
      <c r="N265" s="29">
        <v>2302022</v>
      </c>
      <c r="O265" s="30" t="s">
        <v>1014</v>
      </c>
      <c r="P265" s="300">
        <v>230202200</v>
      </c>
      <c r="Q265" s="295" t="s">
        <v>1015</v>
      </c>
      <c r="R265" s="300">
        <v>230202200</v>
      </c>
      <c r="S265" s="295" t="s">
        <v>1015</v>
      </c>
      <c r="T265" s="299" t="s">
        <v>1470</v>
      </c>
      <c r="U265" s="311">
        <v>30</v>
      </c>
      <c r="V265" s="311"/>
      <c r="W265" s="328">
        <f t="shared" ref="W265:W299" si="19">U265+V265</f>
        <v>30</v>
      </c>
      <c r="X265" s="530">
        <v>7</v>
      </c>
      <c r="Y265" s="296">
        <v>2020003630039</v>
      </c>
      <c r="Z265" s="310" t="s">
        <v>1357</v>
      </c>
      <c r="AA265" s="297" t="s">
        <v>1013</v>
      </c>
      <c r="AB265" s="44"/>
      <c r="AC265" s="44"/>
      <c r="AD265" s="44"/>
      <c r="AE265" s="108"/>
      <c r="AF265" s="108"/>
      <c r="AG265" s="108"/>
      <c r="AH265" s="108"/>
      <c r="AI265" s="108"/>
      <c r="AJ265" s="108"/>
      <c r="AK265" s="108"/>
      <c r="AL265" s="108"/>
      <c r="AM265" s="108"/>
      <c r="AN265" s="108"/>
      <c r="AO265" s="108"/>
      <c r="AP265" s="108"/>
      <c r="AQ265" s="108"/>
      <c r="AR265" s="108"/>
      <c r="AS265" s="108"/>
      <c r="AT265" s="354">
        <f>36000000-5900000</f>
        <v>30100000</v>
      </c>
      <c r="AU265" s="108">
        <v>5770000</v>
      </c>
      <c r="AV265" s="108"/>
      <c r="AW265" s="366"/>
      <c r="AX265" s="108"/>
      <c r="AY265" s="108"/>
      <c r="AZ265" s="354"/>
      <c r="BA265" s="108"/>
      <c r="BB265" s="108"/>
      <c r="BC265" s="366"/>
      <c r="BD265" s="108"/>
      <c r="BE265" s="108"/>
      <c r="BF265" s="298">
        <f t="shared" si="16"/>
        <v>30100000</v>
      </c>
      <c r="BG265" s="298">
        <f t="shared" si="17"/>
        <v>5770000</v>
      </c>
      <c r="BH265" s="298">
        <f t="shared" si="18"/>
        <v>0</v>
      </c>
      <c r="BI265" s="386" t="s">
        <v>1480</v>
      </c>
      <c r="BK265" s="34"/>
      <c r="BL265" s="34"/>
    </row>
    <row r="266" spans="1:64" s="16" customFormat="1" ht="117" customHeight="1" x14ac:dyDescent="0.2">
      <c r="A266" s="29">
        <v>324</v>
      </c>
      <c r="B266" s="325" t="s">
        <v>1297</v>
      </c>
      <c r="C266" s="29">
        <v>1</v>
      </c>
      <c r="D266" s="325" t="s">
        <v>1201</v>
      </c>
      <c r="E266" s="29">
        <v>23</v>
      </c>
      <c r="F266" s="325" t="s">
        <v>986</v>
      </c>
      <c r="G266" s="29">
        <v>2302</v>
      </c>
      <c r="H266" s="325" t="s">
        <v>1140</v>
      </c>
      <c r="I266" s="29">
        <v>2302</v>
      </c>
      <c r="J266" s="30" t="s">
        <v>1243</v>
      </c>
      <c r="K266" s="297" t="s">
        <v>1000</v>
      </c>
      <c r="L266" s="29">
        <v>2302021</v>
      </c>
      <c r="M266" s="30" t="s">
        <v>1016</v>
      </c>
      <c r="N266" s="29">
        <v>2302021</v>
      </c>
      <c r="O266" s="30" t="s">
        <v>1016</v>
      </c>
      <c r="P266" s="300">
        <v>230202100</v>
      </c>
      <c r="Q266" s="295" t="s">
        <v>1017</v>
      </c>
      <c r="R266" s="300">
        <v>230202100</v>
      </c>
      <c r="S266" s="295" t="s">
        <v>1017</v>
      </c>
      <c r="T266" s="299" t="s">
        <v>1470</v>
      </c>
      <c r="U266" s="311">
        <v>10</v>
      </c>
      <c r="V266" s="311"/>
      <c r="W266" s="328">
        <f t="shared" si="19"/>
        <v>10</v>
      </c>
      <c r="X266" s="530">
        <v>10</v>
      </c>
      <c r="Y266" s="296">
        <v>2020003630039</v>
      </c>
      <c r="Z266" s="30" t="s">
        <v>1357</v>
      </c>
      <c r="AA266" s="297" t="s">
        <v>1013</v>
      </c>
      <c r="AB266" s="44"/>
      <c r="AC266" s="44"/>
      <c r="AD266" s="44"/>
      <c r="AE266" s="108"/>
      <c r="AF266" s="108"/>
      <c r="AG266" s="108"/>
      <c r="AH266" s="108"/>
      <c r="AI266" s="108"/>
      <c r="AJ266" s="108"/>
      <c r="AK266" s="108"/>
      <c r="AL266" s="108"/>
      <c r="AM266" s="108"/>
      <c r="AN266" s="108"/>
      <c r="AO266" s="108"/>
      <c r="AP266" s="108"/>
      <c r="AQ266" s="108"/>
      <c r="AR266" s="108"/>
      <c r="AS266" s="108"/>
      <c r="AT266" s="354">
        <f>50000000+70000000+70000000</f>
        <v>190000000</v>
      </c>
      <c r="AU266" s="108">
        <v>189180800</v>
      </c>
      <c r="AV266" s="108">
        <v>128235800</v>
      </c>
      <c r="AW266" s="366"/>
      <c r="AX266" s="108"/>
      <c r="AY266" s="108"/>
      <c r="AZ266" s="354"/>
      <c r="BA266" s="108"/>
      <c r="BB266" s="108"/>
      <c r="BC266" s="366"/>
      <c r="BD266" s="108"/>
      <c r="BE266" s="108"/>
      <c r="BF266" s="298">
        <f t="shared" si="16"/>
        <v>190000000</v>
      </c>
      <c r="BG266" s="298">
        <f t="shared" si="17"/>
        <v>189180800</v>
      </c>
      <c r="BH266" s="298">
        <f t="shared" si="18"/>
        <v>128235800</v>
      </c>
      <c r="BI266" s="386" t="s">
        <v>1480</v>
      </c>
      <c r="BK266" s="34"/>
      <c r="BL266" s="34"/>
    </row>
    <row r="267" spans="1:64" s="16" customFormat="1" ht="117" customHeight="1" x14ac:dyDescent="0.2">
      <c r="A267" s="29">
        <v>324</v>
      </c>
      <c r="B267" s="325" t="s">
        <v>1297</v>
      </c>
      <c r="C267" s="29">
        <v>1</v>
      </c>
      <c r="D267" s="325" t="s">
        <v>1201</v>
      </c>
      <c r="E267" s="29">
        <v>23</v>
      </c>
      <c r="F267" s="325" t="s">
        <v>986</v>
      </c>
      <c r="G267" s="29">
        <v>2302</v>
      </c>
      <c r="H267" s="325" t="s">
        <v>1140</v>
      </c>
      <c r="I267" s="29">
        <v>2302</v>
      </c>
      <c r="J267" s="30" t="s">
        <v>1243</v>
      </c>
      <c r="K267" s="297" t="s">
        <v>1018</v>
      </c>
      <c r="L267" s="29">
        <v>2302058</v>
      </c>
      <c r="M267" s="30" t="s">
        <v>1019</v>
      </c>
      <c r="N267" s="29">
        <v>2302058</v>
      </c>
      <c r="O267" s="30" t="s">
        <v>1019</v>
      </c>
      <c r="P267" s="300">
        <v>230205800</v>
      </c>
      <c r="Q267" s="295" t="s">
        <v>1020</v>
      </c>
      <c r="R267" s="300">
        <v>230205800</v>
      </c>
      <c r="S267" s="295" t="s">
        <v>1020</v>
      </c>
      <c r="T267" s="299" t="s">
        <v>1470</v>
      </c>
      <c r="U267" s="311">
        <v>300</v>
      </c>
      <c r="V267" s="311"/>
      <c r="W267" s="328">
        <f t="shared" si="19"/>
        <v>300</v>
      </c>
      <c r="X267" s="530">
        <v>259</v>
      </c>
      <c r="Y267" s="296">
        <v>2020003630039</v>
      </c>
      <c r="Z267" s="310" t="s">
        <v>1357</v>
      </c>
      <c r="AA267" s="297" t="s">
        <v>1013</v>
      </c>
      <c r="AB267" s="44"/>
      <c r="AC267" s="44"/>
      <c r="AD267" s="44"/>
      <c r="AE267" s="108"/>
      <c r="AF267" s="108"/>
      <c r="AG267" s="108"/>
      <c r="AH267" s="108"/>
      <c r="AI267" s="108"/>
      <c r="AJ267" s="108"/>
      <c r="AK267" s="108"/>
      <c r="AL267" s="108"/>
      <c r="AM267" s="108"/>
      <c r="AN267" s="108"/>
      <c r="AO267" s="108"/>
      <c r="AP267" s="108"/>
      <c r="AQ267" s="108"/>
      <c r="AR267" s="108"/>
      <c r="AS267" s="108"/>
      <c r="AT267" s="354">
        <v>20000000</v>
      </c>
      <c r="AU267" s="108">
        <v>17274200</v>
      </c>
      <c r="AV267" s="108">
        <v>17274200</v>
      </c>
      <c r="AW267" s="366"/>
      <c r="AX267" s="108"/>
      <c r="AY267" s="108"/>
      <c r="AZ267" s="354"/>
      <c r="BA267" s="108"/>
      <c r="BB267" s="108"/>
      <c r="BC267" s="366"/>
      <c r="BD267" s="108"/>
      <c r="BE267" s="108"/>
      <c r="BF267" s="298">
        <f t="shared" si="16"/>
        <v>20000000</v>
      </c>
      <c r="BG267" s="298">
        <f t="shared" si="17"/>
        <v>17274200</v>
      </c>
      <c r="BH267" s="298">
        <f t="shared" si="18"/>
        <v>17274200</v>
      </c>
      <c r="BI267" s="386" t="s">
        <v>1480</v>
      </c>
      <c r="BK267" s="34"/>
      <c r="BL267" s="34"/>
    </row>
    <row r="268" spans="1:64" s="16" customFormat="1" ht="117" customHeight="1" x14ac:dyDescent="0.2">
      <c r="A268" s="29">
        <v>324</v>
      </c>
      <c r="B268" s="325" t="s">
        <v>1297</v>
      </c>
      <c r="C268" s="29">
        <v>1</v>
      </c>
      <c r="D268" s="325" t="s">
        <v>1201</v>
      </c>
      <c r="E268" s="29">
        <v>23</v>
      </c>
      <c r="F268" s="325" t="s">
        <v>986</v>
      </c>
      <c r="G268" s="29">
        <v>2302</v>
      </c>
      <c r="H268" s="325" t="s">
        <v>1140</v>
      </c>
      <c r="I268" s="29">
        <v>2302</v>
      </c>
      <c r="J268" s="30" t="s">
        <v>1243</v>
      </c>
      <c r="K268" s="297" t="s">
        <v>1018</v>
      </c>
      <c r="L268" s="29">
        <v>2302068</v>
      </c>
      <c r="M268" s="30" t="s">
        <v>1021</v>
      </c>
      <c r="N268" s="29">
        <v>2302068</v>
      </c>
      <c r="O268" s="30" t="s">
        <v>1021</v>
      </c>
      <c r="P268" s="300">
        <v>230206800</v>
      </c>
      <c r="Q268" s="295" t="s">
        <v>1022</v>
      </c>
      <c r="R268" s="300">
        <v>230206800</v>
      </c>
      <c r="S268" s="295" t="s">
        <v>1022</v>
      </c>
      <c r="T268" s="299" t="s">
        <v>1470</v>
      </c>
      <c r="U268" s="311">
        <v>60</v>
      </c>
      <c r="V268" s="311"/>
      <c r="W268" s="328">
        <f t="shared" si="19"/>
        <v>60</v>
      </c>
      <c r="X268" s="530">
        <v>60</v>
      </c>
      <c r="Y268" s="296">
        <v>2020003630039</v>
      </c>
      <c r="Z268" s="310" t="s">
        <v>1357</v>
      </c>
      <c r="AA268" s="297" t="s">
        <v>1013</v>
      </c>
      <c r="AB268" s="44"/>
      <c r="AC268" s="44"/>
      <c r="AD268" s="44"/>
      <c r="AE268" s="108"/>
      <c r="AF268" s="108"/>
      <c r="AG268" s="108"/>
      <c r="AH268" s="108"/>
      <c r="AI268" s="108"/>
      <c r="AJ268" s="108"/>
      <c r="AK268" s="108"/>
      <c r="AL268" s="108"/>
      <c r="AM268" s="108"/>
      <c r="AN268" s="108"/>
      <c r="AO268" s="108"/>
      <c r="AP268" s="108"/>
      <c r="AQ268" s="108"/>
      <c r="AR268" s="108"/>
      <c r="AS268" s="108"/>
      <c r="AT268" s="354">
        <v>20000000</v>
      </c>
      <c r="AU268" s="108">
        <v>20000000</v>
      </c>
      <c r="AV268" s="108">
        <v>20000000</v>
      </c>
      <c r="AW268" s="366"/>
      <c r="AX268" s="108"/>
      <c r="AY268" s="108"/>
      <c r="AZ268" s="354"/>
      <c r="BA268" s="108"/>
      <c r="BB268" s="108"/>
      <c r="BC268" s="366"/>
      <c r="BD268" s="108"/>
      <c r="BE268" s="108"/>
      <c r="BF268" s="298">
        <f t="shared" si="16"/>
        <v>20000000</v>
      </c>
      <c r="BG268" s="298">
        <f t="shared" si="17"/>
        <v>20000000</v>
      </c>
      <c r="BH268" s="298">
        <f t="shared" si="18"/>
        <v>20000000</v>
      </c>
      <c r="BI268" s="386" t="s">
        <v>1480</v>
      </c>
      <c r="BK268" s="34"/>
      <c r="BL268" s="34"/>
    </row>
    <row r="269" spans="1:64" s="16" customFormat="1" ht="117" customHeight="1" x14ac:dyDescent="0.2">
      <c r="A269" s="29">
        <v>324</v>
      </c>
      <c r="B269" s="325" t="s">
        <v>1297</v>
      </c>
      <c r="C269" s="29">
        <v>2</v>
      </c>
      <c r="D269" s="325" t="s">
        <v>1197</v>
      </c>
      <c r="E269" s="29">
        <v>39</v>
      </c>
      <c r="F269" s="325" t="s">
        <v>1138</v>
      </c>
      <c r="G269" s="29" t="s">
        <v>1023</v>
      </c>
      <c r="H269" s="325" t="s">
        <v>1024</v>
      </c>
      <c r="I269" s="29" t="s">
        <v>1023</v>
      </c>
      <c r="J269" s="30" t="s">
        <v>1265</v>
      </c>
      <c r="K269" s="297" t="s">
        <v>1025</v>
      </c>
      <c r="L269" s="29">
        <v>3903005</v>
      </c>
      <c r="M269" s="30" t="s">
        <v>1026</v>
      </c>
      <c r="N269" s="348">
        <v>3903005</v>
      </c>
      <c r="O269" s="30" t="s">
        <v>1026</v>
      </c>
      <c r="P269" s="287" t="s">
        <v>1027</v>
      </c>
      <c r="Q269" s="295" t="s">
        <v>1028</v>
      </c>
      <c r="R269" s="300">
        <v>390300501</v>
      </c>
      <c r="S269" s="295" t="s">
        <v>1028</v>
      </c>
      <c r="T269" s="299" t="s">
        <v>1469</v>
      </c>
      <c r="U269" s="311">
        <v>1</v>
      </c>
      <c r="V269" s="311"/>
      <c r="W269" s="328">
        <f t="shared" si="19"/>
        <v>1</v>
      </c>
      <c r="X269" s="530">
        <v>1</v>
      </c>
      <c r="Y269" s="296">
        <v>2020003630140</v>
      </c>
      <c r="Z269" s="30" t="s">
        <v>1358</v>
      </c>
      <c r="AA269" s="297" t="s">
        <v>1030</v>
      </c>
      <c r="AB269" s="44"/>
      <c r="AC269" s="44"/>
      <c r="AD269" s="44"/>
      <c r="AE269" s="108"/>
      <c r="AF269" s="108"/>
      <c r="AG269" s="108"/>
      <c r="AH269" s="108"/>
      <c r="AI269" s="108"/>
      <c r="AJ269" s="108"/>
      <c r="AK269" s="108"/>
      <c r="AL269" s="108"/>
      <c r="AM269" s="108"/>
      <c r="AN269" s="108"/>
      <c r="AO269" s="108"/>
      <c r="AP269" s="108"/>
      <c r="AQ269" s="108"/>
      <c r="AR269" s="108"/>
      <c r="AS269" s="108"/>
      <c r="AT269" s="354">
        <v>20000000</v>
      </c>
      <c r="AU269" s="108">
        <v>20000000</v>
      </c>
      <c r="AV269" s="108">
        <f>AU269</f>
        <v>20000000</v>
      </c>
      <c r="AW269" s="366"/>
      <c r="AX269" s="108"/>
      <c r="AY269" s="108"/>
      <c r="AZ269" s="354"/>
      <c r="BA269" s="108"/>
      <c r="BB269" s="108"/>
      <c r="BC269" s="366"/>
      <c r="BD269" s="108"/>
      <c r="BE269" s="108"/>
      <c r="BF269" s="298">
        <f t="shared" si="16"/>
        <v>20000000</v>
      </c>
      <c r="BG269" s="298">
        <f t="shared" si="17"/>
        <v>20000000</v>
      </c>
      <c r="BH269" s="298">
        <f t="shared" si="18"/>
        <v>20000000</v>
      </c>
      <c r="BI269" s="386" t="s">
        <v>1480</v>
      </c>
      <c r="BK269" s="34"/>
      <c r="BL269" s="34"/>
    </row>
    <row r="270" spans="1:64" s="16" customFormat="1" ht="117" customHeight="1" x14ac:dyDescent="0.2">
      <c r="A270" s="29">
        <v>324</v>
      </c>
      <c r="B270" s="325" t="s">
        <v>1297</v>
      </c>
      <c r="C270" s="29">
        <v>2</v>
      </c>
      <c r="D270" s="325" t="s">
        <v>1197</v>
      </c>
      <c r="E270" s="29">
        <v>39</v>
      </c>
      <c r="F270" s="325" t="s">
        <v>1138</v>
      </c>
      <c r="G270" s="29" t="s">
        <v>1023</v>
      </c>
      <c r="H270" s="325" t="s">
        <v>1024</v>
      </c>
      <c r="I270" s="29" t="s">
        <v>1023</v>
      </c>
      <c r="J270" s="30" t="s">
        <v>1265</v>
      </c>
      <c r="K270" s="297" t="s">
        <v>1025</v>
      </c>
      <c r="L270" s="29">
        <v>3903005</v>
      </c>
      <c r="M270" s="30" t="s">
        <v>1026</v>
      </c>
      <c r="N270" s="348">
        <v>3903005</v>
      </c>
      <c r="O270" s="30" t="s">
        <v>1026</v>
      </c>
      <c r="P270" s="287" t="s">
        <v>1031</v>
      </c>
      <c r="Q270" s="295" t="s">
        <v>1032</v>
      </c>
      <c r="R270" s="287">
        <v>390300507</v>
      </c>
      <c r="S270" s="295" t="s">
        <v>1032</v>
      </c>
      <c r="T270" s="299" t="s">
        <v>1470</v>
      </c>
      <c r="U270" s="311">
        <v>70</v>
      </c>
      <c r="V270" s="311"/>
      <c r="W270" s="328">
        <f t="shared" si="19"/>
        <v>70</v>
      </c>
      <c r="X270" s="530">
        <v>70</v>
      </c>
      <c r="Y270" s="296">
        <v>2020003630140</v>
      </c>
      <c r="Z270" s="310" t="s">
        <v>1358</v>
      </c>
      <c r="AA270" s="297" t="s">
        <v>1030</v>
      </c>
      <c r="AB270" s="44"/>
      <c r="AC270" s="44"/>
      <c r="AD270" s="44"/>
      <c r="AE270" s="108"/>
      <c r="AF270" s="108"/>
      <c r="AG270" s="108"/>
      <c r="AH270" s="108"/>
      <c r="AI270" s="108"/>
      <c r="AJ270" s="108"/>
      <c r="AK270" s="108"/>
      <c r="AL270" s="108"/>
      <c r="AM270" s="108"/>
      <c r="AN270" s="108"/>
      <c r="AO270" s="108"/>
      <c r="AP270" s="108"/>
      <c r="AQ270" s="108"/>
      <c r="AR270" s="108"/>
      <c r="AS270" s="108"/>
      <c r="AT270" s="354">
        <f>20000000+30000000</f>
        <v>50000000</v>
      </c>
      <c r="AU270" s="108">
        <v>48550000</v>
      </c>
      <c r="AV270" s="108">
        <v>48550000</v>
      </c>
      <c r="AW270" s="366"/>
      <c r="AX270" s="108"/>
      <c r="AY270" s="108"/>
      <c r="AZ270" s="354"/>
      <c r="BA270" s="108"/>
      <c r="BB270" s="108"/>
      <c r="BC270" s="366"/>
      <c r="BD270" s="108"/>
      <c r="BE270" s="108"/>
      <c r="BF270" s="298">
        <f t="shared" si="16"/>
        <v>50000000</v>
      </c>
      <c r="BG270" s="298">
        <f t="shared" si="17"/>
        <v>48550000</v>
      </c>
      <c r="BH270" s="298">
        <f t="shared" si="18"/>
        <v>48550000</v>
      </c>
      <c r="BI270" s="386" t="s">
        <v>1480</v>
      </c>
      <c r="BK270" s="34"/>
      <c r="BL270" s="34"/>
    </row>
    <row r="271" spans="1:64" s="16" customFormat="1" ht="117" customHeight="1" x14ac:dyDescent="0.2">
      <c r="A271" s="29">
        <v>324</v>
      </c>
      <c r="B271" s="325" t="s">
        <v>1297</v>
      </c>
      <c r="C271" s="29">
        <v>2</v>
      </c>
      <c r="D271" s="325" t="s">
        <v>1197</v>
      </c>
      <c r="E271" s="29">
        <v>39</v>
      </c>
      <c r="F271" s="325" t="s">
        <v>1138</v>
      </c>
      <c r="G271" s="29" t="s">
        <v>1023</v>
      </c>
      <c r="H271" s="325" t="s">
        <v>1024</v>
      </c>
      <c r="I271" s="29" t="s">
        <v>1023</v>
      </c>
      <c r="J271" s="30" t="s">
        <v>1265</v>
      </c>
      <c r="K271" s="297" t="s">
        <v>1025</v>
      </c>
      <c r="L271" s="29">
        <v>3903005</v>
      </c>
      <c r="M271" s="30" t="s">
        <v>1026</v>
      </c>
      <c r="N271" s="348">
        <v>3903005</v>
      </c>
      <c r="O271" s="30" t="s">
        <v>1026</v>
      </c>
      <c r="P271" s="287" t="s">
        <v>1033</v>
      </c>
      <c r="Q271" s="295" t="s">
        <v>1034</v>
      </c>
      <c r="R271" s="287">
        <v>390300511</v>
      </c>
      <c r="S271" s="295" t="s">
        <v>1034</v>
      </c>
      <c r="T271" s="299" t="s">
        <v>1470</v>
      </c>
      <c r="U271" s="311">
        <v>70</v>
      </c>
      <c r="V271" s="311"/>
      <c r="W271" s="328">
        <f t="shared" si="19"/>
        <v>70</v>
      </c>
      <c r="X271" s="530">
        <v>70</v>
      </c>
      <c r="Y271" s="296">
        <v>2020003630140</v>
      </c>
      <c r="Z271" s="310" t="s">
        <v>1358</v>
      </c>
      <c r="AA271" s="297" t="s">
        <v>1030</v>
      </c>
      <c r="AB271" s="44"/>
      <c r="AC271" s="44"/>
      <c r="AD271" s="44"/>
      <c r="AE271" s="108"/>
      <c r="AF271" s="108"/>
      <c r="AG271" s="108"/>
      <c r="AH271" s="108"/>
      <c r="AI271" s="108"/>
      <c r="AJ271" s="108"/>
      <c r="AK271" s="108"/>
      <c r="AL271" s="108"/>
      <c r="AM271" s="108"/>
      <c r="AN271" s="108"/>
      <c r="AO271" s="108"/>
      <c r="AP271" s="108"/>
      <c r="AQ271" s="108"/>
      <c r="AR271" s="108"/>
      <c r="AS271" s="108"/>
      <c r="AT271" s="354">
        <v>20000000</v>
      </c>
      <c r="AU271" s="108">
        <v>18000000</v>
      </c>
      <c r="AV271" s="108">
        <v>18000000</v>
      </c>
      <c r="AW271" s="366"/>
      <c r="AX271" s="108"/>
      <c r="AY271" s="108"/>
      <c r="AZ271" s="354"/>
      <c r="BA271" s="108"/>
      <c r="BB271" s="108"/>
      <c r="BC271" s="366"/>
      <c r="BD271" s="108"/>
      <c r="BE271" s="108"/>
      <c r="BF271" s="298">
        <f t="shared" si="16"/>
        <v>20000000</v>
      </c>
      <c r="BG271" s="298">
        <f t="shared" si="17"/>
        <v>18000000</v>
      </c>
      <c r="BH271" s="298">
        <f t="shared" si="18"/>
        <v>18000000</v>
      </c>
      <c r="BI271" s="386" t="s">
        <v>1480</v>
      </c>
      <c r="BK271" s="34"/>
      <c r="BL271" s="34"/>
    </row>
    <row r="272" spans="1:64" s="16" customFormat="1" ht="117" customHeight="1" x14ac:dyDescent="0.2">
      <c r="A272" s="29">
        <v>324</v>
      </c>
      <c r="B272" s="325" t="s">
        <v>1297</v>
      </c>
      <c r="C272" s="29">
        <v>2</v>
      </c>
      <c r="D272" s="325" t="s">
        <v>1197</v>
      </c>
      <c r="E272" s="29">
        <v>39</v>
      </c>
      <c r="F272" s="325" t="s">
        <v>1138</v>
      </c>
      <c r="G272" s="29">
        <v>3904</v>
      </c>
      <c r="H272" s="325" t="s">
        <v>642</v>
      </c>
      <c r="I272" s="29">
        <v>3904</v>
      </c>
      <c r="J272" s="30" t="s">
        <v>1263</v>
      </c>
      <c r="K272" s="297" t="s">
        <v>1035</v>
      </c>
      <c r="L272" s="29">
        <v>3904018</v>
      </c>
      <c r="M272" s="30" t="s">
        <v>1036</v>
      </c>
      <c r="N272" s="29">
        <v>3904018</v>
      </c>
      <c r="O272" s="30" t="s">
        <v>1036</v>
      </c>
      <c r="P272" s="287">
        <v>390401809</v>
      </c>
      <c r="Q272" s="295" t="s">
        <v>1037</v>
      </c>
      <c r="R272" s="287">
        <v>390401809</v>
      </c>
      <c r="S272" s="295" t="s">
        <v>1037</v>
      </c>
      <c r="T272" s="299" t="s">
        <v>1470</v>
      </c>
      <c r="U272" s="311">
        <v>6</v>
      </c>
      <c r="V272" s="311">
        <v>7</v>
      </c>
      <c r="W272" s="328">
        <f t="shared" si="19"/>
        <v>13</v>
      </c>
      <c r="X272" s="530">
        <v>13</v>
      </c>
      <c r="Y272" s="296">
        <v>2020003630040</v>
      </c>
      <c r="Z272" s="310" t="s">
        <v>1359</v>
      </c>
      <c r="AA272" s="297" t="s">
        <v>1039</v>
      </c>
      <c r="AB272" s="44"/>
      <c r="AC272" s="44"/>
      <c r="AD272" s="44"/>
      <c r="AE272" s="108"/>
      <c r="AF272" s="108"/>
      <c r="AG272" s="108"/>
      <c r="AH272" s="108"/>
      <c r="AI272" s="108"/>
      <c r="AJ272" s="108"/>
      <c r="AK272" s="108"/>
      <c r="AL272" s="108"/>
      <c r="AM272" s="108"/>
      <c r="AN272" s="108"/>
      <c r="AO272" s="108"/>
      <c r="AP272" s="108"/>
      <c r="AQ272" s="108"/>
      <c r="AR272" s="108"/>
      <c r="AS272" s="108"/>
      <c r="AT272" s="354">
        <f>18000000+10000000</f>
        <v>28000000</v>
      </c>
      <c r="AU272" s="108">
        <v>26678380.960000001</v>
      </c>
      <c r="AV272" s="108">
        <v>18023380.960000001</v>
      </c>
      <c r="AW272" s="366"/>
      <c r="AX272" s="108"/>
      <c r="AY272" s="108"/>
      <c r="AZ272" s="354"/>
      <c r="BA272" s="108"/>
      <c r="BB272" s="108"/>
      <c r="BC272" s="366"/>
      <c r="BD272" s="108"/>
      <c r="BE272" s="108"/>
      <c r="BF272" s="298">
        <f t="shared" si="16"/>
        <v>28000000</v>
      </c>
      <c r="BG272" s="298">
        <f t="shared" si="17"/>
        <v>26678380.960000001</v>
      </c>
      <c r="BH272" s="298">
        <f t="shared" si="18"/>
        <v>18023380.960000001</v>
      </c>
      <c r="BI272" s="386" t="s">
        <v>1480</v>
      </c>
      <c r="BK272" s="34"/>
      <c r="BL272" s="34"/>
    </row>
    <row r="273" spans="1:64" s="16" customFormat="1" ht="117" customHeight="1" x14ac:dyDescent="0.2">
      <c r="A273" s="29">
        <v>324</v>
      </c>
      <c r="B273" s="325" t="s">
        <v>1297</v>
      </c>
      <c r="C273" s="29">
        <v>4</v>
      </c>
      <c r="D273" s="325" t="s">
        <v>1206</v>
      </c>
      <c r="E273" s="29">
        <v>23</v>
      </c>
      <c r="F273" s="325" t="s">
        <v>986</v>
      </c>
      <c r="G273" s="29">
        <v>2302</v>
      </c>
      <c r="H273" s="325" t="s">
        <v>1140</v>
      </c>
      <c r="I273" s="29">
        <v>2302</v>
      </c>
      <c r="J273" s="30" t="s">
        <v>1243</v>
      </c>
      <c r="K273" s="297" t="s">
        <v>1040</v>
      </c>
      <c r="L273" s="29">
        <v>2302003</v>
      </c>
      <c r="M273" s="30" t="s">
        <v>1041</v>
      </c>
      <c r="N273" s="29">
        <v>2302003</v>
      </c>
      <c r="O273" s="30" t="s">
        <v>1041</v>
      </c>
      <c r="P273" s="287">
        <v>230200300</v>
      </c>
      <c r="Q273" s="295" t="s">
        <v>1042</v>
      </c>
      <c r="R273" s="287">
        <v>230200300</v>
      </c>
      <c r="S273" s="295" t="s">
        <v>1042</v>
      </c>
      <c r="T273" s="299" t="s">
        <v>1470</v>
      </c>
      <c r="U273" s="311">
        <v>3</v>
      </c>
      <c r="V273" s="311"/>
      <c r="W273" s="328">
        <f t="shared" si="19"/>
        <v>3</v>
      </c>
      <c r="X273" s="530">
        <v>1</v>
      </c>
      <c r="Y273" s="296">
        <v>2020003630141</v>
      </c>
      <c r="Z273" s="310" t="s">
        <v>1360</v>
      </c>
      <c r="AA273" s="297" t="s">
        <v>1044</v>
      </c>
      <c r="AB273" s="44"/>
      <c r="AC273" s="44"/>
      <c r="AD273" s="44"/>
      <c r="AE273" s="108"/>
      <c r="AF273" s="108"/>
      <c r="AG273" s="108"/>
      <c r="AH273" s="108"/>
      <c r="AI273" s="108"/>
      <c r="AJ273" s="108"/>
      <c r="AK273" s="108"/>
      <c r="AL273" s="108"/>
      <c r="AM273" s="108"/>
      <c r="AN273" s="108"/>
      <c r="AO273" s="108"/>
      <c r="AP273" s="108"/>
      <c r="AQ273" s="108"/>
      <c r="AR273" s="108"/>
      <c r="AS273" s="108"/>
      <c r="AT273" s="354">
        <f>120000000+40000000+33125000-17000000</f>
        <v>176125000</v>
      </c>
      <c r="AU273" s="108">
        <v>169555000</v>
      </c>
      <c r="AV273" s="108">
        <v>41458000</v>
      </c>
      <c r="AW273" s="366"/>
      <c r="AX273" s="108"/>
      <c r="AY273" s="108"/>
      <c r="AZ273" s="354"/>
      <c r="BA273" s="108"/>
      <c r="BB273" s="108"/>
      <c r="BC273" s="366"/>
      <c r="BD273" s="108"/>
      <c r="BE273" s="108"/>
      <c r="BF273" s="298">
        <f t="shared" si="16"/>
        <v>176125000</v>
      </c>
      <c r="BG273" s="298">
        <f t="shared" si="17"/>
        <v>169555000</v>
      </c>
      <c r="BH273" s="298">
        <f t="shared" si="18"/>
        <v>41458000</v>
      </c>
      <c r="BI273" s="386" t="s">
        <v>1480</v>
      </c>
      <c r="BK273" s="34"/>
      <c r="BL273" s="34"/>
    </row>
    <row r="274" spans="1:64" s="16" customFormat="1" ht="117" customHeight="1" x14ac:dyDescent="0.2">
      <c r="A274" s="29">
        <v>324</v>
      </c>
      <c r="B274" s="325" t="s">
        <v>1297</v>
      </c>
      <c r="C274" s="29">
        <v>4</v>
      </c>
      <c r="D274" s="325" t="s">
        <v>1206</v>
      </c>
      <c r="E274" s="29">
        <v>23</v>
      </c>
      <c r="F274" s="325" t="s">
        <v>986</v>
      </c>
      <c r="G274" s="29">
        <v>2302</v>
      </c>
      <c r="H274" s="325" t="s">
        <v>1140</v>
      </c>
      <c r="I274" s="29">
        <v>2302</v>
      </c>
      <c r="J274" s="30" t="s">
        <v>1243</v>
      </c>
      <c r="K274" s="297" t="s">
        <v>1040</v>
      </c>
      <c r="L274" s="29">
        <v>2302033</v>
      </c>
      <c r="M274" s="30" t="s">
        <v>1045</v>
      </c>
      <c r="N274" s="29">
        <v>2302033</v>
      </c>
      <c r="O274" s="30" t="s">
        <v>1045</v>
      </c>
      <c r="P274" s="287">
        <v>230203300</v>
      </c>
      <c r="Q274" s="295" t="s">
        <v>1046</v>
      </c>
      <c r="R274" s="287">
        <v>230203300</v>
      </c>
      <c r="S274" s="295" t="s">
        <v>1046</v>
      </c>
      <c r="T274" s="299" t="s">
        <v>1469</v>
      </c>
      <c r="U274" s="311">
        <v>100</v>
      </c>
      <c r="V274" s="311"/>
      <c r="W274" s="328">
        <f t="shared" si="19"/>
        <v>100</v>
      </c>
      <c r="X274" s="530">
        <v>90</v>
      </c>
      <c r="Y274" s="296">
        <v>2020003630141</v>
      </c>
      <c r="Z274" s="310" t="s">
        <v>1360</v>
      </c>
      <c r="AA274" s="297" t="s">
        <v>1044</v>
      </c>
      <c r="AB274" s="44"/>
      <c r="AC274" s="44"/>
      <c r="AD274" s="44"/>
      <c r="AE274" s="108"/>
      <c r="AF274" s="108"/>
      <c r="AG274" s="108"/>
      <c r="AH274" s="108"/>
      <c r="AI274" s="108"/>
      <c r="AJ274" s="108"/>
      <c r="AK274" s="108"/>
      <c r="AL274" s="108"/>
      <c r="AM274" s="108"/>
      <c r="AN274" s="108"/>
      <c r="AO274" s="108"/>
      <c r="AP274" s="108"/>
      <c r="AQ274" s="108"/>
      <c r="AR274" s="108"/>
      <c r="AS274" s="108"/>
      <c r="AT274" s="354">
        <f>50000000+17310000</f>
        <v>67310000</v>
      </c>
      <c r="AU274" s="108">
        <v>66790000</v>
      </c>
      <c r="AV274" s="108">
        <v>59620333</v>
      </c>
      <c r="AW274" s="366"/>
      <c r="AX274" s="108"/>
      <c r="AY274" s="108"/>
      <c r="AZ274" s="354"/>
      <c r="BA274" s="108"/>
      <c r="BB274" s="108"/>
      <c r="BC274" s="366"/>
      <c r="BD274" s="108"/>
      <c r="BE274" s="108"/>
      <c r="BF274" s="298">
        <f t="shared" si="16"/>
        <v>67310000</v>
      </c>
      <c r="BG274" s="298">
        <f t="shared" si="17"/>
        <v>66790000</v>
      </c>
      <c r="BH274" s="298">
        <f t="shared" si="18"/>
        <v>59620333</v>
      </c>
      <c r="BI274" s="386" t="s">
        <v>1480</v>
      </c>
      <c r="BK274" s="34"/>
      <c r="BL274" s="34"/>
    </row>
    <row r="275" spans="1:64" s="16" customFormat="1" ht="117" customHeight="1" x14ac:dyDescent="0.2">
      <c r="A275" s="29">
        <v>324</v>
      </c>
      <c r="B275" s="325" t="s">
        <v>1297</v>
      </c>
      <c r="C275" s="29">
        <v>4</v>
      </c>
      <c r="D275" s="325" t="s">
        <v>1206</v>
      </c>
      <c r="E275" s="29">
        <v>23</v>
      </c>
      <c r="F275" s="325" t="s">
        <v>986</v>
      </c>
      <c r="G275" s="29">
        <v>2302</v>
      </c>
      <c r="H275" s="325" t="s">
        <v>1140</v>
      </c>
      <c r="I275" s="29">
        <v>2302</v>
      </c>
      <c r="J275" s="30" t="s">
        <v>1243</v>
      </c>
      <c r="K275" s="297" t="s">
        <v>1040</v>
      </c>
      <c r="L275" s="29">
        <v>2302066</v>
      </c>
      <c r="M275" s="30" t="s">
        <v>1047</v>
      </c>
      <c r="N275" s="29">
        <v>2302066</v>
      </c>
      <c r="O275" s="30" t="s">
        <v>1047</v>
      </c>
      <c r="P275" s="287">
        <v>230206600</v>
      </c>
      <c r="Q275" s="295" t="s">
        <v>1048</v>
      </c>
      <c r="R275" s="287">
        <v>230206600</v>
      </c>
      <c r="S275" s="295" t="s">
        <v>1048</v>
      </c>
      <c r="T275" s="299" t="s">
        <v>1470</v>
      </c>
      <c r="U275" s="311">
        <v>60</v>
      </c>
      <c r="V275" s="311"/>
      <c r="W275" s="328">
        <f t="shared" si="19"/>
        <v>60</v>
      </c>
      <c r="X275" s="530">
        <v>60</v>
      </c>
      <c r="Y275" s="296">
        <v>2020003630141</v>
      </c>
      <c r="Z275" s="310" t="s">
        <v>1360</v>
      </c>
      <c r="AA275" s="297" t="s">
        <v>1044</v>
      </c>
      <c r="AB275" s="44"/>
      <c r="AC275" s="44"/>
      <c r="AD275" s="44"/>
      <c r="AE275" s="108"/>
      <c r="AF275" s="108"/>
      <c r="AG275" s="108"/>
      <c r="AH275" s="108"/>
      <c r="AI275" s="108"/>
      <c r="AJ275" s="108"/>
      <c r="AK275" s="108"/>
      <c r="AL275" s="108"/>
      <c r="AM275" s="108"/>
      <c r="AN275" s="108"/>
      <c r="AO275" s="108"/>
      <c r="AP275" s="108"/>
      <c r="AQ275" s="108"/>
      <c r="AR275" s="108"/>
      <c r="AS275" s="108"/>
      <c r="AT275" s="354">
        <f>60000000+19790000-12135000</f>
        <v>67655000</v>
      </c>
      <c r="AU275" s="108">
        <v>67032500</v>
      </c>
      <c r="AV275" s="108">
        <v>32476333</v>
      </c>
      <c r="AW275" s="366"/>
      <c r="AX275" s="108"/>
      <c r="AY275" s="108"/>
      <c r="AZ275" s="354"/>
      <c r="BA275" s="108"/>
      <c r="BB275" s="108"/>
      <c r="BC275" s="366"/>
      <c r="BD275" s="108"/>
      <c r="BE275" s="108"/>
      <c r="BF275" s="298">
        <f t="shared" si="16"/>
        <v>67655000</v>
      </c>
      <c r="BG275" s="298">
        <f t="shared" si="17"/>
        <v>67032500</v>
      </c>
      <c r="BH275" s="298">
        <f t="shared" si="18"/>
        <v>32476333</v>
      </c>
      <c r="BI275" s="386" t="s">
        <v>1480</v>
      </c>
      <c r="BK275" s="34"/>
      <c r="BL275" s="34"/>
    </row>
    <row r="276" spans="1:64" s="16" customFormat="1" ht="117" customHeight="1" x14ac:dyDescent="0.2">
      <c r="A276" s="29">
        <v>324</v>
      </c>
      <c r="B276" s="325" t="s">
        <v>1297</v>
      </c>
      <c r="C276" s="29">
        <v>4</v>
      </c>
      <c r="D276" s="325" t="s">
        <v>1206</v>
      </c>
      <c r="E276" s="29">
        <v>23</v>
      </c>
      <c r="F276" s="325" t="s">
        <v>986</v>
      </c>
      <c r="G276" s="29">
        <v>2302</v>
      </c>
      <c r="H276" s="325" t="s">
        <v>1140</v>
      </c>
      <c r="I276" s="29">
        <v>2302</v>
      </c>
      <c r="J276" s="30" t="s">
        <v>1243</v>
      </c>
      <c r="K276" s="297" t="s">
        <v>1040</v>
      </c>
      <c r="L276" s="29">
        <v>2302004</v>
      </c>
      <c r="M276" s="30" t="s">
        <v>1049</v>
      </c>
      <c r="N276" s="29">
        <v>2302004</v>
      </c>
      <c r="O276" s="30" t="s">
        <v>1049</v>
      </c>
      <c r="P276" s="287">
        <v>230200403</v>
      </c>
      <c r="Q276" s="295" t="s">
        <v>1050</v>
      </c>
      <c r="R276" s="287">
        <v>230200403</v>
      </c>
      <c r="S276" s="295" t="s">
        <v>1050</v>
      </c>
      <c r="T276" s="299" t="s">
        <v>1469</v>
      </c>
      <c r="U276" s="311">
        <v>1</v>
      </c>
      <c r="V276" s="311"/>
      <c r="W276" s="328">
        <f t="shared" si="19"/>
        <v>1</v>
      </c>
      <c r="X276" s="530">
        <v>1</v>
      </c>
      <c r="Y276" s="296">
        <v>2020003630141</v>
      </c>
      <c r="Z276" s="310" t="s">
        <v>1360</v>
      </c>
      <c r="AA276" s="297" t="s">
        <v>1044</v>
      </c>
      <c r="AB276" s="44"/>
      <c r="AC276" s="44"/>
      <c r="AD276" s="44"/>
      <c r="AE276" s="108"/>
      <c r="AF276" s="108"/>
      <c r="AG276" s="108"/>
      <c r="AH276" s="108"/>
      <c r="AI276" s="108"/>
      <c r="AJ276" s="108"/>
      <c r="AK276" s="108"/>
      <c r="AL276" s="108"/>
      <c r="AM276" s="108"/>
      <c r="AN276" s="108"/>
      <c r="AO276" s="108"/>
      <c r="AP276" s="108"/>
      <c r="AQ276" s="108"/>
      <c r="AR276" s="108"/>
      <c r="AS276" s="108"/>
      <c r="AT276" s="354">
        <v>25000000</v>
      </c>
      <c r="AU276" s="108">
        <v>25000000</v>
      </c>
      <c r="AV276" s="108">
        <v>25000000</v>
      </c>
      <c r="AW276" s="366"/>
      <c r="AX276" s="108"/>
      <c r="AY276" s="108"/>
      <c r="AZ276" s="354"/>
      <c r="BA276" s="108"/>
      <c r="BB276" s="108"/>
      <c r="BC276" s="366"/>
      <c r="BD276" s="108"/>
      <c r="BE276" s="108"/>
      <c r="BF276" s="298">
        <f t="shared" si="16"/>
        <v>25000000</v>
      </c>
      <c r="BG276" s="298">
        <f t="shared" si="17"/>
        <v>25000000</v>
      </c>
      <c r="BH276" s="298">
        <f t="shared" si="18"/>
        <v>25000000</v>
      </c>
      <c r="BI276" s="386" t="s">
        <v>1480</v>
      </c>
      <c r="BK276" s="34"/>
      <c r="BL276" s="34"/>
    </row>
    <row r="277" spans="1:64" s="16" customFormat="1" ht="117" customHeight="1" x14ac:dyDescent="0.2">
      <c r="A277" s="29">
        <v>324</v>
      </c>
      <c r="B277" s="325" t="s">
        <v>1297</v>
      </c>
      <c r="C277" s="29">
        <v>4</v>
      </c>
      <c r="D277" s="325" t="s">
        <v>1206</v>
      </c>
      <c r="E277" s="29">
        <v>23</v>
      </c>
      <c r="F277" s="325" t="s">
        <v>986</v>
      </c>
      <c r="G277" s="29">
        <v>2302</v>
      </c>
      <c r="H277" s="325" t="s">
        <v>1140</v>
      </c>
      <c r="I277" s="29">
        <v>2302</v>
      </c>
      <c r="J277" s="30" t="s">
        <v>1243</v>
      </c>
      <c r="K277" s="297" t="s">
        <v>1040</v>
      </c>
      <c r="L277" s="287">
        <v>2302007</v>
      </c>
      <c r="M277" s="30" t="s">
        <v>1051</v>
      </c>
      <c r="N277" s="29">
        <v>2302007</v>
      </c>
      <c r="O277" s="30" t="s">
        <v>1051</v>
      </c>
      <c r="P277" s="287">
        <v>230200701</v>
      </c>
      <c r="Q277" s="30" t="s">
        <v>1052</v>
      </c>
      <c r="R277" s="287">
        <v>230200701</v>
      </c>
      <c r="S277" s="295" t="s">
        <v>1052</v>
      </c>
      <c r="T277" s="299" t="s">
        <v>1469</v>
      </c>
      <c r="U277" s="311">
        <v>1</v>
      </c>
      <c r="V277" s="311"/>
      <c r="W277" s="328">
        <f t="shared" si="19"/>
        <v>1</v>
      </c>
      <c r="X277" s="530">
        <v>0.8</v>
      </c>
      <c r="Y277" s="296">
        <v>2020003630141</v>
      </c>
      <c r="Z277" s="310" t="s">
        <v>1360</v>
      </c>
      <c r="AA277" s="297" t="s">
        <v>1044</v>
      </c>
      <c r="AB277" s="44"/>
      <c r="AC277" s="44"/>
      <c r="AD277" s="44"/>
      <c r="AE277" s="108"/>
      <c r="AF277" s="108"/>
      <c r="AG277" s="108"/>
      <c r="AH277" s="108"/>
      <c r="AI277" s="108"/>
      <c r="AJ277" s="108"/>
      <c r="AK277" s="108"/>
      <c r="AL277" s="108"/>
      <c r="AM277" s="108"/>
      <c r="AN277" s="108"/>
      <c r="AO277" s="108"/>
      <c r="AP277" s="108"/>
      <c r="AQ277" s="108"/>
      <c r="AR277" s="108"/>
      <c r="AS277" s="108"/>
      <c r="AT277" s="354">
        <f>25000000+35460000-3990000</f>
        <v>56470000</v>
      </c>
      <c r="AU277" s="108">
        <v>55672500</v>
      </c>
      <c r="AV277" s="108">
        <v>38745000</v>
      </c>
      <c r="AW277" s="366"/>
      <c r="AX277" s="108"/>
      <c r="AY277" s="108"/>
      <c r="AZ277" s="354"/>
      <c r="BA277" s="108"/>
      <c r="BB277" s="108"/>
      <c r="BC277" s="366"/>
      <c r="BD277" s="108"/>
      <c r="BE277" s="108"/>
      <c r="BF277" s="298">
        <f t="shared" si="16"/>
        <v>56470000</v>
      </c>
      <c r="BG277" s="298">
        <f t="shared" si="17"/>
        <v>55672500</v>
      </c>
      <c r="BH277" s="298">
        <f t="shared" si="18"/>
        <v>38745000</v>
      </c>
      <c r="BI277" s="386" t="s">
        <v>1480</v>
      </c>
      <c r="BK277" s="34"/>
      <c r="BL277" s="34"/>
    </row>
    <row r="278" spans="1:64" s="16" customFormat="1" ht="117" customHeight="1" x14ac:dyDescent="0.2">
      <c r="A278" s="29">
        <v>324</v>
      </c>
      <c r="B278" s="325" t="s">
        <v>1297</v>
      </c>
      <c r="C278" s="29">
        <v>4</v>
      </c>
      <c r="D278" s="325" t="s">
        <v>1206</v>
      </c>
      <c r="E278" s="29">
        <v>23</v>
      </c>
      <c r="F278" s="325" t="s">
        <v>986</v>
      </c>
      <c r="G278" s="29">
        <v>2302</v>
      </c>
      <c r="H278" s="325" t="s">
        <v>1140</v>
      </c>
      <c r="I278" s="29">
        <v>2302</v>
      </c>
      <c r="J278" s="30" t="s">
        <v>1243</v>
      </c>
      <c r="K278" s="297" t="s">
        <v>1040</v>
      </c>
      <c r="L278" s="29">
        <v>2302083</v>
      </c>
      <c r="M278" s="30" t="s">
        <v>68</v>
      </c>
      <c r="N278" s="29">
        <v>2302083</v>
      </c>
      <c r="O278" s="30" t="s">
        <v>68</v>
      </c>
      <c r="P278" s="287">
        <v>230208300</v>
      </c>
      <c r="Q278" s="295" t="s">
        <v>444</v>
      </c>
      <c r="R278" s="287">
        <v>230208300</v>
      </c>
      <c r="S278" s="295" t="s">
        <v>444</v>
      </c>
      <c r="T278" s="299" t="s">
        <v>1469</v>
      </c>
      <c r="U278" s="311">
        <v>1</v>
      </c>
      <c r="V278" s="311"/>
      <c r="W278" s="328">
        <f t="shared" si="19"/>
        <v>1</v>
      </c>
      <c r="X278" s="530">
        <v>1</v>
      </c>
      <c r="Y278" s="296">
        <v>2020003630141</v>
      </c>
      <c r="Z278" s="310" t="s">
        <v>1360</v>
      </c>
      <c r="AA278" s="297" t="s">
        <v>1044</v>
      </c>
      <c r="AB278" s="44"/>
      <c r="AC278" s="44"/>
      <c r="AD278" s="44"/>
      <c r="AE278" s="108"/>
      <c r="AF278" s="108"/>
      <c r="AG278" s="108"/>
      <c r="AH278" s="108"/>
      <c r="AI278" s="108"/>
      <c r="AJ278" s="108"/>
      <c r="AK278" s="108"/>
      <c r="AL278" s="108"/>
      <c r="AM278" s="108"/>
      <c r="AN278" s="108"/>
      <c r="AO278" s="108"/>
      <c r="AP278" s="108"/>
      <c r="AQ278" s="108"/>
      <c r="AR278" s="108"/>
      <c r="AS278" s="108"/>
      <c r="AT278" s="354">
        <v>18000000</v>
      </c>
      <c r="AU278" s="108">
        <v>18000000</v>
      </c>
      <c r="AV278" s="108">
        <v>18000000</v>
      </c>
      <c r="AW278" s="366"/>
      <c r="AX278" s="108"/>
      <c r="AY278" s="108"/>
      <c r="AZ278" s="354"/>
      <c r="BA278" s="108"/>
      <c r="BB278" s="108"/>
      <c r="BC278" s="366"/>
      <c r="BD278" s="108"/>
      <c r="BE278" s="108"/>
      <c r="BF278" s="298">
        <f t="shared" si="16"/>
        <v>18000000</v>
      </c>
      <c r="BG278" s="298">
        <f t="shared" si="17"/>
        <v>18000000</v>
      </c>
      <c r="BH278" s="298">
        <f t="shared" si="18"/>
        <v>18000000</v>
      </c>
      <c r="BI278" s="386" t="s">
        <v>1480</v>
      </c>
      <c r="BK278" s="34"/>
      <c r="BL278" s="34"/>
    </row>
    <row r="279" spans="1:64" s="16" customFormat="1" ht="117" customHeight="1" x14ac:dyDescent="0.2">
      <c r="A279" s="29">
        <v>319</v>
      </c>
      <c r="B279" s="325" t="s">
        <v>1296</v>
      </c>
      <c r="C279" s="29">
        <v>1</v>
      </c>
      <c r="D279" s="325" t="s">
        <v>1201</v>
      </c>
      <c r="E279" s="29">
        <v>43</v>
      </c>
      <c r="F279" s="325" t="s">
        <v>141</v>
      </c>
      <c r="G279" s="29">
        <v>4301</v>
      </c>
      <c r="H279" s="325" t="s">
        <v>1365</v>
      </c>
      <c r="I279" s="29">
        <v>4301</v>
      </c>
      <c r="J279" s="30" t="s">
        <v>1262</v>
      </c>
      <c r="K279" s="301" t="s">
        <v>1055</v>
      </c>
      <c r="L279" s="29">
        <v>4301007</v>
      </c>
      <c r="M279" s="30" t="s">
        <v>1056</v>
      </c>
      <c r="N279" s="29">
        <v>4301007</v>
      </c>
      <c r="O279" s="30" t="s">
        <v>1056</v>
      </c>
      <c r="P279" s="29">
        <v>430100701</v>
      </c>
      <c r="Q279" s="295" t="s">
        <v>1057</v>
      </c>
      <c r="R279" s="29">
        <v>430100701</v>
      </c>
      <c r="S279" s="295" t="s">
        <v>1057</v>
      </c>
      <c r="T279" s="299" t="s">
        <v>1469</v>
      </c>
      <c r="U279" s="311">
        <v>12</v>
      </c>
      <c r="V279" s="311"/>
      <c r="W279" s="328">
        <f t="shared" si="19"/>
        <v>12</v>
      </c>
      <c r="X279" s="530">
        <v>12</v>
      </c>
      <c r="Y279" s="296">
        <v>2020003630009</v>
      </c>
      <c r="Z279" s="310" t="s">
        <v>1058</v>
      </c>
      <c r="AA279" s="297" t="s">
        <v>1059</v>
      </c>
      <c r="AB279" s="380">
        <f>150000000+220000000+70000000+150000000+100000000+56574833.33-540000000</f>
        <v>206574833.33000004</v>
      </c>
      <c r="AC279" s="44">
        <v>65816333</v>
      </c>
      <c r="AD279" s="44">
        <v>58046333</v>
      </c>
      <c r="AE279" s="381">
        <f>71305500+18694500+109540000+25702623</f>
        <v>225242623</v>
      </c>
      <c r="AF279" s="41">
        <v>214560000</v>
      </c>
      <c r="AG279" s="41">
        <v>186115000</v>
      </c>
      <c r="AH279" s="44"/>
      <c r="AI279" s="44"/>
      <c r="AJ279" s="44"/>
      <c r="AK279" s="380"/>
      <c r="AL279" s="44"/>
      <c r="AM279" s="44"/>
      <c r="AN279" s="44"/>
      <c r="AO279" s="44"/>
      <c r="AP279" s="44"/>
      <c r="AQ279" s="44"/>
      <c r="AR279" s="44"/>
      <c r="AS279" s="44"/>
      <c r="AT279" s="357"/>
      <c r="AU279" s="41"/>
      <c r="AV279" s="41"/>
      <c r="AW279" s="382">
        <f>620558755+2252398.63+55112575</f>
        <v>677923728.63</v>
      </c>
      <c r="AX279" s="41">
        <v>447340736.13</v>
      </c>
      <c r="AY279" s="41">
        <v>418665736.13</v>
      </c>
      <c r="AZ279" s="357"/>
      <c r="BA279" s="41"/>
      <c r="BB279" s="41"/>
      <c r="BC279" s="382">
        <f>430000000-430000000</f>
        <v>0</v>
      </c>
      <c r="BD279" s="44"/>
      <c r="BE279" s="44"/>
      <c r="BF279" s="108">
        <f t="shared" si="16"/>
        <v>1109741184.96</v>
      </c>
      <c r="BG279" s="108">
        <f t="shared" si="17"/>
        <v>727717069.13</v>
      </c>
      <c r="BH279" s="108">
        <f t="shared" si="18"/>
        <v>662827069.13</v>
      </c>
      <c r="BI279" s="386" t="s">
        <v>1485</v>
      </c>
      <c r="BK279" s="34"/>
      <c r="BL279" s="34"/>
    </row>
    <row r="280" spans="1:64" s="16" customFormat="1" ht="117" customHeight="1" x14ac:dyDescent="0.2">
      <c r="A280" s="29">
        <v>319</v>
      </c>
      <c r="B280" s="325" t="s">
        <v>1296</v>
      </c>
      <c r="C280" s="29">
        <v>1</v>
      </c>
      <c r="D280" s="325" t="s">
        <v>1201</v>
      </c>
      <c r="E280" s="29">
        <v>43</v>
      </c>
      <c r="F280" s="325" t="s">
        <v>141</v>
      </c>
      <c r="G280" s="29">
        <v>4301</v>
      </c>
      <c r="H280" s="325" t="s">
        <v>1365</v>
      </c>
      <c r="I280" s="29">
        <v>4301</v>
      </c>
      <c r="J280" s="30" t="s">
        <v>1262</v>
      </c>
      <c r="K280" s="301" t="s">
        <v>1055</v>
      </c>
      <c r="L280" s="29">
        <v>4301037</v>
      </c>
      <c r="M280" s="30" t="s">
        <v>1060</v>
      </c>
      <c r="N280" s="29">
        <v>4301037</v>
      </c>
      <c r="O280" s="30" t="s">
        <v>1060</v>
      </c>
      <c r="P280" s="29">
        <v>430103701</v>
      </c>
      <c r="Q280" s="295" t="s">
        <v>1061</v>
      </c>
      <c r="R280" s="29">
        <v>430103701</v>
      </c>
      <c r="S280" s="295" t="s">
        <v>1061</v>
      </c>
      <c r="T280" s="299" t="s">
        <v>1469</v>
      </c>
      <c r="U280" s="311">
        <v>12</v>
      </c>
      <c r="V280" s="311"/>
      <c r="W280" s="328">
        <f t="shared" si="19"/>
        <v>12</v>
      </c>
      <c r="X280" s="530">
        <v>12</v>
      </c>
      <c r="Y280" s="296">
        <v>2020003630009</v>
      </c>
      <c r="Z280" s="310" t="s">
        <v>1058</v>
      </c>
      <c r="AA280" s="297" t="s">
        <v>1059</v>
      </c>
      <c r="AB280" s="40"/>
      <c r="AC280" s="40"/>
      <c r="AD280" s="40"/>
      <c r="AE280" s="381">
        <f>50000000+12000000+5000000+7000000+12000000+33000000</f>
        <v>119000000</v>
      </c>
      <c r="AF280" s="41">
        <v>82602855</v>
      </c>
      <c r="AG280" s="41">
        <v>15000000</v>
      </c>
      <c r="AH280" s="44"/>
      <c r="AI280" s="44"/>
      <c r="AJ280" s="44"/>
      <c r="AK280" s="44"/>
      <c r="AL280" s="44"/>
      <c r="AM280" s="44"/>
      <c r="AN280" s="44"/>
      <c r="AO280" s="44"/>
      <c r="AP280" s="44"/>
      <c r="AQ280" s="44"/>
      <c r="AR280" s="44"/>
      <c r="AS280" s="44"/>
      <c r="AT280" s="41"/>
      <c r="AU280" s="41"/>
      <c r="AV280" s="41"/>
      <c r="AW280" s="381">
        <v>10000000</v>
      </c>
      <c r="AX280" s="41"/>
      <c r="AY280" s="41"/>
      <c r="AZ280" s="357"/>
      <c r="BA280" s="41"/>
      <c r="BB280" s="41"/>
      <c r="BC280" s="407">
        <f>90000000-90000000</f>
        <v>0</v>
      </c>
      <c r="BD280" s="41"/>
      <c r="BE280" s="41"/>
      <c r="BF280" s="108">
        <f t="shared" si="16"/>
        <v>129000000</v>
      </c>
      <c r="BG280" s="108">
        <f t="shared" si="17"/>
        <v>82602855</v>
      </c>
      <c r="BH280" s="108">
        <f t="shared" si="18"/>
        <v>15000000</v>
      </c>
      <c r="BI280" s="386" t="s">
        <v>1485</v>
      </c>
      <c r="BK280" s="34"/>
      <c r="BL280" s="34"/>
    </row>
    <row r="281" spans="1:64" s="16" customFormat="1" ht="117" customHeight="1" x14ac:dyDescent="0.2">
      <c r="A281" s="29">
        <v>319</v>
      </c>
      <c r="B281" s="325" t="s">
        <v>1296</v>
      </c>
      <c r="C281" s="29">
        <v>1</v>
      </c>
      <c r="D281" s="325" t="s">
        <v>1201</v>
      </c>
      <c r="E281" s="29">
        <v>43</v>
      </c>
      <c r="F281" s="325" t="s">
        <v>141</v>
      </c>
      <c r="G281" s="29">
        <v>4301</v>
      </c>
      <c r="H281" s="325" t="s">
        <v>1365</v>
      </c>
      <c r="I281" s="29">
        <v>4301</v>
      </c>
      <c r="J281" s="30" t="s">
        <v>1262</v>
      </c>
      <c r="K281" s="301" t="s">
        <v>1055</v>
      </c>
      <c r="L281" s="29">
        <v>4301037</v>
      </c>
      <c r="M281" s="30" t="s">
        <v>1060</v>
      </c>
      <c r="N281" s="29">
        <v>4301037</v>
      </c>
      <c r="O281" s="30" t="s">
        <v>1060</v>
      </c>
      <c r="P281" s="29" t="s">
        <v>1062</v>
      </c>
      <c r="Q281" s="295" t="s">
        <v>1063</v>
      </c>
      <c r="R281" s="29" t="s">
        <v>1062</v>
      </c>
      <c r="S281" s="295" t="s">
        <v>1063</v>
      </c>
      <c r="T281" s="299" t="s">
        <v>1469</v>
      </c>
      <c r="U281" s="311">
        <v>12</v>
      </c>
      <c r="V281" s="311"/>
      <c r="W281" s="328">
        <f t="shared" si="19"/>
        <v>12</v>
      </c>
      <c r="X281" s="530">
        <v>12</v>
      </c>
      <c r="Y281" s="296">
        <v>2020003630009</v>
      </c>
      <c r="Z281" s="310" t="s">
        <v>1058</v>
      </c>
      <c r="AA281" s="297" t="s">
        <v>1059</v>
      </c>
      <c r="AB281" s="380">
        <f>340000000+15000000-165402500</f>
        <v>189597500</v>
      </c>
      <c r="AC281" s="44">
        <v>34130841</v>
      </c>
      <c r="AD281" s="44">
        <v>32245841</v>
      </c>
      <c r="AE281" s="381">
        <f>145000000+50000000+137750583</f>
        <v>332750583</v>
      </c>
      <c r="AF281" s="41">
        <v>229565492.02000001</v>
      </c>
      <c r="AG281" s="41">
        <v>221480492.02000001</v>
      </c>
      <c r="AH281" s="44"/>
      <c r="AI281" s="44"/>
      <c r="AJ281" s="44"/>
      <c r="AK281" s="380">
        <v>106355890</v>
      </c>
      <c r="AL281" s="44">
        <v>77698620</v>
      </c>
      <c r="AM281" s="44">
        <v>75698620</v>
      </c>
      <c r="AN281" s="44"/>
      <c r="AO281" s="44"/>
      <c r="AP281" s="44"/>
      <c r="AQ281" s="44"/>
      <c r="AR281" s="44"/>
      <c r="AS281" s="44"/>
      <c r="AT281" s="381">
        <v>90000000</v>
      </c>
      <c r="AU281" s="41">
        <v>84000000</v>
      </c>
      <c r="AV281" s="41">
        <v>59526114</v>
      </c>
      <c r="AW281" s="381">
        <v>267859589.11000001</v>
      </c>
      <c r="AX281" s="41">
        <v>251020017.97999999</v>
      </c>
      <c r="AY281" s="41">
        <v>121442517.98</v>
      </c>
      <c r="AZ281" s="357"/>
      <c r="BA281" s="41"/>
      <c r="BB281" s="41"/>
      <c r="BC281" s="382">
        <f>460000000+150000000+20000000-630000000</f>
        <v>0</v>
      </c>
      <c r="BD281" s="44"/>
      <c r="BE281" s="44"/>
      <c r="BF281" s="108">
        <f t="shared" si="16"/>
        <v>986563562.11000001</v>
      </c>
      <c r="BG281" s="108">
        <f t="shared" si="17"/>
        <v>676414971</v>
      </c>
      <c r="BH281" s="108">
        <f t="shared" si="18"/>
        <v>510393585</v>
      </c>
      <c r="BI281" s="386" t="s">
        <v>1485</v>
      </c>
      <c r="BK281" s="34"/>
      <c r="BL281" s="34"/>
    </row>
    <row r="282" spans="1:64" s="16" customFormat="1" ht="117" customHeight="1" x14ac:dyDescent="0.2">
      <c r="A282" s="29">
        <v>319</v>
      </c>
      <c r="B282" s="325" t="s">
        <v>1296</v>
      </c>
      <c r="C282" s="29">
        <v>1</v>
      </c>
      <c r="D282" s="325" t="s">
        <v>1201</v>
      </c>
      <c r="E282" s="29">
        <v>43</v>
      </c>
      <c r="F282" s="325" t="s">
        <v>141</v>
      </c>
      <c r="G282" s="29">
        <v>4301</v>
      </c>
      <c r="H282" s="325" t="s">
        <v>1365</v>
      </c>
      <c r="I282" s="29">
        <v>4301</v>
      </c>
      <c r="J282" s="30" t="s">
        <v>1262</v>
      </c>
      <c r="K282" s="301" t="s">
        <v>1055</v>
      </c>
      <c r="L282" s="300" t="s">
        <v>31</v>
      </c>
      <c r="M282" s="30" t="s">
        <v>1064</v>
      </c>
      <c r="N282" s="29">
        <v>4301006</v>
      </c>
      <c r="O282" s="30" t="s">
        <v>1065</v>
      </c>
      <c r="P282" s="300" t="s">
        <v>31</v>
      </c>
      <c r="Q282" s="295" t="s">
        <v>1066</v>
      </c>
      <c r="R282" s="29">
        <v>430100600</v>
      </c>
      <c r="S282" s="295" t="s">
        <v>1067</v>
      </c>
      <c r="T282" s="299" t="s">
        <v>1469</v>
      </c>
      <c r="U282" s="311">
        <v>1</v>
      </c>
      <c r="V282" s="311"/>
      <c r="W282" s="328">
        <f t="shared" si="19"/>
        <v>1</v>
      </c>
      <c r="X282" s="530">
        <v>0.65</v>
      </c>
      <c r="Y282" s="296">
        <v>2020003630009</v>
      </c>
      <c r="Z282" s="310" t="s">
        <v>1058</v>
      </c>
      <c r="AA282" s="297" t="s">
        <v>1059</v>
      </c>
      <c r="AB282" s="44"/>
      <c r="AC282" s="44"/>
      <c r="AD282" s="40"/>
      <c r="AE282" s="134">
        <v>50000000</v>
      </c>
      <c r="AF282" s="134">
        <v>32982500</v>
      </c>
      <c r="AG282" s="134">
        <v>23082500</v>
      </c>
      <c r="AH282" s="44"/>
      <c r="AI282" s="44"/>
      <c r="AJ282" s="44"/>
      <c r="AK282" s="380">
        <v>26000000</v>
      </c>
      <c r="AL282" s="44">
        <v>23310000</v>
      </c>
      <c r="AM282" s="44">
        <v>17310000</v>
      </c>
      <c r="AN282" s="44"/>
      <c r="AO282" s="44"/>
      <c r="AP282" s="44"/>
      <c r="AQ282" s="44"/>
      <c r="AR282" s="44"/>
      <c r="AS282" s="44"/>
      <c r="AT282" s="353"/>
      <c r="AU282" s="133"/>
      <c r="AV282" s="133"/>
      <c r="AW282" s="361"/>
      <c r="AX282" s="44"/>
      <c r="AY282" s="134"/>
      <c r="AZ282" s="355"/>
      <c r="BA282" s="134"/>
      <c r="BB282" s="134"/>
      <c r="BC282" s="367"/>
      <c r="BD282" s="133"/>
      <c r="BE282" s="133"/>
      <c r="BF282" s="108">
        <f t="shared" si="16"/>
        <v>76000000</v>
      </c>
      <c r="BG282" s="108">
        <f t="shared" si="17"/>
        <v>56292500</v>
      </c>
      <c r="BH282" s="108">
        <f t="shared" si="18"/>
        <v>40392500</v>
      </c>
      <c r="BI282" s="386" t="s">
        <v>1485</v>
      </c>
      <c r="BK282" s="34"/>
      <c r="BL282" s="34"/>
    </row>
    <row r="283" spans="1:64" s="16" customFormat="1" ht="117" customHeight="1" x14ac:dyDescent="0.2">
      <c r="A283" s="29">
        <v>319</v>
      </c>
      <c r="B283" s="325" t="s">
        <v>1296</v>
      </c>
      <c r="C283" s="29">
        <v>1</v>
      </c>
      <c r="D283" s="325" t="s">
        <v>1201</v>
      </c>
      <c r="E283" s="29">
        <v>43</v>
      </c>
      <c r="F283" s="325" t="s">
        <v>141</v>
      </c>
      <c r="G283" s="29">
        <v>4302</v>
      </c>
      <c r="H283" s="325" t="s">
        <v>1068</v>
      </c>
      <c r="I283" s="29">
        <v>4302</v>
      </c>
      <c r="J283" s="30" t="s">
        <v>1266</v>
      </c>
      <c r="K283" s="297" t="s">
        <v>1165</v>
      </c>
      <c r="L283" s="109">
        <v>4302075</v>
      </c>
      <c r="M283" s="30" t="s">
        <v>1069</v>
      </c>
      <c r="N283" s="109">
        <v>4302075</v>
      </c>
      <c r="O283" s="30" t="s">
        <v>1069</v>
      </c>
      <c r="P283" s="300">
        <v>430207500</v>
      </c>
      <c r="Q283" s="295" t="s">
        <v>1070</v>
      </c>
      <c r="R283" s="300">
        <v>430207500</v>
      </c>
      <c r="S283" s="295" t="s">
        <v>1070</v>
      </c>
      <c r="T283" s="299" t="s">
        <v>1469</v>
      </c>
      <c r="U283" s="311">
        <v>25</v>
      </c>
      <c r="V283" s="311"/>
      <c r="W283" s="328">
        <f t="shared" si="19"/>
        <v>25</v>
      </c>
      <c r="X283" s="530">
        <v>24</v>
      </c>
      <c r="Y283" s="296">
        <v>2020003630010</v>
      </c>
      <c r="Z283" s="310" t="s">
        <v>1071</v>
      </c>
      <c r="AA283" s="297" t="s">
        <v>1072</v>
      </c>
      <c r="AB283" s="380">
        <f>830323292+450000000+80000000+800000000+418804864+610000000+240000000+243227407+250000000+100000000+25000000+60000000+15000000+500000000+25000000+60000000+45000000+272742469+120000000+15000000+80000000-2229659800</f>
        <v>3010438232</v>
      </c>
      <c r="AC283" s="44">
        <v>1950782714</v>
      </c>
      <c r="AD283" s="44">
        <v>1114196020</v>
      </c>
      <c r="AE283" s="43">
        <f>2000000+80997430+50000000+50164200</f>
        <v>183161630</v>
      </c>
      <c r="AF283" s="43">
        <v>90527387</v>
      </c>
      <c r="AG283" s="43">
        <v>48927387</v>
      </c>
      <c r="AH283" s="44"/>
      <c r="AI283" s="44"/>
      <c r="AJ283" s="44"/>
      <c r="AK283" s="383">
        <f>128603995+133632907</f>
        <v>262236902</v>
      </c>
      <c r="AL283" s="44">
        <v>125430690</v>
      </c>
      <c r="AM283" s="44">
        <v>72335390</v>
      </c>
      <c r="AN283" s="44"/>
      <c r="AO283" s="44"/>
      <c r="AP283" s="44"/>
      <c r="AQ283" s="44"/>
      <c r="AR283" s="44"/>
      <c r="AS283" s="44"/>
      <c r="AT283" s="359">
        <v>922366655.18000007</v>
      </c>
      <c r="AU283" s="43">
        <v>798943024</v>
      </c>
      <c r="AV283" s="43">
        <v>524691803</v>
      </c>
      <c r="AW283" s="384">
        <v>12000000</v>
      </c>
      <c r="AX283" s="43"/>
      <c r="AY283" s="43"/>
      <c r="AZ283" s="403"/>
      <c r="BA283" s="43"/>
      <c r="BB283" s="43"/>
      <c r="BC283" s="367"/>
      <c r="BD283" s="44"/>
      <c r="BE283" s="44"/>
      <c r="BF283" s="108">
        <f t="shared" si="16"/>
        <v>4390203419.1800003</v>
      </c>
      <c r="BG283" s="108">
        <f t="shared" si="17"/>
        <v>2965683815</v>
      </c>
      <c r="BH283" s="108">
        <f t="shared" si="18"/>
        <v>1760150600</v>
      </c>
      <c r="BI283" s="386" t="s">
        <v>1485</v>
      </c>
      <c r="BK283" s="34"/>
      <c r="BL283" s="34"/>
    </row>
    <row r="284" spans="1:64" s="16" customFormat="1" ht="117" customHeight="1" x14ac:dyDescent="0.2">
      <c r="A284" s="29">
        <v>319</v>
      </c>
      <c r="B284" s="325" t="s">
        <v>1296</v>
      </c>
      <c r="C284" s="29">
        <v>1</v>
      </c>
      <c r="D284" s="325" t="s">
        <v>1201</v>
      </c>
      <c r="E284" s="29">
        <v>43</v>
      </c>
      <c r="F284" s="325" t="s">
        <v>141</v>
      </c>
      <c r="G284" s="29">
        <v>4302</v>
      </c>
      <c r="H284" s="325" t="s">
        <v>1068</v>
      </c>
      <c r="I284" s="29">
        <v>4302</v>
      </c>
      <c r="J284" s="30" t="s">
        <v>1266</v>
      </c>
      <c r="K284" s="297" t="s">
        <v>1165</v>
      </c>
      <c r="L284" s="109">
        <v>4302075</v>
      </c>
      <c r="M284" s="30" t="s">
        <v>1069</v>
      </c>
      <c r="N284" s="109">
        <v>4302004</v>
      </c>
      <c r="O284" s="30" t="s">
        <v>1073</v>
      </c>
      <c r="P284" s="300" t="s">
        <v>31</v>
      </c>
      <c r="Q284" s="295" t="s">
        <v>1074</v>
      </c>
      <c r="R284" s="90">
        <v>430200401</v>
      </c>
      <c r="S284" s="295" t="s">
        <v>1075</v>
      </c>
      <c r="T284" s="299" t="s">
        <v>1469</v>
      </c>
      <c r="U284" s="311">
        <v>1</v>
      </c>
      <c r="V284" s="311"/>
      <c r="W284" s="328">
        <f t="shared" si="19"/>
        <v>1</v>
      </c>
      <c r="X284" s="530">
        <v>0.25</v>
      </c>
      <c r="Y284" s="296">
        <v>2020003630013</v>
      </c>
      <c r="Z284" s="310" t="s">
        <v>1076</v>
      </c>
      <c r="AA284" s="297" t="s">
        <v>1077</v>
      </c>
      <c r="AB284" s="44"/>
      <c r="AC284" s="44"/>
      <c r="AD284" s="44"/>
      <c r="AE284" s="108"/>
      <c r="AF284" s="108"/>
      <c r="AG284" s="108"/>
      <c r="AH284" s="44"/>
      <c r="AI284" s="44"/>
      <c r="AJ284" s="44"/>
      <c r="AK284" s="44"/>
      <c r="AL284" s="44"/>
      <c r="AM284" s="44"/>
      <c r="AN284" s="44"/>
      <c r="AO284" s="44"/>
      <c r="AP284" s="44"/>
      <c r="AQ284" s="44"/>
      <c r="AR284" s="44"/>
      <c r="AS284" s="44"/>
      <c r="AT284" s="354">
        <v>35000000</v>
      </c>
      <c r="AU284" s="108">
        <v>31000000</v>
      </c>
      <c r="AV284" s="108">
        <v>12000000</v>
      </c>
      <c r="AW284" s="108">
        <v>18350311.879999999</v>
      </c>
      <c r="AX284" s="108"/>
      <c r="AY284" s="108"/>
      <c r="AZ284" s="354"/>
      <c r="BA284" s="108"/>
      <c r="BB284" s="108"/>
      <c r="BC284" s="361"/>
      <c r="BD284" s="44"/>
      <c r="BE284" s="44"/>
      <c r="BF284" s="108">
        <f t="shared" si="16"/>
        <v>53350311.879999995</v>
      </c>
      <c r="BG284" s="108">
        <f t="shared" si="17"/>
        <v>31000000</v>
      </c>
      <c r="BH284" s="108">
        <f t="shared" si="18"/>
        <v>12000000</v>
      </c>
      <c r="BI284" s="386" t="s">
        <v>1485</v>
      </c>
      <c r="BK284" s="34"/>
      <c r="BL284" s="34"/>
    </row>
    <row r="285" spans="1:64" s="16" customFormat="1" ht="117" customHeight="1" x14ac:dyDescent="0.2">
      <c r="A285" s="29">
        <v>320</v>
      </c>
      <c r="B285" s="325" t="s">
        <v>1294</v>
      </c>
      <c r="C285" s="29">
        <v>1</v>
      </c>
      <c r="D285" s="325" t="s">
        <v>1201</v>
      </c>
      <c r="E285" s="29">
        <v>43</v>
      </c>
      <c r="F285" s="325" t="s">
        <v>141</v>
      </c>
      <c r="G285" s="29">
        <v>4301</v>
      </c>
      <c r="H285" s="325" t="s">
        <v>1365</v>
      </c>
      <c r="I285" s="29">
        <v>4301</v>
      </c>
      <c r="J285" s="30" t="s">
        <v>1262</v>
      </c>
      <c r="K285" s="297" t="s">
        <v>143</v>
      </c>
      <c r="L285" s="300" t="s">
        <v>31</v>
      </c>
      <c r="M285" s="28" t="s">
        <v>1078</v>
      </c>
      <c r="N285" s="29">
        <v>4301004</v>
      </c>
      <c r="O285" s="28" t="s">
        <v>145</v>
      </c>
      <c r="P285" s="300" t="s">
        <v>31</v>
      </c>
      <c r="Q285" s="295" t="s">
        <v>1079</v>
      </c>
      <c r="R285" s="192">
        <v>430100401</v>
      </c>
      <c r="S285" s="28" t="s">
        <v>147</v>
      </c>
      <c r="T285" s="299" t="s">
        <v>1470</v>
      </c>
      <c r="U285" s="311">
        <v>3</v>
      </c>
      <c r="V285" s="311"/>
      <c r="W285" s="328">
        <f t="shared" si="19"/>
        <v>3</v>
      </c>
      <c r="X285" s="530">
        <v>0</v>
      </c>
      <c r="Y285" s="296">
        <v>2020003630142</v>
      </c>
      <c r="Z285" s="310" t="s">
        <v>1080</v>
      </c>
      <c r="AA285" s="286" t="s">
        <v>1081</v>
      </c>
      <c r="AB285" s="108">
        <v>798809971</v>
      </c>
      <c r="AC285" s="108">
        <v>232544491.30000001</v>
      </c>
      <c r="AD285" s="108">
        <v>175812721.41</v>
      </c>
      <c r="AE285" s="44"/>
      <c r="AF285" s="44"/>
      <c r="AG285" s="44"/>
      <c r="AH285" s="44"/>
      <c r="AI285" s="44"/>
      <c r="AJ285" s="44"/>
      <c r="AK285" s="44"/>
      <c r="AL285" s="44"/>
      <c r="AM285" s="44"/>
      <c r="AN285" s="44"/>
      <c r="AO285" s="44"/>
      <c r="AP285" s="44"/>
      <c r="AQ285" s="44"/>
      <c r="AR285" s="44"/>
      <c r="AS285" s="44"/>
      <c r="AT285" s="353"/>
      <c r="AU285" s="133"/>
      <c r="AV285" s="133"/>
      <c r="AW285" s="365"/>
      <c r="AX285" s="41"/>
      <c r="AY285" s="41"/>
      <c r="AZ285" s="357"/>
      <c r="BA285" s="41"/>
      <c r="BB285" s="41"/>
      <c r="BC285" s="361"/>
      <c r="BD285" s="44"/>
      <c r="BE285" s="44"/>
      <c r="BF285" s="298">
        <f t="shared" si="16"/>
        <v>798809971</v>
      </c>
      <c r="BG285" s="298">
        <f t="shared" si="17"/>
        <v>232544491.30000001</v>
      </c>
      <c r="BH285" s="298">
        <f t="shared" si="18"/>
        <v>175812721.41</v>
      </c>
      <c r="BI285" s="386" t="s">
        <v>1486</v>
      </c>
      <c r="BK285" s="34"/>
      <c r="BL285" s="34"/>
    </row>
    <row r="286" spans="1:64" s="16" customFormat="1" ht="117" customHeight="1" x14ac:dyDescent="0.2">
      <c r="A286" s="29">
        <v>320</v>
      </c>
      <c r="B286" s="325" t="s">
        <v>1294</v>
      </c>
      <c r="C286" s="29">
        <v>1</v>
      </c>
      <c r="D286" s="325" t="s">
        <v>1201</v>
      </c>
      <c r="E286" s="29">
        <v>22</v>
      </c>
      <c r="F286" s="325" t="s">
        <v>124</v>
      </c>
      <c r="G286" s="29">
        <v>2201</v>
      </c>
      <c r="H286" s="325" t="s">
        <v>229</v>
      </c>
      <c r="I286" s="29">
        <v>2201</v>
      </c>
      <c r="J286" s="30" t="s">
        <v>1242</v>
      </c>
      <c r="K286" s="297" t="s">
        <v>126</v>
      </c>
      <c r="L286" s="300" t="s">
        <v>31</v>
      </c>
      <c r="M286" s="30" t="s">
        <v>564</v>
      </c>
      <c r="N286" s="192">
        <v>2201062</v>
      </c>
      <c r="O286" s="30" t="s">
        <v>128</v>
      </c>
      <c r="P286" s="300" t="s">
        <v>31</v>
      </c>
      <c r="Q286" s="295" t="s">
        <v>129</v>
      </c>
      <c r="R286" s="29">
        <v>220106200</v>
      </c>
      <c r="S286" s="30" t="s">
        <v>130</v>
      </c>
      <c r="T286" s="299" t="s">
        <v>1470</v>
      </c>
      <c r="U286" s="296">
        <v>15</v>
      </c>
      <c r="V286" s="296">
        <v>6</v>
      </c>
      <c r="W286" s="328">
        <f t="shared" si="19"/>
        <v>21</v>
      </c>
      <c r="X286" s="530">
        <v>0</v>
      </c>
      <c r="Y286" s="296">
        <v>2020003630143</v>
      </c>
      <c r="Z286" s="310" t="s">
        <v>1082</v>
      </c>
      <c r="AA286" s="286" t="s">
        <v>1083</v>
      </c>
      <c r="AB286" s="108">
        <v>798200000</v>
      </c>
      <c r="AC286" s="108">
        <v>194187068.24000001</v>
      </c>
      <c r="AD286" s="108">
        <v>102027935.23999999</v>
      </c>
      <c r="AE286" s="44"/>
      <c r="AF286" s="44"/>
      <c r="AG286" s="44"/>
      <c r="AH286" s="44"/>
      <c r="AI286" s="44"/>
      <c r="AJ286" s="44"/>
      <c r="AK286" s="44"/>
      <c r="AL286" s="44"/>
      <c r="AM286" s="44"/>
      <c r="AN286" s="44"/>
      <c r="AO286" s="44"/>
      <c r="AP286" s="44"/>
      <c r="AQ286" s="44"/>
      <c r="AR286" s="44"/>
      <c r="AS286" s="44"/>
      <c r="AT286" s="353"/>
      <c r="AU286" s="133"/>
      <c r="AV286" s="133"/>
      <c r="AW286" s="361"/>
      <c r="AX286" s="44"/>
      <c r="AY286" s="44"/>
      <c r="AZ286" s="358"/>
      <c r="BA286" s="44"/>
      <c r="BB286" s="44"/>
      <c r="BC286" s="362"/>
      <c r="BD286" s="40"/>
      <c r="BE286" s="40"/>
      <c r="BF286" s="298">
        <f t="shared" si="16"/>
        <v>798200000</v>
      </c>
      <c r="BG286" s="298">
        <f t="shared" si="17"/>
        <v>194187068.24000001</v>
      </c>
      <c r="BH286" s="298">
        <f t="shared" si="18"/>
        <v>102027935.23999999</v>
      </c>
      <c r="BI286" s="386" t="s">
        <v>1486</v>
      </c>
      <c r="BK286" s="34"/>
      <c r="BL286" s="34"/>
    </row>
    <row r="287" spans="1:64" s="16" customFormat="1" ht="117" customHeight="1" x14ac:dyDescent="0.2">
      <c r="A287" s="29">
        <v>320</v>
      </c>
      <c r="B287" s="325" t="s">
        <v>1294</v>
      </c>
      <c r="C287" s="29">
        <v>3</v>
      </c>
      <c r="D287" s="325" t="s">
        <v>1198</v>
      </c>
      <c r="E287" s="29">
        <v>24</v>
      </c>
      <c r="F287" s="325" t="s">
        <v>151</v>
      </c>
      <c r="G287" s="29">
        <v>2402</v>
      </c>
      <c r="H287" s="325" t="s">
        <v>152</v>
      </c>
      <c r="I287" s="29">
        <v>2402</v>
      </c>
      <c r="J287" s="30" t="s">
        <v>1244</v>
      </c>
      <c r="K287" s="286" t="s">
        <v>1084</v>
      </c>
      <c r="L287" s="300" t="s">
        <v>31</v>
      </c>
      <c r="M287" s="30" t="s">
        <v>160</v>
      </c>
      <c r="N287" s="192">
        <v>2402041</v>
      </c>
      <c r="O287" s="30" t="s">
        <v>161</v>
      </c>
      <c r="P287" s="300" t="s">
        <v>31</v>
      </c>
      <c r="Q287" s="295" t="s">
        <v>162</v>
      </c>
      <c r="R287" s="192">
        <v>240204100</v>
      </c>
      <c r="S287" s="28" t="s">
        <v>163</v>
      </c>
      <c r="T287" s="299" t="s">
        <v>1469</v>
      </c>
      <c r="U287" s="343">
        <v>70.379000000000005</v>
      </c>
      <c r="V287" s="343"/>
      <c r="W287" s="372">
        <f t="shared" si="19"/>
        <v>70.379000000000005</v>
      </c>
      <c r="X287" s="539">
        <v>68</v>
      </c>
      <c r="Y287" s="296">
        <v>2020003630144</v>
      </c>
      <c r="Z287" s="310" t="s">
        <v>1085</v>
      </c>
      <c r="AA287" s="297" t="s">
        <v>1086</v>
      </c>
      <c r="AB287" s="44"/>
      <c r="AC287" s="44"/>
      <c r="AD287" s="44"/>
      <c r="AE287" s="44"/>
      <c r="AF287" s="44"/>
      <c r="AG287" s="44"/>
      <c r="AH287" s="44"/>
      <c r="AI287" s="44"/>
      <c r="AJ287" s="44"/>
      <c r="AK287" s="44"/>
      <c r="AL287" s="44"/>
      <c r="AM287" s="44"/>
      <c r="AN287" s="44"/>
      <c r="AO287" s="44"/>
      <c r="AP287" s="44"/>
      <c r="AQ287" s="44"/>
      <c r="AR287" s="44"/>
      <c r="AS287" s="44"/>
      <c r="AT287" s="353"/>
      <c r="AU287" s="133"/>
      <c r="AV287" s="133"/>
      <c r="AW287" s="365">
        <f>325000000</f>
        <v>325000000</v>
      </c>
      <c r="AX287" s="41">
        <v>318894006.02999997</v>
      </c>
      <c r="AY287" s="41">
        <v>225173923.61000001</v>
      </c>
      <c r="AZ287" s="357"/>
      <c r="BA287" s="41"/>
      <c r="BB287" s="41"/>
      <c r="BC287" s="361"/>
      <c r="BD287" s="44"/>
      <c r="BE287" s="44"/>
      <c r="BF287" s="298">
        <f t="shared" si="16"/>
        <v>325000000</v>
      </c>
      <c r="BG287" s="298">
        <f t="shared" si="17"/>
        <v>318894006.02999997</v>
      </c>
      <c r="BH287" s="298">
        <f t="shared" si="18"/>
        <v>225173923.61000001</v>
      </c>
      <c r="BI287" s="386" t="s">
        <v>1486</v>
      </c>
      <c r="BK287" s="34"/>
      <c r="BL287" s="34"/>
    </row>
    <row r="288" spans="1:64" s="16" customFormat="1" ht="117" customHeight="1" x14ac:dyDescent="0.2">
      <c r="A288" s="29">
        <v>320</v>
      </c>
      <c r="B288" s="325" t="s">
        <v>1294</v>
      </c>
      <c r="C288" s="29">
        <v>3</v>
      </c>
      <c r="D288" s="325" t="s">
        <v>1198</v>
      </c>
      <c r="E288" s="29">
        <v>40</v>
      </c>
      <c r="F288" s="325" t="s">
        <v>1215</v>
      </c>
      <c r="G288" s="29">
        <v>4001</v>
      </c>
      <c r="H288" s="325" t="s">
        <v>183</v>
      </c>
      <c r="I288" s="29">
        <v>4001</v>
      </c>
      <c r="J288" s="30" t="s">
        <v>1256</v>
      </c>
      <c r="K288" s="297" t="s">
        <v>184</v>
      </c>
      <c r="L288" s="304">
        <v>4001001</v>
      </c>
      <c r="M288" s="30" t="s">
        <v>1087</v>
      </c>
      <c r="N288" s="349">
        <v>4001001</v>
      </c>
      <c r="O288" s="30" t="s">
        <v>1087</v>
      </c>
      <c r="P288" s="300" t="s">
        <v>1088</v>
      </c>
      <c r="Q288" s="295" t="s">
        <v>1089</v>
      </c>
      <c r="R288" s="300">
        <v>400100100</v>
      </c>
      <c r="S288" s="295" t="s">
        <v>1089</v>
      </c>
      <c r="T288" s="299" t="s">
        <v>1470</v>
      </c>
      <c r="U288" s="311">
        <v>3</v>
      </c>
      <c r="V288" s="311">
        <v>3</v>
      </c>
      <c r="W288" s="328">
        <f t="shared" si="19"/>
        <v>6</v>
      </c>
      <c r="X288" s="530">
        <v>0</v>
      </c>
      <c r="Y288" s="296">
        <v>2020003630145</v>
      </c>
      <c r="Z288" s="310" t="s">
        <v>1090</v>
      </c>
      <c r="AA288" s="297" t="s">
        <v>1091</v>
      </c>
      <c r="AB288" s="108"/>
      <c r="AC288" s="108"/>
      <c r="AD288" s="108"/>
      <c r="AE288" s="44"/>
      <c r="AF288" s="44"/>
      <c r="AG288" s="44"/>
      <c r="AH288" s="44"/>
      <c r="AI288" s="44"/>
      <c r="AJ288" s="44"/>
      <c r="AK288" s="44"/>
      <c r="AL288" s="44"/>
      <c r="AM288" s="44"/>
      <c r="AN288" s="44"/>
      <c r="AO288" s="44"/>
      <c r="AP288" s="44"/>
      <c r="AQ288" s="44"/>
      <c r="AR288" s="44"/>
      <c r="AS288" s="44"/>
      <c r="AT288" s="353"/>
      <c r="AU288" s="133"/>
      <c r="AV288" s="133"/>
      <c r="AW288" s="361">
        <v>33000000</v>
      </c>
      <c r="AX288" s="44">
        <v>32544999</v>
      </c>
      <c r="AY288" s="44">
        <v>8490000</v>
      </c>
      <c r="AZ288" s="358"/>
      <c r="BA288" s="44"/>
      <c r="BB288" s="44"/>
      <c r="BC288" s="362"/>
      <c r="BD288" s="40"/>
      <c r="BE288" s="40"/>
      <c r="BF288" s="298">
        <f t="shared" si="16"/>
        <v>33000000</v>
      </c>
      <c r="BG288" s="298">
        <f t="shared" si="17"/>
        <v>32544999</v>
      </c>
      <c r="BH288" s="298">
        <f t="shared" si="18"/>
        <v>8490000</v>
      </c>
      <c r="BI288" s="386" t="s">
        <v>1486</v>
      </c>
      <c r="BK288" s="34"/>
      <c r="BL288" s="34"/>
    </row>
    <row r="289" spans="1:64" s="16" customFormat="1" ht="117" customHeight="1" x14ac:dyDescent="0.2">
      <c r="A289" s="29">
        <v>320</v>
      </c>
      <c r="B289" s="325" t="s">
        <v>1294</v>
      </c>
      <c r="C289" s="29">
        <v>3</v>
      </c>
      <c r="D289" s="325" t="s">
        <v>1198</v>
      </c>
      <c r="E289" s="29">
        <v>40</v>
      </c>
      <c r="F289" s="325" t="s">
        <v>1215</v>
      </c>
      <c r="G289" s="29">
        <v>4001</v>
      </c>
      <c r="H289" s="325" t="s">
        <v>183</v>
      </c>
      <c r="I289" s="29">
        <v>4001</v>
      </c>
      <c r="J289" s="30" t="s">
        <v>1256</v>
      </c>
      <c r="K289" s="297" t="s">
        <v>1092</v>
      </c>
      <c r="L289" s="304">
        <v>4001017</v>
      </c>
      <c r="M289" s="30" t="s">
        <v>1093</v>
      </c>
      <c r="N289" s="349">
        <v>4001017</v>
      </c>
      <c r="O289" s="30" t="s">
        <v>1093</v>
      </c>
      <c r="P289" s="300" t="s">
        <v>1094</v>
      </c>
      <c r="Q289" s="295" t="s">
        <v>1095</v>
      </c>
      <c r="R289" s="300">
        <v>400101700</v>
      </c>
      <c r="S289" s="295" t="s">
        <v>1095</v>
      </c>
      <c r="T289" s="299" t="s">
        <v>1470</v>
      </c>
      <c r="U289" s="311">
        <v>25</v>
      </c>
      <c r="V289" s="311"/>
      <c r="W289" s="328">
        <f t="shared" si="19"/>
        <v>25</v>
      </c>
      <c r="X289" s="530">
        <v>0</v>
      </c>
      <c r="Y289" s="296">
        <v>2020003630145</v>
      </c>
      <c r="Z289" s="310" t="s">
        <v>1090</v>
      </c>
      <c r="AA289" s="297" t="s">
        <v>1091</v>
      </c>
      <c r="AB289" s="108">
        <v>195000000</v>
      </c>
      <c r="AC289" s="108">
        <v>22608083</v>
      </c>
      <c r="AD289" s="108">
        <v>1100000</v>
      </c>
      <c r="AE289" s="44"/>
      <c r="AF289" s="44"/>
      <c r="AG289" s="44"/>
      <c r="AH289" s="44"/>
      <c r="AI289" s="44"/>
      <c r="AJ289" s="44"/>
      <c r="AK289" s="44"/>
      <c r="AL289" s="44"/>
      <c r="AM289" s="44"/>
      <c r="AN289" s="44"/>
      <c r="AO289" s="44"/>
      <c r="AP289" s="44"/>
      <c r="AQ289" s="44"/>
      <c r="AR289" s="44"/>
      <c r="AS289" s="44"/>
      <c r="AT289" s="353"/>
      <c r="AU289" s="133"/>
      <c r="AV289" s="133"/>
      <c r="AW289" s="366">
        <v>26000000</v>
      </c>
      <c r="AX289" s="108">
        <v>25998000</v>
      </c>
      <c r="AY289" s="108">
        <v>25998000</v>
      </c>
      <c r="AZ289" s="354"/>
      <c r="BA289" s="108"/>
      <c r="BB289" s="108"/>
      <c r="BC289" s="362"/>
      <c r="BD289" s="40"/>
      <c r="BE289" s="40"/>
      <c r="BF289" s="298">
        <f t="shared" si="16"/>
        <v>221000000</v>
      </c>
      <c r="BG289" s="298">
        <f t="shared" si="17"/>
        <v>48606083</v>
      </c>
      <c r="BH289" s="298">
        <f t="shared" si="18"/>
        <v>27098000</v>
      </c>
      <c r="BI289" s="386" t="s">
        <v>1486</v>
      </c>
      <c r="BK289" s="34"/>
      <c r="BL289" s="34"/>
    </row>
    <row r="290" spans="1:64" s="16" customFormat="1" ht="117" customHeight="1" x14ac:dyDescent="0.2">
      <c r="A290" s="29">
        <v>320</v>
      </c>
      <c r="B290" s="325" t="s">
        <v>1294</v>
      </c>
      <c r="C290" s="29">
        <v>3</v>
      </c>
      <c r="D290" s="325" t="s">
        <v>1198</v>
      </c>
      <c r="E290" s="29">
        <v>40</v>
      </c>
      <c r="F290" s="325" t="s">
        <v>1215</v>
      </c>
      <c r="G290" s="29">
        <v>4001</v>
      </c>
      <c r="H290" s="325" t="s">
        <v>183</v>
      </c>
      <c r="I290" s="29">
        <v>4001</v>
      </c>
      <c r="J290" s="30" t="s">
        <v>1256</v>
      </c>
      <c r="K290" s="297" t="s">
        <v>184</v>
      </c>
      <c r="L290" s="304">
        <v>4001018</v>
      </c>
      <c r="M290" s="30" t="s">
        <v>1096</v>
      </c>
      <c r="N290" s="349">
        <v>4001018</v>
      </c>
      <c r="O290" s="30" t="s">
        <v>1096</v>
      </c>
      <c r="P290" s="300" t="s">
        <v>1097</v>
      </c>
      <c r="Q290" s="295" t="s">
        <v>1098</v>
      </c>
      <c r="R290" s="300">
        <v>400101800</v>
      </c>
      <c r="S290" s="295" t="s">
        <v>1098</v>
      </c>
      <c r="T290" s="299" t="s">
        <v>1470</v>
      </c>
      <c r="U290" s="311">
        <v>75</v>
      </c>
      <c r="V290" s="311"/>
      <c r="W290" s="328">
        <f t="shared" si="19"/>
        <v>75</v>
      </c>
      <c r="X290" s="530">
        <v>0</v>
      </c>
      <c r="Y290" s="296">
        <v>2020003630145</v>
      </c>
      <c r="Z290" s="310" t="s">
        <v>1090</v>
      </c>
      <c r="AA290" s="297" t="s">
        <v>1091</v>
      </c>
      <c r="AB290" s="108">
        <v>325000000</v>
      </c>
      <c r="AC290" s="108">
        <v>10621500</v>
      </c>
      <c r="AD290" s="108">
        <v>1000000</v>
      </c>
      <c r="AE290" s="44"/>
      <c r="AF290" s="44"/>
      <c r="AG290" s="44"/>
      <c r="AH290" s="44"/>
      <c r="AI290" s="44"/>
      <c r="AJ290" s="44"/>
      <c r="AK290" s="44"/>
      <c r="AL290" s="44"/>
      <c r="AM290" s="44"/>
      <c r="AN290" s="44"/>
      <c r="AO290" s="44"/>
      <c r="AP290" s="44"/>
      <c r="AQ290" s="44"/>
      <c r="AR290" s="44"/>
      <c r="AS290" s="44"/>
      <c r="AT290" s="353"/>
      <c r="AU290" s="133"/>
      <c r="AV290" s="133"/>
      <c r="AW290" s="361">
        <v>39000000</v>
      </c>
      <c r="AX290" s="44">
        <v>37826500</v>
      </c>
      <c r="AY290" s="44">
        <v>31826500</v>
      </c>
      <c r="AZ290" s="358"/>
      <c r="BA290" s="44"/>
      <c r="BB290" s="44"/>
      <c r="BC290" s="362"/>
      <c r="BD290" s="40"/>
      <c r="BE290" s="40"/>
      <c r="BF290" s="298">
        <f t="shared" si="16"/>
        <v>364000000</v>
      </c>
      <c r="BG290" s="298">
        <f t="shared" si="17"/>
        <v>48448000</v>
      </c>
      <c r="BH290" s="298">
        <f t="shared" si="18"/>
        <v>32826500</v>
      </c>
      <c r="BI290" s="386" t="s">
        <v>1486</v>
      </c>
      <c r="BK290" s="34"/>
      <c r="BL290" s="34"/>
    </row>
    <row r="291" spans="1:64" s="16" customFormat="1" ht="117" customHeight="1" x14ac:dyDescent="0.2">
      <c r="A291" s="29">
        <v>320</v>
      </c>
      <c r="B291" s="325" t="s">
        <v>1294</v>
      </c>
      <c r="C291" s="29">
        <v>3</v>
      </c>
      <c r="D291" s="325" t="s">
        <v>1198</v>
      </c>
      <c r="E291" s="29">
        <v>40</v>
      </c>
      <c r="F291" s="325" t="s">
        <v>1215</v>
      </c>
      <c r="G291" s="29">
        <v>4001</v>
      </c>
      <c r="H291" s="325" t="s">
        <v>183</v>
      </c>
      <c r="I291" s="29">
        <v>4001</v>
      </c>
      <c r="J291" s="30" t="s">
        <v>1256</v>
      </c>
      <c r="K291" s="297" t="s">
        <v>184</v>
      </c>
      <c r="L291" s="304">
        <v>4001030</v>
      </c>
      <c r="M291" s="30" t="s">
        <v>1099</v>
      </c>
      <c r="N291" s="349">
        <v>4001030</v>
      </c>
      <c r="O291" s="30" t="s">
        <v>1099</v>
      </c>
      <c r="P291" s="300" t="s">
        <v>1100</v>
      </c>
      <c r="Q291" s="295" t="s">
        <v>205</v>
      </c>
      <c r="R291" s="300">
        <v>400103000</v>
      </c>
      <c r="S291" s="295" t="s">
        <v>205</v>
      </c>
      <c r="T291" s="299" t="s">
        <v>1470</v>
      </c>
      <c r="U291" s="311">
        <v>3</v>
      </c>
      <c r="V291" s="311">
        <v>6</v>
      </c>
      <c r="W291" s="328">
        <f t="shared" si="19"/>
        <v>9</v>
      </c>
      <c r="X291" s="530">
        <v>3</v>
      </c>
      <c r="Y291" s="296">
        <v>2020003630145</v>
      </c>
      <c r="Z291" s="310" t="s">
        <v>1090</v>
      </c>
      <c r="AA291" s="297" t="s">
        <v>1091</v>
      </c>
      <c r="AB291" s="108"/>
      <c r="AC291" s="108"/>
      <c r="AD291" s="108"/>
      <c r="AE291" s="44"/>
      <c r="AF291" s="44"/>
      <c r="AG291" s="44"/>
      <c r="AH291" s="44"/>
      <c r="AI291" s="44"/>
      <c r="AJ291" s="44"/>
      <c r="AK291" s="44"/>
      <c r="AL291" s="44"/>
      <c r="AM291" s="44"/>
      <c r="AN291" s="44"/>
      <c r="AO291" s="44"/>
      <c r="AP291" s="44"/>
      <c r="AQ291" s="44"/>
      <c r="AR291" s="44"/>
      <c r="AS291" s="44"/>
      <c r="AT291" s="357"/>
      <c r="AU291" s="41"/>
      <c r="AV291" s="41"/>
      <c r="AW291" s="361">
        <f>10000000+70000000</f>
        <v>80000000</v>
      </c>
      <c r="AX291" s="44">
        <v>60000000</v>
      </c>
      <c r="AY291" s="44">
        <v>59999999.920000002</v>
      </c>
      <c r="AZ291" s="358"/>
      <c r="BA291" s="44"/>
      <c r="BB291" s="44"/>
      <c r="BC291" s="362"/>
      <c r="BD291" s="40"/>
      <c r="BE291" s="40"/>
      <c r="BF291" s="298">
        <f t="shared" si="16"/>
        <v>80000000</v>
      </c>
      <c r="BG291" s="298">
        <f t="shared" si="17"/>
        <v>60000000</v>
      </c>
      <c r="BH291" s="298">
        <f t="shared" si="18"/>
        <v>59999999.920000002</v>
      </c>
      <c r="BI291" s="386" t="s">
        <v>1486</v>
      </c>
      <c r="BK291" s="34"/>
      <c r="BL291" s="34"/>
    </row>
    <row r="292" spans="1:64" s="16" customFormat="1" ht="117" customHeight="1" x14ac:dyDescent="0.2">
      <c r="A292" s="29">
        <v>320</v>
      </c>
      <c r="B292" s="325" t="s">
        <v>1294</v>
      </c>
      <c r="C292" s="29">
        <v>3</v>
      </c>
      <c r="D292" s="325" t="s">
        <v>1198</v>
      </c>
      <c r="E292" s="29">
        <v>40</v>
      </c>
      <c r="F292" s="325" t="s">
        <v>1215</v>
      </c>
      <c r="G292" s="29">
        <v>4001</v>
      </c>
      <c r="H292" s="325" t="s">
        <v>183</v>
      </c>
      <c r="I292" s="29">
        <v>4001</v>
      </c>
      <c r="J292" s="30" t="s">
        <v>1256</v>
      </c>
      <c r="K292" s="297" t="s">
        <v>184</v>
      </c>
      <c r="L292" s="304">
        <v>4001031</v>
      </c>
      <c r="M292" s="30" t="s">
        <v>1101</v>
      </c>
      <c r="N292" s="349">
        <v>4001031</v>
      </c>
      <c r="O292" s="30" t="s">
        <v>1101</v>
      </c>
      <c r="P292" s="300">
        <v>400103103</v>
      </c>
      <c r="Q292" s="295" t="s">
        <v>1102</v>
      </c>
      <c r="R292" s="300">
        <v>400103103</v>
      </c>
      <c r="S292" s="295" t="s">
        <v>1102</v>
      </c>
      <c r="T292" s="299" t="s">
        <v>1470</v>
      </c>
      <c r="U292" s="311">
        <v>8</v>
      </c>
      <c r="V292" s="311"/>
      <c r="W292" s="328">
        <f t="shared" si="19"/>
        <v>8</v>
      </c>
      <c r="X292" s="530">
        <v>0</v>
      </c>
      <c r="Y292" s="296">
        <v>2020003630145</v>
      </c>
      <c r="Z292" s="310" t="s">
        <v>1090</v>
      </c>
      <c r="AA292" s="297" t="s">
        <v>1091</v>
      </c>
      <c r="AB292" s="108"/>
      <c r="AC292" s="108"/>
      <c r="AD292" s="108"/>
      <c r="AE292" s="44"/>
      <c r="AF292" s="44"/>
      <c r="AG292" s="44"/>
      <c r="AH292" s="44"/>
      <c r="AI292" s="44"/>
      <c r="AJ292" s="44"/>
      <c r="AK292" s="44"/>
      <c r="AL292" s="44"/>
      <c r="AM292" s="44"/>
      <c r="AN292" s="44"/>
      <c r="AO292" s="44"/>
      <c r="AP292" s="44"/>
      <c r="AQ292" s="44"/>
      <c r="AR292" s="44"/>
      <c r="AS292" s="44"/>
      <c r="AT292" s="357"/>
      <c r="AU292" s="41"/>
      <c r="AV292" s="41"/>
      <c r="AW292" s="361">
        <f>525044541-86032469.08</f>
        <v>439012071.92000002</v>
      </c>
      <c r="AX292" s="44">
        <v>116480893.22</v>
      </c>
      <c r="AY292" s="44">
        <v>116480893.22</v>
      </c>
      <c r="AZ292" s="358"/>
      <c r="BA292" s="44"/>
      <c r="BB292" s="44"/>
      <c r="BC292" s="362"/>
      <c r="BD292" s="40"/>
      <c r="BE292" s="40"/>
      <c r="BF292" s="298">
        <f t="shared" ref="BF292:BF299" si="20">AB292+AE292+AH292+AK292+AN292+AQ292+AT292+AW292+BC292</f>
        <v>439012071.92000002</v>
      </c>
      <c r="BG292" s="298">
        <f t="shared" ref="BG292:BG299" si="21">AC292+AF292+AI292+AL292+AO292+AR292+AU292+AX292+BD292</f>
        <v>116480893.22</v>
      </c>
      <c r="BH292" s="298">
        <f t="shared" ref="BH292:BH299" si="22">AD292+AG292+AJ292+AM292+AP292+AS292+AV292+AY292+BE292</f>
        <v>116480893.22</v>
      </c>
      <c r="BI292" s="386" t="s">
        <v>1486</v>
      </c>
      <c r="BK292" s="34"/>
      <c r="BL292" s="34"/>
    </row>
    <row r="293" spans="1:64" s="16" customFormat="1" ht="117" customHeight="1" x14ac:dyDescent="0.2">
      <c r="A293" s="29">
        <v>320</v>
      </c>
      <c r="B293" s="325" t="s">
        <v>1294</v>
      </c>
      <c r="C293" s="29">
        <v>3</v>
      </c>
      <c r="D293" s="325" t="s">
        <v>1198</v>
      </c>
      <c r="E293" s="29">
        <v>40</v>
      </c>
      <c r="F293" s="325" t="s">
        <v>1215</v>
      </c>
      <c r="G293" s="29">
        <v>4001</v>
      </c>
      <c r="H293" s="325" t="s">
        <v>183</v>
      </c>
      <c r="I293" s="29">
        <v>4001</v>
      </c>
      <c r="J293" s="30" t="s">
        <v>1256</v>
      </c>
      <c r="K293" s="297" t="s">
        <v>1092</v>
      </c>
      <c r="L293" s="304" t="s">
        <v>1103</v>
      </c>
      <c r="M293" s="30" t="s">
        <v>1104</v>
      </c>
      <c r="N293" s="349" t="s">
        <v>1103</v>
      </c>
      <c r="O293" s="30" t="s">
        <v>1104</v>
      </c>
      <c r="P293" s="300" t="s">
        <v>1105</v>
      </c>
      <c r="Q293" s="295" t="s">
        <v>1104</v>
      </c>
      <c r="R293" s="300">
        <v>400101400</v>
      </c>
      <c r="S293" s="295" t="s">
        <v>1104</v>
      </c>
      <c r="T293" s="299" t="s">
        <v>1470</v>
      </c>
      <c r="U293" s="311">
        <v>35</v>
      </c>
      <c r="V293" s="311"/>
      <c r="W293" s="328">
        <f t="shared" si="19"/>
        <v>35</v>
      </c>
      <c r="X293" s="530">
        <v>0</v>
      </c>
      <c r="Y293" s="316">
        <v>2020003630145</v>
      </c>
      <c r="Z293" s="317" t="s">
        <v>1090</v>
      </c>
      <c r="AA293" s="318" t="s">
        <v>1091</v>
      </c>
      <c r="AB293" s="313"/>
      <c r="AC293" s="313"/>
      <c r="AD293" s="313"/>
      <c r="AE293" s="314"/>
      <c r="AF293" s="314"/>
      <c r="AG293" s="314"/>
      <c r="AH293" s="314"/>
      <c r="AI293" s="314"/>
      <c r="AJ293" s="314"/>
      <c r="AK293" s="314"/>
      <c r="AL293" s="314"/>
      <c r="AM293" s="314"/>
      <c r="AN293" s="314"/>
      <c r="AO293" s="314"/>
      <c r="AP293" s="314"/>
      <c r="AQ293" s="314"/>
      <c r="AR293" s="314"/>
      <c r="AS293" s="314"/>
      <c r="AT293" s="360"/>
      <c r="AU293" s="41"/>
      <c r="AV293" s="41"/>
      <c r="AW293" s="368">
        <f>50000000-35000000</f>
        <v>15000000</v>
      </c>
      <c r="AX293" s="44">
        <v>14376500</v>
      </c>
      <c r="AY293" s="288">
        <v>4134000</v>
      </c>
      <c r="AZ293" s="404"/>
      <c r="BA293" s="44"/>
      <c r="BB293" s="44"/>
      <c r="BC293" s="408"/>
      <c r="BD293" s="315"/>
      <c r="BE293" s="315"/>
      <c r="BF293" s="319">
        <f t="shared" si="20"/>
        <v>15000000</v>
      </c>
      <c r="BG293" s="319">
        <f t="shared" si="21"/>
        <v>14376500</v>
      </c>
      <c r="BH293" s="319">
        <f t="shared" si="22"/>
        <v>4134000</v>
      </c>
      <c r="BI293" s="386" t="s">
        <v>1486</v>
      </c>
      <c r="BK293" s="34"/>
      <c r="BL293" s="34"/>
    </row>
    <row r="294" spans="1:64" s="16" customFormat="1" ht="117" customHeight="1" x14ac:dyDescent="0.2">
      <c r="A294" s="29">
        <v>320</v>
      </c>
      <c r="B294" s="325" t="s">
        <v>1294</v>
      </c>
      <c r="C294" s="29">
        <v>3</v>
      </c>
      <c r="D294" s="325" t="s">
        <v>1198</v>
      </c>
      <c r="E294" s="29">
        <v>40</v>
      </c>
      <c r="F294" s="325" t="s">
        <v>1215</v>
      </c>
      <c r="G294" s="29">
        <v>4001</v>
      </c>
      <c r="H294" s="325" t="s">
        <v>183</v>
      </c>
      <c r="I294" s="29">
        <v>4001</v>
      </c>
      <c r="J294" s="30" t="s">
        <v>1256</v>
      </c>
      <c r="K294" s="297" t="s">
        <v>184</v>
      </c>
      <c r="L294" s="304" t="s">
        <v>1106</v>
      </c>
      <c r="M294" s="30" t="s">
        <v>187</v>
      </c>
      <c r="N294" s="349" t="s">
        <v>1106</v>
      </c>
      <c r="O294" s="30" t="s">
        <v>187</v>
      </c>
      <c r="P294" s="300">
        <v>400101500</v>
      </c>
      <c r="Q294" s="295" t="s">
        <v>187</v>
      </c>
      <c r="R294" s="300">
        <v>400101500</v>
      </c>
      <c r="S294" s="295" t="s">
        <v>187</v>
      </c>
      <c r="T294" s="299" t="s">
        <v>1470</v>
      </c>
      <c r="U294" s="296">
        <v>120</v>
      </c>
      <c r="V294" s="296">
        <v>46</v>
      </c>
      <c r="W294" s="328">
        <f t="shared" si="19"/>
        <v>166</v>
      </c>
      <c r="X294" s="530">
        <v>0</v>
      </c>
      <c r="Y294" s="296">
        <v>2020003630145</v>
      </c>
      <c r="Z294" s="310" t="s">
        <v>1090</v>
      </c>
      <c r="AA294" s="297" t="s">
        <v>1091</v>
      </c>
      <c r="AB294" s="108"/>
      <c r="AC294" s="108"/>
      <c r="AD294" s="108"/>
      <c r="AE294" s="44"/>
      <c r="AF294" s="44"/>
      <c r="AG294" s="44"/>
      <c r="AH294" s="44"/>
      <c r="AI294" s="44"/>
      <c r="AJ294" s="44"/>
      <c r="AK294" s="44"/>
      <c r="AL294" s="44"/>
      <c r="AM294" s="44"/>
      <c r="AN294" s="44"/>
      <c r="AO294" s="44"/>
      <c r="AP294" s="44"/>
      <c r="AQ294" s="44"/>
      <c r="AR294" s="44"/>
      <c r="AS294" s="44"/>
      <c r="AT294" s="357"/>
      <c r="AU294" s="41"/>
      <c r="AV294" s="41"/>
      <c r="AW294" s="369">
        <f>50000000-35000000+36032469.08</f>
        <v>51032469.079999998</v>
      </c>
      <c r="AX294" s="44">
        <v>38697887</v>
      </c>
      <c r="AY294" s="44">
        <v>7890000</v>
      </c>
      <c r="AZ294" s="44"/>
      <c r="BA294" s="44"/>
      <c r="BB294" s="44"/>
      <c r="BC294" s="362"/>
      <c r="BD294" s="40"/>
      <c r="BE294" s="40"/>
      <c r="BF294" s="298">
        <f t="shared" si="20"/>
        <v>51032469.079999998</v>
      </c>
      <c r="BG294" s="298">
        <f t="shared" si="21"/>
        <v>38697887</v>
      </c>
      <c r="BH294" s="298">
        <f t="shared" si="22"/>
        <v>7890000</v>
      </c>
      <c r="BI294" s="386" t="s">
        <v>1486</v>
      </c>
      <c r="BK294" s="34"/>
      <c r="BL294" s="34"/>
    </row>
    <row r="295" spans="1:64" s="16" customFormat="1" ht="117" customHeight="1" x14ac:dyDescent="0.2">
      <c r="A295" s="29">
        <v>320</v>
      </c>
      <c r="B295" s="325" t="s">
        <v>1294</v>
      </c>
      <c r="C295" s="29">
        <v>4</v>
      </c>
      <c r="D295" s="325" t="s">
        <v>1192</v>
      </c>
      <c r="E295" s="29">
        <v>45</v>
      </c>
      <c r="F295" s="325" t="s">
        <v>28</v>
      </c>
      <c r="G295" s="29" t="s">
        <v>31</v>
      </c>
      <c r="H295" s="325" t="s">
        <v>1227</v>
      </c>
      <c r="I295" s="29">
        <v>4599</v>
      </c>
      <c r="J295" s="30" t="s">
        <v>1228</v>
      </c>
      <c r="K295" s="297" t="s">
        <v>30</v>
      </c>
      <c r="L295" s="304" t="s">
        <v>31</v>
      </c>
      <c r="M295" s="30" t="s">
        <v>209</v>
      </c>
      <c r="N295" s="349" t="s">
        <v>210</v>
      </c>
      <c r="O295" s="30" t="s">
        <v>130</v>
      </c>
      <c r="P295" s="300" t="s">
        <v>31</v>
      </c>
      <c r="Q295" s="295" t="s">
        <v>211</v>
      </c>
      <c r="R295" s="300">
        <v>459901600</v>
      </c>
      <c r="S295" s="295" t="s">
        <v>130</v>
      </c>
      <c r="T295" s="299" t="s">
        <v>1469</v>
      </c>
      <c r="U295" s="296">
        <v>4</v>
      </c>
      <c r="V295" s="296"/>
      <c r="W295" s="328">
        <v>4</v>
      </c>
      <c r="X295" s="530">
        <v>0</v>
      </c>
      <c r="Y295" s="296">
        <v>2022003630006</v>
      </c>
      <c r="Z295" s="310" t="s">
        <v>1503</v>
      </c>
      <c r="AA295" s="297" t="s">
        <v>1504</v>
      </c>
      <c r="AB295" s="108"/>
      <c r="AC295" s="108"/>
      <c r="AD295" s="108"/>
      <c r="AE295" s="44"/>
      <c r="AF295" s="44"/>
      <c r="AG295" s="44"/>
      <c r="AH295" s="44"/>
      <c r="AI295" s="44"/>
      <c r="AJ295" s="44"/>
      <c r="AK295" s="44"/>
      <c r="AL295" s="44"/>
      <c r="AM295" s="44"/>
      <c r="AN295" s="44"/>
      <c r="AO295" s="44"/>
      <c r="AP295" s="44"/>
      <c r="AQ295" s="44"/>
      <c r="AR295" s="44"/>
      <c r="AS295" s="44"/>
      <c r="AT295" s="357"/>
      <c r="AU295" s="41"/>
      <c r="AV295" s="41"/>
      <c r="AW295" s="503">
        <v>50000000</v>
      </c>
      <c r="AX295" s="44">
        <v>3445000</v>
      </c>
      <c r="AY295" s="44">
        <v>0</v>
      </c>
      <c r="AZ295" s="44"/>
      <c r="BA295" s="44"/>
      <c r="BB295" s="44"/>
      <c r="BC295" s="362"/>
      <c r="BD295" s="40"/>
      <c r="BE295" s="40"/>
      <c r="BF295" s="298">
        <f t="shared" ref="BF295" si="23">AB295+AE295+AH295+AK295+AN295+AQ295+AT295+AW295+BC295</f>
        <v>50000000</v>
      </c>
      <c r="BG295" s="298">
        <f t="shared" ref="BG295" si="24">AC295+AF295+AI295+AL295+AO295+AR295+AU295+AX295+BD295</f>
        <v>3445000</v>
      </c>
      <c r="BH295" s="298">
        <f t="shared" ref="BH295" si="25">AD295+AG295+AJ295+AM295+AP295+AS295+AV295+AY295+BE295</f>
        <v>0</v>
      </c>
      <c r="BI295" s="386" t="s">
        <v>1486</v>
      </c>
      <c r="BK295" s="34"/>
      <c r="BL295" s="34"/>
    </row>
    <row r="296" spans="1:64" s="16" customFormat="1" ht="117" customHeight="1" x14ac:dyDescent="0.2">
      <c r="A296" s="29">
        <v>321</v>
      </c>
      <c r="B296" s="325" t="s">
        <v>1214</v>
      </c>
      <c r="C296" s="29">
        <v>3</v>
      </c>
      <c r="D296" s="325" t="s">
        <v>1198</v>
      </c>
      <c r="E296" s="29">
        <v>24</v>
      </c>
      <c r="F296" s="325" t="s">
        <v>151</v>
      </c>
      <c r="G296" s="29">
        <v>2409</v>
      </c>
      <c r="H296" s="325" t="s">
        <v>1108</v>
      </c>
      <c r="I296" s="29">
        <v>2409</v>
      </c>
      <c r="J296" s="30" t="s">
        <v>1245</v>
      </c>
      <c r="K296" s="301" t="s">
        <v>1109</v>
      </c>
      <c r="L296" s="300" t="s">
        <v>31</v>
      </c>
      <c r="M296" s="30" t="s">
        <v>1110</v>
      </c>
      <c r="N296" s="29">
        <v>2409009</v>
      </c>
      <c r="O296" s="30" t="s">
        <v>1111</v>
      </c>
      <c r="P296" s="300" t="s">
        <v>31</v>
      </c>
      <c r="Q296" s="295" t="s">
        <v>1112</v>
      </c>
      <c r="R296" s="29">
        <v>240900900</v>
      </c>
      <c r="S296" s="295" t="s">
        <v>1113</v>
      </c>
      <c r="T296" s="299" t="s">
        <v>1469</v>
      </c>
      <c r="U296" s="311">
        <v>1</v>
      </c>
      <c r="V296" s="311"/>
      <c r="W296" s="328">
        <f t="shared" si="19"/>
        <v>1</v>
      </c>
      <c r="X296" s="530">
        <v>0.5</v>
      </c>
      <c r="Y296" s="296">
        <v>2020003630149</v>
      </c>
      <c r="Z296" s="310" t="s">
        <v>1114</v>
      </c>
      <c r="AA296" s="297" t="s">
        <v>1115</v>
      </c>
      <c r="AB296" s="44"/>
      <c r="AC296" s="44"/>
      <c r="AD296" s="44"/>
      <c r="AE296" s="44"/>
      <c r="AF296" s="44"/>
      <c r="AG296" s="44"/>
      <c r="AH296" s="44"/>
      <c r="AI296" s="44"/>
      <c r="AJ296" s="44"/>
      <c r="AK296" s="44"/>
      <c r="AL296" s="44"/>
      <c r="AM296" s="44"/>
      <c r="AN296" s="44"/>
      <c r="AO296" s="44"/>
      <c r="AP296" s="44"/>
      <c r="AQ296" s="44"/>
      <c r="AR296" s="44"/>
      <c r="AS296" s="44"/>
      <c r="AT296" s="353"/>
      <c r="AU296" s="133"/>
      <c r="AV296" s="133"/>
      <c r="AW296" s="367">
        <f>28007760-18007760</f>
        <v>10000000</v>
      </c>
      <c r="AX296" s="133"/>
      <c r="AY296" s="133"/>
      <c r="AZ296" s="353"/>
      <c r="BA296" s="133"/>
      <c r="BB296" s="133"/>
      <c r="BC296" s="361"/>
      <c r="BD296" s="44"/>
      <c r="BE296" s="44"/>
      <c r="BF296" s="298">
        <f t="shared" si="20"/>
        <v>10000000</v>
      </c>
      <c r="BG296" s="298">
        <f t="shared" si="21"/>
        <v>0</v>
      </c>
      <c r="BH296" s="298">
        <f t="shared" si="22"/>
        <v>0</v>
      </c>
      <c r="BI296" s="386" t="s">
        <v>1487</v>
      </c>
      <c r="BK296" s="34"/>
      <c r="BL296" s="34"/>
    </row>
    <row r="297" spans="1:64" s="16" customFormat="1" ht="117" customHeight="1" x14ac:dyDescent="0.2">
      <c r="A297" s="29">
        <v>321</v>
      </c>
      <c r="B297" s="325" t="s">
        <v>1214</v>
      </c>
      <c r="C297" s="29">
        <v>3</v>
      </c>
      <c r="D297" s="325" t="s">
        <v>1198</v>
      </c>
      <c r="E297" s="29">
        <v>24</v>
      </c>
      <c r="F297" s="325" t="s">
        <v>151</v>
      </c>
      <c r="G297" s="29">
        <v>2409</v>
      </c>
      <c r="H297" s="325" t="s">
        <v>1108</v>
      </c>
      <c r="I297" s="29">
        <v>2409</v>
      </c>
      <c r="J297" s="30" t="s">
        <v>1245</v>
      </c>
      <c r="K297" s="301" t="s">
        <v>1109</v>
      </c>
      <c r="L297" s="300" t="s">
        <v>31</v>
      </c>
      <c r="M297" s="30" t="s">
        <v>1116</v>
      </c>
      <c r="N297" s="29">
        <v>2409022</v>
      </c>
      <c r="O297" s="30" t="s">
        <v>1117</v>
      </c>
      <c r="P297" s="300" t="s">
        <v>31</v>
      </c>
      <c r="Q297" s="295" t="s">
        <v>1118</v>
      </c>
      <c r="R297" s="29">
        <v>240902202</v>
      </c>
      <c r="S297" s="295" t="s">
        <v>1141</v>
      </c>
      <c r="T297" s="299" t="s">
        <v>1469</v>
      </c>
      <c r="U297" s="311">
        <v>1</v>
      </c>
      <c r="V297" s="311"/>
      <c r="W297" s="328">
        <f t="shared" si="19"/>
        <v>1</v>
      </c>
      <c r="X297" s="530">
        <v>0.5</v>
      </c>
      <c r="Y297" s="296">
        <v>2020003630149</v>
      </c>
      <c r="Z297" s="310" t="s">
        <v>1114</v>
      </c>
      <c r="AA297" s="297" t="s">
        <v>1115</v>
      </c>
      <c r="AB297" s="44"/>
      <c r="AC297" s="44"/>
      <c r="AD297" s="44"/>
      <c r="AE297" s="44"/>
      <c r="AF297" s="44"/>
      <c r="AG297" s="44"/>
      <c r="AH297" s="44"/>
      <c r="AI297" s="44"/>
      <c r="AJ297" s="44"/>
      <c r="AK297" s="44"/>
      <c r="AL297" s="44"/>
      <c r="AM297" s="44"/>
      <c r="AN297" s="44"/>
      <c r="AO297" s="44"/>
      <c r="AP297" s="44"/>
      <c r="AQ297" s="44"/>
      <c r="AR297" s="44"/>
      <c r="AS297" s="44"/>
      <c r="AT297" s="353"/>
      <c r="AU297" s="133"/>
      <c r="AV297" s="133"/>
      <c r="AW297" s="367">
        <f>26734680-21934680</f>
        <v>4800000</v>
      </c>
      <c r="AX297" s="133"/>
      <c r="AY297" s="133"/>
      <c r="AZ297" s="353"/>
      <c r="BA297" s="133"/>
      <c r="BB297" s="133"/>
      <c r="BC297" s="361"/>
      <c r="BD297" s="44"/>
      <c r="BE297" s="44"/>
      <c r="BF297" s="298">
        <f t="shared" si="20"/>
        <v>4800000</v>
      </c>
      <c r="BG297" s="298">
        <f t="shared" si="21"/>
        <v>0</v>
      </c>
      <c r="BH297" s="298">
        <f t="shared" si="22"/>
        <v>0</v>
      </c>
      <c r="BI297" s="386" t="s">
        <v>1487</v>
      </c>
      <c r="BK297" s="34"/>
      <c r="BL297" s="34"/>
    </row>
    <row r="298" spans="1:64" s="16" customFormat="1" ht="117" customHeight="1" x14ac:dyDescent="0.2">
      <c r="A298" s="29">
        <v>321</v>
      </c>
      <c r="B298" s="325" t="s">
        <v>1214</v>
      </c>
      <c r="C298" s="29">
        <v>3</v>
      </c>
      <c r="D298" s="325" t="s">
        <v>1198</v>
      </c>
      <c r="E298" s="29">
        <v>24</v>
      </c>
      <c r="F298" s="325" t="s">
        <v>151</v>
      </c>
      <c r="G298" s="29">
        <v>2409</v>
      </c>
      <c r="H298" s="325" t="s">
        <v>1108</v>
      </c>
      <c r="I298" s="29">
        <v>2409</v>
      </c>
      <c r="J298" s="30" t="s">
        <v>1245</v>
      </c>
      <c r="K298" s="301" t="s">
        <v>1109</v>
      </c>
      <c r="L298" s="300" t="s">
        <v>31</v>
      </c>
      <c r="M298" s="30" t="s">
        <v>1142</v>
      </c>
      <c r="N298" s="29">
        <v>2409014</v>
      </c>
      <c r="O298" s="30" t="s">
        <v>193</v>
      </c>
      <c r="P298" s="300" t="s">
        <v>31</v>
      </c>
      <c r="Q298" s="295" t="s">
        <v>1119</v>
      </c>
      <c r="R298" s="29">
        <v>240901400</v>
      </c>
      <c r="S298" s="295" t="s">
        <v>803</v>
      </c>
      <c r="T298" s="299" t="s">
        <v>1469</v>
      </c>
      <c r="U298" s="311">
        <v>1</v>
      </c>
      <c r="V298" s="311"/>
      <c r="W298" s="328">
        <f t="shared" si="19"/>
        <v>1</v>
      </c>
      <c r="X298" s="530">
        <v>0.75</v>
      </c>
      <c r="Y298" s="296">
        <v>2020003630149</v>
      </c>
      <c r="Z298" s="310" t="s">
        <v>1114</v>
      </c>
      <c r="AA298" s="297" t="s">
        <v>1115</v>
      </c>
      <c r="AB298" s="44"/>
      <c r="AC298" s="44"/>
      <c r="AD298" s="44"/>
      <c r="AE298" s="44"/>
      <c r="AF298" s="44"/>
      <c r="AG298" s="44"/>
      <c r="AH298" s="44"/>
      <c r="AI298" s="44"/>
      <c r="AJ298" s="44"/>
      <c r="AK298" s="44"/>
      <c r="AL298" s="44"/>
      <c r="AM298" s="44"/>
      <c r="AN298" s="44"/>
      <c r="AO298" s="44"/>
      <c r="AP298" s="44"/>
      <c r="AQ298" s="44"/>
      <c r="AR298" s="44"/>
      <c r="AS298" s="44"/>
      <c r="AT298" s="353"/>
      <c r="AU298" s="133"/>
      <c r="AV298" s="133"/>
      <c r="AW298" s="367">
        <f>8911560+39418440</f>
        <v>48330000</v>
      </c>
      <c r="AX298" s="133">
        <v>48330000</v>
      </c>
      <c r="AY298" s="133">
        <v>3750000</v>
      </c>
      <c r="AZ298" s="353"/>
      <c r="BA298" s="133"/>
      <c r="BB298" s="133"/>
      <c r="BC298" s="361"/>
      <c r="BD298" s="44"/>
      <c r="BE298" s="44"/>
      <c r="BF298" s="298">
        <f t="shared" si="20"/>
        <v>48330000</v>
      </c>
      <c r="BG298" s="298">
        <f t="shared" si="21"/>
        <v>48330000</v>
      </c>
      <c r="BH298" s="298">
        <f t="shared" si="22"/>
        <v>3750000</v>
      </c>
      <c r="BI298" s="386" t="s">
        <v>1487</v>
      </c>
      <c r="BK298" s="34"/>
      <c r="BL298" s="34"/>
    </row>
    <row r="299" spans="1:64" s="155" customFormat="1" ht="117" customHeight="1" x14ac:dyDescent="0.25">
      <c r="A299" s="29">
        <v>321</v>
      </c>
      <c r="B299" s="325" t="s">
        <v>1214</v>
      </c>
      <c r="C299" s="29">
        <v>3</v>
      </c>
      <c r="D299" s="325" t="s">
        <v>1198</v>
      </c>
      <c r="E299" s="29">
        <v>24</v>
      </c>
      <c r="F299" s="325" t="s">
        <v>151</v>
      </c>
      <c r="G299" s="29">
        <v>2409</v>
      </c>
      <c r="H299" s="325" t="s">
        <v>1108</v>
      </c>
      <c r="I299" s="29">
        <v>2409</v>
      </c>
      <c r="J299" s="30" t="s">
        <v>1245</v>
      </c>
      <c r="K299" s="301" t="s">
        <v>1109</v>
      </c>
      <c r="L299" s="300" t="s">
        <v>31</v>
      </c>
      <c r="M299" s="30" t="s">
        <v>1120</v>
      </c>
      <c r="N299" s="29">
        <v>2409039</v>
      </c>
      <c r="O299" s="30" t="s">
        <v>1121</v>
      </c>
      <c r="P299" s="300" t="s">
        <v>31</v>
      </c>
      <c r="Q299" s="295" t="s">
        <v>1122</v>
      </c>
      <c r="R299" s="29">
        <v>240903905</v>
      </c>
      <c r="S299" s="295" t="s">
        <v>1123</v>
      </c>
      <c r="T299" s="299" t="s">
        <v>1469</v>
      </c>
      <c r="U299" s="311">
        <v>1</v>
      </c>
      <c r="V299" s="311"/>
      <c r="W299" s="328">
        <f t="shared" si="19"/>
        <v>1</v>
      </c>
      <c r="X299" s="530">
        <v>0.61</v>
      </c>
      <c r="Y299" s="296">
        <v>2020003630149</v>
      </c>
      <c r="Z299" s="310" t="s">
        <v>1114</v>
      </c>
      <c r="AA299" s="297" t="s">
        <v>1115</v>
      </c>
      <c r="AB299" s="44"/>
      <c r="AC299" s="44"/>
      <c r="AD299" s="44"/>
      <c r="AE299" s="44"/>
      <c r="AF299" s="44"/>
      <c r="AG299" s="44"/>
      <c r="AH299" s="44"/>
      <c r="AI299" s="44"/>
      <c r="AJ299" s="44"/>
      <c r="AK299" s="44"/>
      <c r="AL299" s="44"/>
      <c r="AM299" s="44"/>
      <c r="AN299" s="44"/>
      <c r="AO299" s="44"/>
      <c r="AP299" s="44"/>
      <c r="AQ299" s="44"/>
      <c r="AR299" s="44"/>
      <c r="AS299" s="44"/>
      <c r="AT299" s="353"/>
      <c r="AU299" s="133"/>
      <c r="AV299" s="133"/>
      <c r="AW299" s="367">
        <f>49862300+524000</f>
        <v>50386300</v>
      </c>
      <c r="AX299" s="133">
        <v>30970000</v>
      </c>
      <c r="AY299" s="133"/>
      <c r="AZ299" s="353"/>
      <c r="BA299" s="133"/>
      <c r="BB299" s="133"/>
      <c r="BC299" s="361"/>
      <c r="BD299" s="44"/>
      <c r="BE299" s="44"/>
      <c r="BF299" s="298">
        <f t="shared" si="20"/>
        <v>50386300</v>
      </c>
      <c r="BG299" s="298">
        <f t="shared" si="21"/>
        <v>30970000</v>
      </c>
      <c r="BH299" s="298">
        <f t="shared" si="22"/>
        <v>0</v>
      </c>
      <c r="BI299" s="386" t="s">
        <v>1487</v>
      </c>
      <c r="BL299" s="34"/>
    </row>
    <row r="300" spans="1:64" s="156" customFormat="1" ht="34.5" customHeight="1" x14ac:dyDescent="0.25">
      <c r="A300" s="152" t="s">
        <v>1273</v>
      </c>
      <c r="B300" s="153"/>
      <c r="C300" s="143"/>
      <c r="D300" s="142"/>
      <c r="E300" s="144"/>
      <c r="F300" s="142"/>
      <c r="G300" s="142"/>
      <c r="H300" s="142"/>
      <c r="I300" s="142"/>
      <c r="J300" s="142"/>
      <c r="K300" s="142"/>
      <c r="L300" s="144"/>
      <c r="M300" s="142"/>
      <c r="N300" s="145"/>
      <c r="O300" s="142"/>
      <c r="P300" s="142"/>
      <c r="Q300" s="142"/>
      <c r="R300" s="144"/>
      <c r="S300" s="142"/>
      <c r="T300" s="145"/>
      <c r="U300" s="144"/>
      <c r="V300" s="144"/>
      <c r="W300" s="144"/>
      <c r="X300" s="144"/>
      <c r="Y300" s="197"/>
      <c r="Z300" s="142"/>
      <c r="AA300" s="146"/>
      <c r="AB300" s="154">
        <f t="shared" ref="AB300:AY300" si="26">SUBTOTAL(9,AB8:AB278)</f>
        <v>17424060825.029999</v>
      </c>
      <c r="AC300" s="154">
        <f t="shared" si="26"/>
        <v>7108385524.3999996</v>
      </c>
      <c r="AD300" s="154">
        <f t="shared" si="26"/>
        <v>5478236643.3199997</v>
      </c>
      <c r="AE300" s="154">
        <f t="shared" si="26"/>
        <v>3333309369.1799998</v>
      </c>
      <c r="AF300" s="154">
        <f t="shared" si="26"/>
        <v>2543409585</v>
      </c>
      <c r="AG300" s="154">
        <f t="shared" si="26"/>
        <v>2543409585</v>
      </c>
      <c r="AH300" s="154">
        <f t="shared" si="26"/>
        <v>8527824913.7800007</v>
      </c>
      <c r="AI300" s="154">
        <f t="shared" si="26"/>
        <v>6049762001.96</v>
      </c>
      <c r="AJ300" s="154">
        <f t="shared" si="26"/>
        <v>3409762966</v>
      </c>
      <c r="AK300" s="154">
        <f t="shared" si="26"/>
        <v>45436328386.419998</v>
      </c>
      <c r="AL300" s="154">
        <f t="shared" si="26"/>
        <v>36936758830.700005</v>
      </c>
      <c r="AM300" s="154">
        <f t="shared" si="26"/>
        <v>29454957589.309998</v>
      </c>
      <c r="AN300" s="154">
        <f t="shared" si="26"/>
        <v>180736973259.51999</v>
      </c>
      <c r="AO300" s="154">
        <f t="shared" si="26"/>
        <v>120294083927.25999</v>
      </c>
      <c r="AP300" s="154">
        <f t="shared" si="26"/>
        <v>118356754020</v>
      </c>
      <c r="AQ300" s="154">
        <f t="shared" si="26"/>
        <v>2867588397.8000002</v>
      </c>
      <c r="AR300" s="154">
        <f t="shared" si="26"/>
        <v>2866923608</v>
      </c>
      <c r="AS300" s="154">
        <f t="shared" si="26"/>
        <v>1907335905</v>
      </c>
      <c r="AT300" s="154">
        <f t="shared" si="26"/>
        <v>40266856468.800003</v>
      </c>
      <c r="AU300" s="154">
        <f t="shared" si="26"/>
        <v>28344630265.330002</v>
      </c>
      <c r="AV300" s="154">
        <f t="shared" si="26"/>
        <v>16100980484.139999</v>
      </c>
      <c r="AW300" s="154">
        <f t="shared" si="26"/>
        <v>8337798080.1899996</v>
      </c>
      <c r="AX300" s="154">
        <f t="shared" si="26"/>
        <v>3962953851</v>
      </c>
      <c r="AY300" s="154">
        <f t="shared" si="26"/>
        <v>1525785407.6900001</v>
      </c>
      <c r="AZ300" s="154"/>
      <c r="BA300" s="154"/>
      <c r="BB300" s="154"/>
      <c r="BC300" s="154">
        <f>SUBTOTAL(9,BC8:BC278)</f>
        <v>41311168389.359993</v>
      </c>
      <c r="BD300" s="154">
        <f>SUBTOTAL(9,BD8:BD278)</f>
        <v>29495054192</v>
      </c>
      <c r="BE300" s="154">
        <f>SUBTOTAL(9,BE8:BE278)</f>
        <v>17096069936.040001</v>
      </c>
      <c r="BF300" s="154">
        <f>SUM(BF8:BF278)</f>
        <v>348347514675.73999</v>
      </c>
      <c r="BG300" s="154">
        <f>SUM(BG8:BG278)</f>
        <v>237707568371.31</v>
      </c>
      <c r="BH300" s="154">
        <f>SUM(BH8:BH278)</f>
        <v>195978899122.16</v>
      </c>
      <c r="BI300" s="154"/>
      <c r="BL300" s="34"/>
    </row>
    <row r="301" spans="1:64" s="157" customFormat="1" ht="34.5" customHeight="1" x14ac:dyDescent="0.25">
      <c r="A301" s="577" t="s">
        <v>1274</v>
      </c>
      <c r="B301" s="578"/>
      <c r="C301" s="578"/>
      <c r="D301" s="578"/>
      <c r="E301" s="140"/>
      <c r="F301" s="140"/>
      <c r="G301" s="140"/>
      <c r="H301" s="140"/>
      <c r="I301" s="140"/>
      <c r="J301" s="140"/>
      <c r="K301" s="140"/>
      <c r="L301" s="140"/>
      <c r="M301" s="140"/>
      <c r="N301" s="140"/>
      <c r="O301" s="140"/>
      <c r="P301" s="140"/>
      <c r="Q301" s="140"/>
      <c r="R301" s="140"/>
      <c r="S301" s="140"/>
      <c r="T301" s="140"/>
      <c r="U301" s="140"/>
      <c r="V301" s="140"/>
      <c r="W301" s="140"/>
      <c r="X301" s="140"/>
      <c r="Y301" s="198"/>
      <c r="Z301" s="141"/>
      <c r="AA301" s="139"/>
      <c r="AB301" s="139">
        <f t="shared" ref="AB301:AY301" si="27">SUM(AB279:AB299)</f>
        <v>5523620536.3299999</v>
      </c>
      <c r="AC301" s="139">
        <f t="shared" si="27"/>
        <v>2510691030.54</v>
      </c>
      <c r="AD301" s="139">
        <f t="shared" si="27"/>
        <v>1484428850.6500001</v>
      </c>
      <c r="AE301" s="139">
        <f t="shared" si="27"/>
        <v>910154836</v>
      </c>
      <c r="AF301" s="139">
        <f t="shared" si="27"/>
        <v>650238234.01999998</v>
      </c>
      <c r="AG301" s="139">
        <f t="shared" si="27"/>
        <v>494605379.01999998</v>
      </c>
      <c r="AH301" s="139">
        <f t="shared" si="27"/>
        <v>0</v>
      </c>
      <c r="AI301" s="139">
        <f t="shared" si="27"/>
        <v>0</v>
      </c>
      <c r="AJ301" s="139">
        <f t="shared" si="27"/>
        <v>0</v>
      </c>
      <c r="AK301" s="139">
        <f t="shared" si="27"/>
        <v>394592792</v>
      </c>
      <c r="AL301" s="139">
        <f t="shared" si="27"/>
        <v>226439310</v>
      </c>
      <c r="AM301" s="139">
        <f t="shared" si="27"/>
        <v>165344010</v>
      </c>
      <c r="AN301" s="139">
        <f t="shared" si="27"/>
        <v>0</v>
      </c>
      <c r="AO301" s="139">
        <f t="shared" si="27"/>
        <v>0</v>
      </c>
      <c r="AP301" s="139">
        <f t="shared" si="27"/>
        <v>0</v>
      </c>
      <c r="AQ301" s="139">
        <f t="shared" si="27"/>
        <v>0</v>
      </c>
      <c r="AR301" s="139">
        <f t="shared" si="27"/>
        <v>0</v>
      </c>
      <c r="AS301" s="139">
        <f t="shared" si="27"/>
        <v>0</v>
      </c>
      <c r="AT301" s="139">
        <f t="shared" si="27"/>
        <v>1047366655.1800001</v>
      </c>
      <c r="AU301" s="139">
        <f t="shared" si="27"/>
        <v>913943024</v>
      </c>
      <c r="AV301" s="139">
        <f t="shared" si="27"/>
        <v>596217917</v>
      </c>
      <c r="AW301" s="139">
        <f t="shared" si="27"/>
        <v>2157694470.6199999</v>
      </c>
      <c r="AX301" s="139">
        <f t="shared" si="27"/>
        <v>1425924539.3599999</v>
      </c>
      <c r="AY301" s="139">
        <f t="shared" si="27"/>
        <v>1023851570.86</v>
      </c>
      <c r="AZ301" s="139"/>
      <c r="BA301" s="139"/>
      <c r="BB301" s="139"/>
      <c r="BC301" s="139">
        <f t="shared" ref="BC301:BH301" si="28">SUM(BC279:BC299)</f>
        <v>0</v>
      </c>
      <c r="BD301" s="139">
        <f t="shared" si="28"/>
        <v>0</v>
      </c>
      <c r="BE301" s="139">
        <f t="shared" si="28"/>
        <v>0</v>
      </c>
      <c r="BF301" s="139">
        <f t="shared" si="28"/>
        <v>10033429290.130001</v>
      </c>
      <c r="BG301" s="139">
        <f t="shared" si="28"/>
        <v>5727236137.9200001</v>
      </c>
      <c r="BH301" s="139">
        <f t="shared" si="28"/>
        <v>3764447727.5299997</v>
      </c>
      <c r="BI301" s="199"/>
      <c r="BL301" s="34"/>
    </row>
    <row r="302" spans="1:64" ht="34.5" customHeight="1" x14ac:dyDescent="0.2">
      <c r="A302" s="167" t="s">
        <v>1275</v>
      </c>
      <c r="B302" s="168"/>
      <c r="C302" s="169"/>
      <c r="D302" s="168"/>
      <c r="E302" s="170"/>
      <c r="F302" s="168"/>
      <c r="G302" s="170"/>
      <c r="H302" s="168"/>
      <c r="I302" s="168"/>
      <c r="J302" s="168"/>
      <c r="K302" s="168"/>
      <c r="L302" s="170"/>
      <c r="M302" s="168"/>
      <c r="N302" s="171"/>
      <c r="O302" s="168"/>
      <c r="P302" s="168"/>
      <c r="Q302" s="168"/>
      <c r="R302" s="170"/>
      <c r="S302" s="168"/>
      <c r="T302" s="171"/>
      <c r="U302" s="170"/>
      <c r="V302" s="170"/>
      <c r="W302" s="170"/>
      <c r="X302" s="170"/>
      <c r="Y302" s="200"/>
      <c r="Z302" s="172"/>
      <c r="AA302" s="173"/>
      <c r="AB302" s="174">
        <f t="shared" ref="AB302:AY302" si="29">AB300+AB301</f>
        <v>22947681361.360001</v>
      </c>
      <c r="AC302" s="174">
        <f t="shared" si="29"/>
        <v>9619076554.9399986</v>
      </c>
      <c r="AD302" s="174">
        <f t="shared" si="29"/>
        <v>6962665493.9699993</v>
      </c>
      <c r="AE302" s="174">
        <f t="shared" si="29"/>
        <v>4243464205.1799998</v>
      </c>
      <c r="AF302" s="174">
        <f t="shared" si="29"/>
        <v>3193647819.02</v>
      </c>
      <c r="AG302" s="174">
        <f t="shared" si="29"/>
        <v>3038014964.02</v>
      </c>
      <c r="AH302" s="174">
        <f t="shared" si="29"/>
        <v>8527824913.7800007</v>
      </c>
      <c r="AI302" s="174">
        <f t="shared" si="29"/>
        <v>6049762001.96</v>
      </c>
      <c r="AJ302" s="174">
        <f t="shared" si="29"/>
        <v>3409762966</v>
      </c>
      <c r="AK302" s="174">
        <f t="shared" si="29"/>
        <v>45830921178.419998</v>
      </c>
      <c r="AL302" s="174">
        <f t="shared" si="29"/>
        <v>37163198140.700005</v>
      </c>
      <c r="AM302" s="174">
        <f t="shared" si="29"/>
        <v>29620301599.309998</v>
      </c>
      <c r="AN302" s="174">
        <f t="shared" si="29"/>
        <v>180736973259.51999</v>
      </c>
      <c r="AO302" s="174">
        <f t="shared" si="29"/>
        <v>120294083927.25999</v>
      </c>
      <c r="AP302" s="174">
        <f t="shared" si="29"/>
        <v>118356754020</v>
      </c>
      <c r="AQ302" s="174">
        <f t="shared" si="29"/>
        <v>2867588397.8000002</v>
      </c>
      <c r="AR302" s="174">
        <f t="shared" si="29"/>
        <v>2866923608</v>
      </c>
      <c r="AS302" s="174">
        <f t="shared" si="29"/>
        <v>1907335905</v>
      </c>
      <c r="AT302" s="174">
        <f t="shared" si="29"/>
        <v>41314223123.980003</v>
      </c>
      <c r="AU302" s="174">
        <f t="shared" si="29"/>
        <v>29258573289.330002</v>
      </c>
      <c r="AV302" s="174">
        <f t="shared" si="29"/>
        <v>16697198401.139999</v>
      </c>
      <c r="AW302" s="174">
        <f t="shared" si="29"/>
        <v>10495492550.809999</v>
      </c>
      <c r="AX302" s="174">
        <f t="shared" si="29"/>
        <v>5388878390.3599997</v>
      </c>
      <c r="AY302" s="174">
        <f t="shared" si="29"/>
        <v>2549636978.5500002</v>
      </c>
      <c r="AZ302" s="174"/>
      <c r="BA302" s="174"/>
      <c r="BB302" s="174"/>
      <c r="BC302" s="174">
        <f>BC300+BC301</f>
        <v>41311168389.359993</v>
      </c>
      <c r="BD302" s="174">
        <f>BD300+BD301</f>
        <v>29495054192</v>
      </c>
      <c r="BE302" s="174">
        <f>BE300+BE301</f>
        <v>17096069936.040001</v>
      </c>
      <c r="BF302" s="174">
        <f>+BF300+BF301</f>
        <v>358380943965.87</v>
      </c>
      <c r="BG302" s="174">
        <f>+BG300+BG301</f>
        <v>243434804509.23001</v>
      </c>
      <c r="BH302" s="174">
        <f>+BH300+BH301</f>
        <v>199743346849.69</v>
      </c>
      <c r="BI302" s="175"/>
      <c r="BK302" s="157"/>
      <c r="BL302" s="34"/>
    </row>
    <row r="303" spans="1:64" s="16" customFormat="1" x14ac:dyDescent="0.2">
      <c r="A303" s="540"/>
      <c r="B303" s="540"/>
      <c r="C303" s="541"/>
      <c r="D303" s="540"/>
      <c r="E303" s="542"/>
      <c r="F303" s="540"/>
      <c r="G303" s="542"/>
      <c r="H303" s="540"/>
      <c r="I303" s="540"/>
      <c r="J303" s="540"/>
      <c r="K303" s="540"/>
      <c r="L303" s="542"/>
      <c r="M303" s="540"/>
      <c r="N303" s="31"/>
      <c r="O303" s="540"/>
      <c r="P303" s="540"/>
      <c r="Q303" s="540"/>
      <c r="R303" s="542"/>
      <c r="S303" s="540"/>
      <c r="T303" s="543"/>
      <c r="U303" s="544"/>
      <c r="V303" s="544"/>
      <c r="W303" s="544"/>
      <c r="X303" s="544"/>
      <c r="Y303" s="202"/>
      <c r="Z303" s="540"/>
      <c r="AA303" s="540"/>
      <c r="AB303" s="307"/>
      <c r="AC303" s="307"/>
      <c r="AD303" s="307"/>
      <c r="AE303" s="307"/>
      <c r="AF303" s="307"/>
      <c r="AG303" s="307"/>
      <c r="AH303" s="307"/>
      <c r="AI303" s="307"/>
      <c r="AJ303" s="307"/>
      <c r="AK303" s="307"/>
      <c r="AL303" s="307"/>
      <c r="AM303" s="307"/>
      <c r="AN303" s="307"/>
      <c r="AO303" s="307"/>
      <c r="AP303" s="307"/>
      <c r="AQ303" s="307"/>
      <c r="AR303" s="307"/>
      <c r="AS303" s="307"/>
      <c r="AT303" s="307"/>
      <c r="AU303" s="307"/>
      <c r="AV303" s="307"/>
      <c r="AW303" s="307"/>
      <c r="AX303" s="307"/>
      <c r="AY303" s="307"/>
      <c r="AZ303" s="307"/>
      <c r="BA303" s="307"/>
      <c r="BB303" s="307"/>
      <c r="BC303" s="307"/>
      <c r="BD303" s="307"/>
      <c r="BE303" s="307"/>
      <c r="BF303" s="307"/>
      <c r="BG303" s="307"/>
      <c r="BH303" s="307"/>
      <c r="BI303" s="543"/>
    </row>
    <row r="304" spans="1:64" s="16" customFormat="1" x14ac:dyDescent="0.2">
      <c r="A304" s="540"/>
      <c r="B304" s="540"/>
      <c r="C304" s="541"/>
      <c r="D304" s="540"/>
      <c r="E304" s="542"/>
      <c r="F304" s="540"/>
      <c r="G304" s="542"/>
      <c r="H304" s="540"/>
      <c r="I304" s="540"/>
      <c r="J304" s="540"/>
      <c r="K304" s="540"/>
      <c r="L304" s="542"/>
      <c r="M304" s="540"/>
      <c r="N304" s="31"/>
      <c r="O304" s="540"/>
      <c r="P304" s="540"/>
      <c r="Q304" s="540"/>
      <c r="R304" s="542"/>
      <c r="S304" s="540"/>
      <c r="T304" s="543"/>
      <c r="U304" s="544"/>
      <c r="V304" s="544"/>
      <c r="W304" s="544"/>
      <c r="X304" s="544"/>
      <c r="Y304" s="202"/>
      <c r="Z304" s="540"/>
      <c r="AA304" s="540"/>
      <c r="AT304" s="308"/>
      <c r="AU304" s="308"/>
      <c r="AV304" s="308"/>
      <c r="BI304" s="543"/>
    </row>
    <row r="305" spans="1:61" s="16" customFormat="1" x14ac:dyDescent="0.2">
      <c r="A305" s="540"/>
      <c r="B305" s="540"/>
      <c r="C305" s="541"/>
      <c r="D305" s="540"/>
      <c r="E305" s="542"/>
      <c r="F305" s="540"/>
      <c r="G305" s="542"/>
      <c r="H305" s="540"/>
      <c r="I305" s="540"/>
      <c r="J305" s="540"/>
      <c r="K305" s="540"/>
      <c r="L305" s="542"/>
      <c r="M305" s="540"/>
      <c r="N305" s="31"/>
      <c r="O305" s="540"/>
      <c r="P305" s="540"/>
      <c r="Q305" s="540"/>
      <c r="R305" s="542"/>
      <c r="S305" s="540"/>
      <c r="T305" s="543"/>
      <c r="U305" s="544"/>
      <c r="V305" s="544"/>
      <c r="W305" s="544"/>
      <c r="X305" s="544"/>
      <c r="Y305" s="202"/>
      <c r="Z305" s="540"/>
      <c r="AA305" s="540"/>
      <c r="BI305" s="543"/>
    </row>
    <row r="306" spans="1:61" s="16" customFormat="1" x14ac:dyDescent="0.2">
      <c r="A306" s="540"/>
      <c r="B306" s="540"/>
      <c r="C306" s="541"/>
      <c r="D306" s="540"/>
      <c r="E306" s="542"/>
      <c r="F306" s="540"/>
      <c r="G306" s="542"/>
      <c r="H306" s="540"/>
      <c r="I306" s="540"/>
      <c r="J306" s="540"/>
      <c r="K306" s="540"/>
      <c r="L306" s="542"/>
      <c r="M306" s="540"/>
      <c r="N306" s="31"/>
      <c r="O306" s="540"/>
      <c r="P306" s="540"/>
      <c r="Q306" s="540"/>
      <c r="R306" s="542"/>
      <c r="S306" s="540"/>
      <c r="T306" s="543"/>
      <c r="U306" s="544"/>
      <c r="V306" s="544"/>
      <c r="W306" s="544"/>
      <c r="X306" s="544"/>
      <c r="Y306" s="202"/>
      <c r="Z306" s="540"/>
      <c r="AA306" s="540"/>
      <c r="AB306" s="309"/>
      <c r="AC306" s="309"/>
      <c r="AD306" s="309"/>
      <c r="AE306" s="309"/>
      <c r="AF306" s="309"/>
      <c r="AG306" s="309"/>
      <c r="AH306" s="309"/>
      <c r="AI306" s="309"/>
      <c r="AJ306" s="309"/>
      <c r="AK306" s="309"/>
      <c r="AL306" s="309"/>
      <c r="AM306" s="309"/>
      <c r="AN306" s="309"/>
      <c r="AO306" s="309"/>
      <c r="AP306" s="309"/>
      <c r="AQ306" s="309"/>
      <c r="AR306" s="309"/>
      <c r="AS306" s="309"/>
      <c r="AT306" s="309"/>
      <c r="AU306" s="309"/>
      <c r="AV306" s="309"/>
      <c r="AW306" s="309"/>
      <c r="AX306" s="309"/>
      <c r="AY306" s="309"/>
      <c r="AZ306" s="309"/>
      <c r="BA306" s="309"/>
      <c r="BB306" s="309"/>
      <c r="BC306" s="309"/>
      <c r="BD306" s="309"/>
      <c r="BE306" s="309"/>
      <c r="BF306" s="309"/>
      <c r="BG306" s="309"/>
      <c r="BH306" s="309"/>
      <c r="BI306" s="543"/>
    </row>
    <row r="307" spans="1:61" s="16" customFormat="1" x14ac:dyDescent="0.2">
      <c r="A307" s="540"/>
      <c r="B307" s="540"/>
      <c r="C307" s="545"/>
      <c r="D307" s="546"/>
      <c r="E307" s="547"/>
      <c r="F307" s="546"/>
      <c r="G307" s="547"/>
      <c r="H307" s="540"/>
      <c r="I307" s="540"/>
      <c r="J307" s="540"/>
      <c r="K307" s="546"/>
      <c r="L307" s="547"/>
      <c r="M307" s="546"/>
      <c r="N307" s="548"/>
      <c r="O307" s="546"/>
      <c r="P307" s="546"/>
      <c r="Q307" s="540"/>
      <c r="R307" s="547"/>
      <c r="S307" s="540"/>
      <c r="T307" s="543"/>
      <c r="U307" s="547"/>
      <c r="V307" s="547"/>
      <c r="W307" s="547"/>
      <c r="X307" s="547"/>
      <c r="Y307" s="49"/>
      <c r="Z307" s="540"/>
      <c r="AA307" s="540"/>
      <c r="AT307" s="308"/>
      <c r="AU307" s="308"/>
      <c r="AV307" s="308"/>
      <c r="BI307" s="543"/>
    </row>
    <row r="308" spans="1:61" s="16" customFormat="1" x14ac:dyDescent="0.2">
      <c r="A308" s="540"/>
      <c r="B308" s="540"/>
      <c r="C308" s="545"/>
      <c r="D308" s="546"/>
      <c r="E308" s="547"/>
      <c r="F308" s="546"/>
      <c r="G308" s="547"/>
      <c r="H308" s="540"/>
      <c r="I308" s="540"/>
      <c r="J308" s="540"/>
      <c r="K308" s="546"/>
      <c r="L308" s="547"/>
      <c r="M308" s="546"/>
      <c r="N308" s="548"/>
      <c r="O308" s="546"/>
      <c r="P308" s="546"/>
      <c r="Q308" s="540"/>
      <c r="R308" s="547"/>
      <c r="S308" s="540"/>
      <c r="T308" s="543"/>
      <c r="U308" s="547"/>
      <c r="V308" s="547"/>
      <c r="W308" s="547"/>
      <c r="X308" s="547"/>
      <c r="Y308" s="49"/>
      <c r="Z308" s="540"/>
      <c r="AA308" s="540"/>
      <c r="AT308" s="308"/>
      <c r="AU308" s="308"/>
      <c r="AV308" s="308"/>
      <c r="BF308" s="549"/>
      <c r="BI308" s="543"/>
    </row>
    <row r="309" spans="1:61" s="16" customFormat="1" x14ac:dyDescent="0.2">
      <c r="A309" s="540"/>
      <c r="B309" s="540"/>
      <c r="C309" s="545"/>
      <c r="D309" s="546"/>
      <c r="E309" s="547"/>
      <c r="F309" s="546"/>
      <c r="G309" s="547"/>
      <c r="H309" s="540"/>
      <c r="I309" s="540"/>
      <c r="J309" s="540"/>
      <c r="K309" s="546"/>
      <c r="L309" s="547"/>
      <c r="M309" s="546"/>
      <c r="N309" s="548"/>
      <c r="O309" s="546"/>
      <c r="P309" s="546"/>
      <c r="Q309" s="540"/>
      <c r="R309" s="547"/>
      <c r="S309" s="540"/>
      <c r="T309" s="543"/>
      <c r="U309" s="547"/>
      <c r="V309" s="547"/>
      <c r="W309" s="547"/>
      <c r="X309" s="547"/>
      <c r="Y309" s="49"/>
      <c r="Z309" s="540"/>
      <c r="AA309" s="540"/>
      <c r="AT309" s="308"/>
      <c r="AU309" s="308"/>
      <c r="AV309" s="308"/>
      <c r="BI309" s="543"/>
    </row>
    <row r="310" spans="1:61" s="16" customFormat="1" x14ac:dyDescent="0.2">
      <c r="A310" s="540"/>
      <c r="B310" s="540"/>
      <c r="C310" s="545"/>
      <c r="D310" s="546"/>
      <c r="E310" s="547"/>
      <c r="F310" s="546"/>
      <c r="G310" s="547"/>
      <c r="H310" s="540"/>
      <c r="I310" s="540"/>
      <c r="J310" s="540"/>
      <c r="K310" s="546"/>
      <c r="L310" s="547"/>
      <c r="M310" s="546"/>
      <c r="N310" s="548"/>
      <c r="O310" s="546"/>
      <c r="P310" s="546"/>
      <c r="Q310" s="540"/>
      <c r="R310" s="547"/>
      <c r="S310" s="540"/>
      <c r="T310" s="543"/>
      <c r="U310" s="547"/>
      <c r="V310" s="547"/>
      <c r="W310" s="547"/>
      <c r="X310" s="547"/>
      <c r="Y310" s="49"/>
      <c r="Z310" s="540"/>
      <c r="AA310" s="540"/>
      <c r="AI310" s="550"/>
      <c r="AJ310" s="550"/>
      <c r="AT310" s="308"/>
      <c r="AU310" s="308"/>
      <c r="AV310" s="308"/>
      <c r="BI310" s="543"/>
    </row>
    <row r="311" spans="1:61" s="16" customFormat="1" x14ac:dyDescent="0.2">
      <c r="A311" s="540"/>
      <c r="B311" s="540"/>
      <c r="C311" s="545"/>
      <c r="D311" s="546"/>
      <c r="E311" s="547"/>
      <c r="F311" s="546"/>
      <c r="G311" s="547"/>
      <c r="H311" s="540"/>
      <c r="I311" s="540"/>
      <c r="J311" s="540"/>
      <c r="K311" s="546"/>
      <c r="L311" s="547"/>
      <c r="M311" s="546"/>
      <c r="N311" s="548"/>
      <c r="O311" s="546"/>
      <c r="P311" s="546"/>
      <c r="Q311" s="540"/>
      <c r="R311" s="547"/>
      <c r="S311" s="540"/>
      <c r="T311" s="543"/>
      <c r="U311" s="547"/>
      <c r="V311" s="547"/>
      <c r="W311" s="547"/>
      <c r="X311" s="547"/>
      <c r="Y311" s="49"/>
      <c r="Z311" s="540"/>
      <c r="AA311" s="540"/>
      <c r="AT311" s="308"/>
      <c r="AU311" s="308"/>
      <c r="AV311" s="308"/>
      <c r="BI311" s="543"/>
    </row>
    <row r="312" spans="1:61" x14ac:dyDescent="0.2">
      <c r="AK312" s="16">
        <v>6082993857.9499998</v>
      </c>
    </row>
    <row r="313" spans="1:61" x14ac:dyDescent="0.2">
      <c r="BG313" s="16"/>
      <c r="BH313" s="16"/>
    </row>
    <row r="314" spans="1:61" x14ac:dyDescent="0.2">
      <c r="BG314" s="16"/>
      <c r="BH314" s="16"/>
    </row>
    <row r="315" spans="1:61" x14ac:dyDescent="0.2">
      <c r="BG315" s="16"/>
      <c r="BH315" s="16"/>
    </row>
    <row r="316" spans="1:61" x14ac:dyDescent="0.2">
      <c r="AI316" s="378"/>
    </row>
    <row r="317" spans="1:61" x14ac:dyDescent="0.2">
      <c r="AT317" s="495"/>
      <c r="AU317" s="495"/>
      <c r="AV317" s="495"/>
      <c r="AW317" s="495" t="s">
        <v>1502</v>
      </c>
      <c r="AX317" s="495">
        <v>4000000</v>
      </c>
      <c r="BG317" s="16"/>
      <c r="BH317" s="16"/>
    </row>
    <row r="345" spans="47:47" x14ac:dyDescent="0.2">
      <c r="AU345" s="12">
        <v>91122</v>
      </c>
    </row>
  </sheetData>
  <mergeCells count="49">
    <mergeCell ref="A301:D301"/>
    <mergeCell ref="A5:B5"/>
    <mergeCell ref="C5:D5"/>
    <mergeCell ref="E5:F5"/>
    <mergeCell ref="Y5:AA5"/>
    <mergeCell ref="P5:S5"/>
    <mergeCell ref="G5:K5"/>
    <mergeCell ref="L5:O5"/>
    <mergeCell ref="T5:X5"/>
    <mergeCell ref="AA6:AA7"/>
    <mergeCell ref="O6:O7"/>
    <mergeCell ref="U6:U7"/>
    <mergeCell ref="Y6:Y7"/>
    <mergeCell ref="Z6:Z7"/>
    <mergeCell ref="T6:T7"/>
    <mergeCell ref="R6:R7"/>
    <mergeCell ref="A6:A7"/>
    <mergeCell ref="B6:B7"/>
    <mergeCell ref="C6:C7"/>
    <mergeCell ref="AB6:AD6"/>
    <mergeCell ref="I6:I7"/>
    <mergeCell ref="H6:H7"/>
    <mergeCell ref="G6:G7"/>
    <mergeCell ref="F6:F7"/>
    <mergeCell ref="E6:E7"/>
    <mergeCell ref="N6:N7"/>
    <mergeCell ref="M6:M7"/>
    <mergeCell ref="L6:L7"/>
    <mergeCell ref="K6:K7"/>
    <mergeCell ref="J6:J7"/>
    <mergeCell ref="Q6:Q7"/>
    <mergeCell ref="C1:BG1"/>
    <mergeCell ref="AE6:AG6"/>
    <mergeCell ref="AH6:AJ6"/>
    <mergeCell ref="AK6:AM6"/>
    <mergeCell ref="AN6:AP6"/>
    <mergeCell ref="AQ6:AS6"/>
    <mergeCell ref="D6:D7"/>
    <mergeCell ref="BF6:BH6"/>
    <mergeCell ref="AB5:BH5"/>
    <mergeCell ref="C2:BG2"/>
    <mergeCell ref="C3:BG3"/>
    <mergeCell ref="V6:V7"/>
    <mergeCell ref="W6:W7"/>
    <mergeCell ref="BI5:BI7"/>
    <mergeCell ref="AT6:AV6"/>
    <mergeCell ref="AW6:AY6"/>
    <mergeCell ref="BC6:BE6"/>
    <mergeCell ref="AZ6:BB6"/>
  </mergeCells>
  <conditionalFormatting sqref="R196">
    <cfRule type="duplicateValues" dxfId="476" priority="77"/>
  </conditionalFormatting>
  <conditionalFormatting sqref="R211">
    <cfRule type="duplicateValues" dxfId="475" priority="73"/>
  </conditionalFormatting>
  <conditionalFormatting sqref="R211">
    <cfRule type="duplicateValues" dxfId="474" priority="74"/>
  </conditionalFormatting>
  <conditionalFormatting sqref="R75">
    <cfRule type="duplicateValues" dxfId="473" priority="72"/>
  </conditionalFormatting>
  <conditionalFormatting sqref="R90">
    <cfRule type="duplicateValues" dxfId="472" priority="71"/>
  </conditionalFormatting>
  <conditionalFormatting sqref="R91">
    <cfRule type="duplicateValues" dxfId="471" priority="70"/>
  </conditionalFormatting>
  <conditionalFormatting sqref="R189">
    <cfRule type="duplicateValues" dxfId="470" priority="68"/>
  </conditionalFormatting>
  <conditionalFormatting sqref="R189">
    <cfRule type="duplicateValues" dxfId="469" priority="69"/>
  </conditionalFormatting>
  <conditionalFormatting sqref="R93">
    <cfRule type="duplicateValues" dxfId="468" priority="67"/>
  </conditionalFormatting>
  <conditionalFormatting sqref="R94">
    <cfRule type="duplicateValues" dxfId="467" priority="64"/>
  </conditionalFormatting>
  <conditionalFormatting sqref="R94">
    <cfRule type="duplicateValues" dxfId="466" priority="65"/>
  </conditionalFormatting>
  <conditionalFormatting sqref="R94">
    <cfRule type="duplicateValues" dxfId="465" priority="66"/>
  </conditionalFormatting>
  <conditionalFormatting sqref="R98">
    <cfRule type="duplicateValues" dxfId="464" priority="62"/>
  </conditionalFormatting>
  <conditionalFormatting sqref="R98">
    <cfRule type="duplicateValues" dxfId="463" priority="63"/>
  </conditionalFormatting>
  <conditionalFormatting sqref="R99">
    <cfRule type="duplicateValues" dxfId="462" priority="60"/>
  </conditionalFormatting>
  <conditionalFormatting sqref="R99">
    <cfRule type="duplicateValues" dxfId="461" priority="61"/>
  </conditionalFormatting>
  <conditionalFormatting sqref="R100">
    <cfRule type="duplicateValues" dxfId="460" priority="58"/>
  </conditionalFormatting>
  <conditionalFormatting sqref="R100">
    <cfRule type="duplicateValues" dxfId="459" priority="59"/>
  </conditionalFormatting>
  <conditionalFormatting sqref="R105">
    <cfRule type="duplicateValues" dxfId="458" priority="56"/>
  </conditionalFormatting>
  <conditionalFormatting sqref="R105">
    <cfRule type="duplicateValues" dxfId="457" priority="57"/>
  </conditionalFormatting>
  <conditionalFormatting sqref="R106">
    <cfRule type="duplicateValues" dxfId="456" priority="54"/>
  </conditionalFormatting>
  <conditionalFormatting sqref="R106">
    <cfRule type="duplicateValues" dxfId="455" priority="55"/>
  </conditionalFormatting>
  <conditionalFormatting sqref="R107">
    <cfRule type="duplicateValues" dxfId="454" priority="52"/>
  </conditionalFormatting>
  <conditionalFormatting sqref="R107">
    <cfRule type="duplicateValues" dxfId="453" priority="53"/>
  </conditionalFormatting>
  <conditionalFormatting sqref="R108">
    <cfRule type="duplicateValues" dxfId="452" priority="50"/>
  </conditionalFormatting>
  <conditionalFormatting sqref="R108">
    <cfRule type="duplicateValues" dxfId="451" priority="51"/>
  </conditionalFormatting>
  <conditionalFormatting sqref="R212">
    <cfRule type="duplicateValues" dxfId="450" priority="48"/>
  </conditionalFormatting>
  <conditionalFormatting sqref="R212">
    <cfRule type="duplicateValues" dxfId="449" priority="49"/>
  </conditionalFormatting>
  <conditionalFormatting sqref="R92">
    <cfRule type="duplicateValues" dxfId="448" priority="78"/>
  </conditionalFormatting>
  <conditionalFormatting sqref="P75">
    <cfRule type="duplicateValues" dxfId="447" priority="47"/>
  </conditionalFormatting>
  <conditionalFormatting sqref="P90">
    <cfRule type="duplicateValues" dxfId="446" priority="46"/>
  </conditionalFormatting>
  <conditionalFormatting sqref="P91">
    <cfRule type="duplicateValues" dxfId="445" priority="45"/>
  </conditionalFormatting>
  <conditionalFormatting sqref="P92">
    <cfRule type="duplicateValues" dxfId="444" priority="44"/>
  </conditionalFormatting>
  <conditionalFormatting sqref="P93">
    <cfRule type="duplicateValues" dxfId="443" priority="43"/>
  </conditionalFormatting>
  <conditionalFormatting sqref="P94">
    <cfRule type="duplicateValues" dxfId="442" priority="40"/>
  </conditionalFormatting>
  <conditionalFormatting sqref="P94">
    <cfRule type="duplicateValues" dxfId="441" priority="41"/>
  </conditionalFormatting>
  <conditionalFormatting sqref="P94">
    <cfRule type="duplicateValues" dxfId="440" priority="42"/>
  </conditionalFormatting>
  <conditionalFormatting sqref="P98">
    <cfRule type="duplicateValues" dxfId="439" priority="38"/>
  </conditionalFormatting>
  <conditionalFormatting sqref="P98">
    <cfRule type="duplicateValues" dxfId="438" priority="39"/>
  </conditionalFormatting>
  <conditionalFormatting sqref="P99">
    <cfRule type="duplicateValues" dxfId="437" priority="36"/>
  </conditionalFormatting>
  <conditionalFormatting sqref="P99">
    <cfRule type="duplicateValues" dxfId="436" priority="37"/>
  </conditionalFormatting>
  <conditionalFormatting sqref="P100">
    <cfRule type="duplicateValues" dxfId="435" priority="34"/>
  </conditionalFormatting>
  <conditionalFormatting sqref="P100">
    <cfRule type="duplicateValues" dxfId="434" priority="35"/>
  </conditionalFormatting>
  <conditionalFormatting sqref="P105">
    <cfRule type="duplicateValues" dxfId="433" priority="32"/>
  </conditionalFormatting>
  <conditionalFormatting sqref="P105">
    <cfRule type="duplicateValues" dxfId="432" priority="33"/>
  </conditionalFormatting>
  <conditionalFormatting sqref="P106">
    <cfRule type="duplicateValues" dxfId="431" priority="30"/>
  </conditionalFormatting>
  <conditionalFormatting sqref="P106">
    <cfRule type="duplicateValues" dxfId="430" priority="31"/>
  </conditionalFormatting>
  <conditionalFormatting sqref="P107">
    <cfRule type="duplicateValues" dxfId="429" priority="28"/>
  </conditionalFormatting>
  <conditionalFormatting sqref="P107">
    <cfRule type="duplicateValues" dxfId="428" priority="29"/>
  </conditionalFormatting>
  <conditionalFormatting sqref="P108">
    <cfRule type="duplicateValues" dxfId="427" priority="26"/>
  </conditionalFormatting>
  <conditionalFormatting sqref="P108">
    <cfRule type="duplicateValues" dxfId="426" priority="27"/>
  </conditionalFormatting>
  <conditionalFormatting sqref="P189">
    <cfRule type="duplicateValues" dxfId="425" priority="24"/>
  </conditionalFormatting>
  <conditionalFormatting sqref="P189">
    <cfRule type="duplicateValues" dxfId="424" priority="25"/>
  </conditionalFormatting>
  <conditionalFormatting sqref="P196">
    <cfRule type="duplicateValues" dxfId="423" priority="23"/>
  </conditionalFormatting>
  <conditionalFormatting sqref="P211">
    <cfRule type="duplicateValues" dxfId="422" priority="19"/>
  </conditionalFormatting>
  <conditionalFormatting sqref="P211">
    <cfRule type="duplicateValues" dxfId="421" priority="20"/>
  </conditionalFormatting>
  <conditionalFormatting sqref="P212">
    <cfRule type="duplicateValues" dxfId="420" priority="17"/>
  </conditionalFormatting>
  <conditionalFormatting sqref="P212">
    <cfRule type="duplicateValues" dxfId="419" priority="18"/>
  </conditionalFormatting>
  <conditionalFormatting sqref="P32">
    <cfRule type="duplicateValues" dxfId="418" priority="15"/>
  </conditionalFormatting>
  <conditionalFormatting sqref="P32">
    <cfRule type="duplicateValues" dxfId="417" priority="16"/>
  </conditionalFormatting>
  <conditionalFormatting sqref="P33">
    <cfRule type="duplicateValues" dxfId="416" priority="13"/>
  </conditionalFormatting>
  <conditionalFormatting sqref="P33">
    <cfRule type="duplicateValues" dxfId="415" priority="14"/>
  </conditionalFormatting>
  <conditionalFormatting sqref="R32">
    <cfRule type="duplicateValues" dxfId="414" priority="11"/>
  </conditionalFormatting>
  <conditionalFormatting sqref="R32">
    <cfRule type="duplicateValues" dxfId="413" priority="12"/>
  </conditionalFormatting>
  <conditionalFormatting sqref="R33">
    <cfRule type="duplicateValues" dxfId="412" priority="9"/>
  </conditionalFormatting>
  <conditionalFormatting sqref="R33">
    <cfRule type="duplicateValues" dxfId="411" priority="10"/>
  </conditionalFormatting>
  <conditionalFormatting sqref="R204 O204">
    <cfRule type="duplicateValues" dxfId="410" priority="7"/>
  </conditionalFormatting>
  <conditionalFormatting sqref="R204 O204">
    <cfRule type="duplicateValues" dxfId="409" priority="8"/>
  </conditionalFormatting>
  <conditionalFormatting sqref="L204">
    <cfRule type="duplicateValues" dxfId="408" priority="5"/>
  </conditionalFormatting>
  <conditionalFormatting sqref="L204">
    <cfRule type="duplicateValues" dxfId="407" priority="6"/>
  </conditionalFormatting>
  <conditionalFormatting sqref="L211">
    <cfRule type="duplicateValues" dxfId="406" priority="1"/>
  </conditionalFormatting>
  <conditionalFormatting sqref="L211">
    <cfRule type="duplicateValues" dxfId="405" priority="2"/>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J202"/>
  <sheetViews>
    <sheetView showGridLines="0" topLeftCell="A97" zoomScale="60" zoomScaleNormal="60" workbookViewId="0">
      <selection activeCell="A109" sqref="A109"/>
    </sheetView>
  </sheetViews>
  <sheetFormatPr baseColWidth="10" defaultColWidth="11.42578125" defaultRowHeight="15" x14ac:dyDescent="0.2"/>
  <cols>
    <col min="1" max="1" width="17.5703125" style="7" customWidth="1"/>
    <col min="2" max="2" width="11" style="7" customWidth="1"/>
    <col min="3" max="3" width="13.140625" style="7" customWidth="1"/>
    <col min="4" max="4" width="49" style="8" customWidth="1"/>
    <col min="5" max="5" width="33.7109375" style="8" customWidth="1"/>
    <col min="6" max="6" width="22.28515625" style="8" customWidth="1"/>
    <col min="7" max="7" width="36.28515625" style="2" customWidth="1"/>
    <col min="8" max="8" width="21.42578125" style="1" customWidth="1"/>
    <col min="9" max="9" width="32" style="2" customWidth="1"/>
    <col min="10" max="10" width="22.5703125" style="8" bestFit="1" customWidth="1"/>
    <col min="11" max="16384" width="11.42578125" style="1"/>
  </cols>
  <sheetData>
    <row r="1" spans="1:10" ht="21" customHeight="1" x14ac:dyDescent="0.2">
      <c r="A1" s="591" t="s">
        <v>1491</v>
      </c>
      <c r="B1" s="592"/>
      <c r="C1" s="592"/>
      <c r="D1" s="592"/>
      <c r="E1" s="592"/>
      <c r="F1" s="592"/>
      <c r="G1" s="592"/>
      <c r="H1" s="592"/>
      <c r="I1" s="592"/>
      <c r="J1" s="593"/>
    </row>
    <row r="2" spans="1:10" ht="21" customHeight="1" x14ac:dyDescent="0.2">
      <c r="A2" s="594"/>
      <c r="B2" s="595"/>
      <c r="C2" s="595"/>
      <c r="D2" s="595"/>
      <c r="E2" s="595"/>
      <c r="F2" s="595"/>
      <c r="G2" s="595"/>
      <c r="H2" s="595"/>
      <c r="I2" s="595"/>
      <c r="J2" s="596"/>
    </row>
    <row r="3" spans="1:10" ht="21" customHeight="1" x14ac:dyDescent="0.2">
      <c r="A3" s="594"/>
      <c r="B3" s="595"/>
      <c r="C3" s="595"/>
      <c r="D3" s="595"/>
      <c r="E3" s="595"/>
      <c r="F3" s="595"/>
      <c r="G3" s="595"/>
      <c r="H3" s="595"/>
      <c r="I3" s="595"/>
      <c r="J3" s="596"/>
    </row>
    <row r="4" spans="1:10" ht="24.75" customHeight="1" x14ac:dyDescent="0.2">
      <c r="A4" s="597"/>
      <c r="B4" s="598"/>
      <c r="C4" s="598"/>
      <c r="D4" s="598"/>
      <c r="E4" s="598"/>
      <c r="F4" s="598"/>
      <c r="G4" s="598"/>
      <c r="H4" s="598"/>
      <c r="I4" s="598"/>
      <c r="J4" s="599"/>
    </row>
    <row r="5" spans="1:10" s="3" customFormat="1" ht="56.25" customHeight="1" x14ac:dyDescent="0.25">
      <c r="A5" s="415" t="s">
        <v>5</v>
      </c>
      <c r="B5" s="177" t="s">
        <v>6</v>
      </c>
      <c r="C5" s="582" t="s">
        <v>7</v>
      </c>
      <c r="D5" s="584"/>
      <c r="E5" s="178" t="s">
        <v>1333</v>
      </c>
      <c r="F5" s="178" t="s">
        <v>1498</v>
      </c>
      <c r="G5" s="178" t="s">
        <v>1426</v>
      </c>
      <c r="H5" s="480" t="s">
        <v>1499</v>
      </c>
      <c r="I5" s="178" t="s">
        <v>1460</v>
      </c>
      <c r="J5" s="178" t="s">
        <v>1500</v>
      </c>
    </row>
    <row r="6" spans="1:10" s="4" customFormat="1" ht="24" customHeight="1" x14ac:dyDescent="0.25">
      <c r="A6" s="481" t="s">
        <v>1298</v>
      </c>
      <c r="B6" s="482"/>
      <c r="C6" s="482"/>
      <c r="D6" s="119"/>
      <c r="E6" s="475">
        <f t="shared" ref="E6:I7" si="0">E7</f>
        <v>374828802</v>
      </c>
      <c r="F6" s="476">
        <f>E6/E6</f>
        <v>1</v>
      </c>
      <c r="G6" s="475">
        <f t="shared" si="0"/>
        <v>252026664</v>
      </c>
      <c r="H6" s="477">
        <f>G6/E6</f>
        <v>0.67237806341253359</v>
      </c>
      <c r="I6" s="475">
        <f t="shared" si="0"/>
        <v>157965000</v>
      </c>
      <c r="J6" s="476">
        <f>I6/G6</f>
        <v>0.62677891891629367</v>
      </c>
    </row>
    <row r="7" spans="1:10" s="4" customFormat="1" ht="24" customHeight="1" x14ac:dyDescent="0.25">
      <c r="A7" s="211">
        <v>4</v>
      </c>
      <c r="B7" s="212" t="s">
        <v>27</v>
      </c>
      <c r="C7" s="212"/>
      <c r="D7" s="212"/>
      <c r="E7" s="213">
        <f t="shared" si="0"/>
        <v>374828802</v>
      </c>
      <c r="F7" s="426">
        <f t="shared" ref="F7:F10" si="1">E7/E7</f>
        <v>1</v>
      </c>
      <c r="G7" s="213">
        <f t="shared" si="0"/>
        <v>252026664</v>
      </c>
      <c r="H7" s="230">
        <f>G7/E7</f>
        <v>0.67237806341253359</v>
      </c>
      <c r="I7" s="213">
        <f t="shared" si="0"/>
        <v>157965000</v>
      </c>
      <c r="J7" s="426">
        <f t="shared" ref="J7:J8" si="2">I7/G7</f>
        <v>0.62677891891629367</v>
      </c>
    </row>
    <row r="8" spans="1:10" ht="24" customHeight="1" x14ac:dyDescent="0.2">
      <c r="A8" s="53"/>
      <c r="B8" s="110">
        <v>45</v>
      </c>
      <c r="C8" s="111" t="s">
        <v>28</v>
      </c>
      <c r="D8" s="112"/>
      <c r="E8" s="113">
        <f>SUM(E9:E10)</f>
        <v>374828802</v>
      </c>
      <c r="F8" s="418">
        <f t="shared" si="1"/>
        <v>1</v>
      </c>
      <c r="G8" s="113">
        <f>SUM(G9:G10)</f>
        <v>252026664</v>
      </c>
      <c r="H8" s="230">
        <f>G8/E8</f>
        <v>0.67237806341253359</v>
      </c>
      <c r="I8" s="113">
        <f>SUM(I9:I10)</f>
        <v>157965000</v>
      </c>
      <c r="J8" s="418">
        <f t="shared" si="2"/>
        <v>0.62677891891629367</v>
      </c>
    </row>
    <row r="9" spans="1:10" ht="70.5" customHeight="1" x14ac:dyDescent="0.2">
      <c r="A9" s="55"/>
      <c r="B9" s="56"/>
      <c r="C9" s="57">
        <v>4502</v>
      </c>
      <c r="D9" s="50" t="s">
        <v>47</v>
      </c>
      <c r="E9" s="58">
        <f>'SGTO POAI 2022'!BF11</f>
        <v>79758158</v>
      </c>
      <c r="F9" s="427">
        <f t="shared" si="1"/>
        <v>1</v>
      </c>
      <c r="G9" s="58">
        <f>'SGTO POAI 2022'!BG11</f>
        <v>55665000</v>
      </c>
      <c r="H9" s="230">
        <f>G9/E9</f>
        <v>0.69792233667181736</v>
      </c>
      <c r="I9" s="58">
        <f>'SGTO POAI 2022'!BH11</f>
        <v>43295000</v>
      </c>
      <c r="J9" s="427">
        <f>I9/G9</f>
        <v>0.77777777777777779</v>
      </c>
    </row>
    <row r="10" spans="1:10" ht="59.25" customHeight="1" x14ac:dyDescent="0.2">
      <c r="A10" s="59"/>
      <c r="B10" s="60"/>
      <c r="C10" s="61">
        <v>4599</v>
      </c>
      <c r="D10" s="62" t="s">
        <v>29</v>
      </c>
      <c r="E10" s="63">
        <f>'SGTO POAI 2022'!BF8+'SGTO POAI 2022'!BF9+'SGTO POAI 2022'!BF10</f>
        <v>295070644</v>
      </c>
      <c r="F10" s="428">
        <f t="shared" si="1"/>
        <v>1</v>
      </c>
      <c r="G10" s="63">
        <f>'SGTO POAI 2022'!BG8+'SGTO POAI 2022'!BG9+'SGTO POAI 2022'!BG10</f>
        <v>196361664</v>
      </c>
      <c r="H10" s="230">
        <f>G10/E10</f>
        <v>0.66547339761796165</v>
      </c>
      <c r="I10" s="63">
        <f>'SGTO POAI 2022'!BH8+'SGTO POAI 2022'!BH9+'SGTO POAI 2022'!BH10</f>
        <v>114670000</v>
      </c>
      <c r="J10" s="427">
        <f>I10/G10</f>
        <v>0.58397345828155134</v>
      </c>
    </row>
    <row r="11" spans="1:10" s="32" customFormat="1" ht="15.75" x14ac:dyDescent="0.2">
      <c r="A11" s="36"/>
      <c r="B11" s="36"/>
      <c r="C11" s="36"/>
      <c r="D11" s="64"/>
      <c r="E11" s="64"/>
      <c r="F11" s="429"/>
      <c r="G11" s="65"/>
      <c r="I11" s="65"/>
      <c r="J11" s="507"/>
    </row>
    <row r="12" spans="1:10" s="4" customFormat="1" ht="24" customHeight="1" x14ac:dyDescent="0.25">
      <c r="A12" s="148" t="s">
        <v>55</v>
      </c>
      <c r="B12" s="149"/>
      <c r="C12" s="149"/>
      <c r="D12" s="150"/>
      <c r="E12" s="151">
        <f t="shared" ref="E12:I13" si="3">E13</f>
        <v>1234282859</v>
      </c>
      <c r="F12" s="418">
        <f t="shared" ref="F12:F16" si="4">E12/E12</f>
        <v>1</v>
      </c>
      <c r="G12" s="151">
        <f t="shared" si="3"/>
        <v>989023739</v>
      </c>
      <c r="H12" s="230">
        <f>G12/E12</f>
        <v>0.80129423477637385</v>
      </c>
      <c r="I12" s="151">
        <f t="shared" si="3"/>
        <v>614796643</v>
      </c>
      <c r="J12" s="418">
        <f>I12/G12</f>
        <v>0.62161970310401216</v>
      </c>
    </row>
    <row r="13" spans="1:10" ht="24" customHeight="1" x14ac:dyDescent="0.2">
      <c r="A13" s="214">
        <v>4</v>
      </c>
      <c r="B13" s="215" t="s">
        <v>27</v>
      </c>
      <c r="C13" s="215"/>
      <c r="D13" s="215"/>
      <c r="E13" s="216">
        <f t="shared" si="3"/>
        <v>1234282859</v>
      </c>
      <c r="F13" s="426">
        <f t="shared" si="4"/>
        <v>1</v>
      </c>
      <c r="G13" s="216">
        <f t="shared" si="3"/>
        <v>989023739</v>
      </c>
      <c r="H13" s="230">
        <f>G13/E13</f>
        <v>0.80129423477637385</v>
      </c>
      <c r="I13" s="216">
        <f t="shared" si="3"/>
        <v>614796643</v>
      </c>
      <c r="J13" s="426">
        <f t="shared" ref="J13:J14" si="5">I13/G13</f>
        <v>0.62161970310401216</v>
      </c>
    </row>
    <row r="14" spans="1:10" ht="24" customHeight="1" x14ac:dyDescent="0.2">
      <c r="A14" s="53"/>
      <c r="B14" s="110">
        <v>45</v>
      </c>
      <c r="C14" s="111" t="s">
        <v>28</v>
      </c>
      <c r="D14" s="112"/>
      <c r="E14" s="113">
        <f>SUM(E15:E16)</f>
        <v>1234282859</v>
      </c>
      <c r="F14" s="418">
        <f t="shared" si="4"/>
        <v>1</v>
      </c>
      <c r="G14" s="113">
        <f>SUM(G15:G16)</f>
        <v>989023739</v>
      </c>
      <c r="H14" s="230">
        <f>G14/E14</f>
        <v>0.80129423477637385</v>
      </c>
      <c r="I14" s="113">
        <f>SUM(I15:I16)</f>
        <v>614796643</v>
      </c>
      <c r="J14" s="418">
        <f t="shared" si="5"/>
        <v>0.62161970310401216</v>
      </c>
    </row>
    <row r="15" spans="1:10" s="16" customFormat="1" ht="56.25" customHeight="1" x14ac:dyDescent="0.2">
      <c r="A15" s="66"/>
      <c r="B15" s="67"/>
      <c r="C15" s="57">
        <v>4502</v>
      </c>
      <c r="D15" s="50" t="s">
        <v>47</v>
      </c>
      <c r="E15" s="58">
        <f>'SGTO POAI 2022'!BF12+'SGTO POAI 2022'!BF13</f>
        <v>196282859</v>
      </c>
      <c r="F15" s="427">
        <f t="shared" si="4"/>
        <v>1</v>
      </c>
      <c r="G15" s="58">
        <f>'SGTO POAI 2022'!BG12+'SGTO POAI 2022'!BG13</f>
        <v>162665407</v>
      </c>
      <c r="H15" s="230">
        <f>G15/E15</f>
        <v>0.82872955809146842</v>
      </c>
      <c r="I15" s="58">
        <f>'SGTO POAI 2022'!BH12+'SGTO POAI 2022'!BH13</f>
        <v>54396643</v>
      </c>
      <c r="J15" s="427">
        <f t="shared" ref="J15:J16" si="6">I15/G15</f>
        <v>0.33440818182073584</v>
      </c>
    </row>
    <row r="16" spans="1:10" s="16" customFormat="1" ht="56.25" customHeight="1" x14ac:dyDescent="0.2">
      <c r="A16" s="68"/>
      <c r="B16" s="69"/>
      <c r="C16" s="57">
        <v>4599</v>
      </c>
      <c r="D16" s="50" t="s">
        <v>29</v>
      </c>
      <c r="E16" s="58">
        <f>'SGTO POAI 2022'!BF14+'SGTO POAI 2022'!BF15+'SGTO POAI 2022'!BF16+'SGTO POAI 2022'!BF17+'SGTO POAI 2022'!BF18+'SGTO POAI 2022'!BF19+'SGTO POAI 2022'!BF20+'SGTO POAI 2022'!BF21+'SGTO POAI 2022'!BF22+'SGTO POAI 2022'!BF23</f>
        <v>1038000000</v>
      </c>
      <c r="F16" s="428">
        <f t="shared" si="4"/>
        <v>1</v>
      </c>
      <c r="G16" s="58">
        <f>'SGTO POAI 2022'!BG14+'SGTO POAI 2022'!BG15+'SGTO POAI 2022'!BG16+'SGTO POAI 2022'!BG17+'SGTO POAI 2022'!BG18+'SGTO POAI 2022'!BG19+'SGTO POAI 2022'!BG20+'SGTO POAI 2022'!BG21+'SGTO POAI 2022'!BG22+'SGTO POAI 2022'!BG23</f>
        <v>826358332</v>
      </c>
      <c r="H16" s="230">
        <f>G16/E16</f>
        <v>0.79610629287090562</v>
      </c>
      <c r="I16" s="58">
        <f>'SGTO POAI 2022'!BH14+'SGTO POAI 2022'!BH15+'SGTO POAI 2022'!BH16+'SGTO POAI 2022'!BH17+'SGTO POAI 2022'!BH18+'SGTO POAI 2022'!BH19+'SGTO POAI 2022'!BH20+'SGTO POAI 2022'!BH21+'SGTO POAI 2022'!BH22+'SGTO POAI 2022'!BH23</f>
        <v>560400000</v>
      </c>
      <c r="J16" s="427">
        <f t="shared" si="6"/>
        <v>0.67815616821299263</v>
      </c>
    </row>
    <row r="17" spans="1:10" ht="18" customHeight="1" x14ac:dyDescent="0.2">
      <c r="A17" s="70"/>
      <c r="B17" s="70"/>
      <c r="C17" s="70"/>
      <c r="D17" s="71"/>
      <c r="E17" s="71"/>
      <c r="F17" s="420"/>
      <c r="G17" s="71"/>
      <c r="I17" s="71"/>
      <c r="J17" s="420"/>
    </row>
    <row r="18" spans="1:10" ht="24" customHeight="1" x14ac:dyDescent="0.2">
      <c r="A18" s="148" t="s">
        <v>1210</v>
      </c>
      <c r="B18" s="149"/>
      <c r="C18" s="149"/>
      <c r="D18" s="150"/>
      <c r="E18" s="151">
        <f>E19</f>
        <v>3838356174.1599998</v>
      </c>
      <c r="F18" s="419">
        <f t="shared" ref="F18:F21" si="7">E18/E18</f>
        <v>1</v>
      </c>
      <c r="G18" s="151">
        <f t="shared" ref="G18:I20" si="8">G19</f>
        <v>3353173510</v>
      </c>
      <c r="H18" s="230">
        <f>G18/E18</f>
        <v>0.8735962369969017</v>
      </c>
      <c r="I18" s="151">
        <f t="shared" si="8"/>
        <v>1911945730.5</v>
      </c>
      <c r="J18" s="418">
        <f>I18/G18</f>
        <v>0.57018991853481504</v>
      </c>
    </row>
    <row r="19" spans="1:10" ht="24" customHeight="1" x14ac:dyDescent="0.2">
      <c r="A19" s="214">
        <v>4</v>
      </c>
      <c r="B19" s="215" t="s">
        <v>27</v>
      </c>
      <c r="C19" s="215"/>
      <c r="D19" s="215"/>
      <c r="E19" s="216">
        <f>E20</f>
        <v>3838356174.1599998</v>
      </c>
      <c r="F19" s="430">
        <f t="shared" si="7"/>
        <v>1</v>
      </c>
      <c r="G19" s="216">
        <f t="shared" si="8"/>
        <v>3353173510</v>
      </c>
      <c r="H19" s="230">
        <f>G19/E19</f>
        <v>0.8735962369969017</v>
      </c>
      <c r="I19" s="216">
        <f t="shared" si="8"/>
        <v>1911945730.5</v>
      </c>
      <c r="J19" s="426">
        <f t="shared" ref="J19:J20" si="9">I19/G19</f>
        <v>0.57018991853481504</v>
      </c>
    </row>
    <row r="20" spans="1:10" ht="24" customHeight="1" x14ac:dyDescent="0.2">
      <c r="A20" s="53"/>
      <c r="B20" s="110">
        <v>45</v>
      </c>
      <c r="C20" s="111" t="s">
        <v>28</v>
      </c>
      <c r="D20" s="112"/>
      <c r="E20" s="113">
        <f>E21</f>
        <v>3838356174.1599998</v>
      </c>
      <c r="F20" s="418">
        <f t="shared" si="7"/>
        <v>1</v>
      </c>
      <c r="G20" s="113">
        <f t="shared" si="8"/>
        <v>3353173510</v>
      </c>
      <c r="H20" s="230">
        <f>G20/E20</f>
        <v>0.8735962369969017</v>
      </c>
      <c r="I20" s="113">
        <f t="shared" si="8"/>
        <v>1911945730.5</v>
      </c>
      <c r="J20" s="418">
        <f t="shared" si="9"/>
        <v>0.57018991853481504</v>
      </c>
    </row>
    <row r="21" spans="1:10" ht="70.5" customHeight="1" x14ac:dyDescent="0.2">
      <c r="A21" s="60"/>
      <c r="B21" s="72"/>
      <c r="C21" s="25">
        <v>4599</v>
      </c>
      <c r="D21" s="50" t="s">
        <v>29</v>
      </c>
      <c r="E21" s="58">
        <f>'SGTO POAI 2022'!BF24+'SGTO POAI 2022'!BF25</f>
        <v>3838356174.1599998</v>
      </c>
      <c r="F21" s="427">
        <f t="shared" si="7"/>
        <v>1</v>
      </c>
      <c r="G21" s="58">
        <f>'SGTO POAI 2022'!BG24+'SGTO POAI 2022'!BG25</f>
        <v>3353173510</v>
      </c>
      <c r="H21" s="230">
        <f>G21/E21</f>
        <v>0.8735962369969017</v>
      </c>
      <c r="I21" s="58">
        <f>'SGTO POAI 2022'!BH24+'SGTO POAI 2022'!BH25</f>
        <v>1911945730.5</v>
      </c>
      <c r="J21" s="427">
        <f>I21/G21</f>
        <v>0.57018991853481504</v>
      </c>
    </row>
    <row r="22" spans="1:10" s="74" customFormat="1" x14ac:dyDescent="0.2">
      <c r="A22" s="70"/>
      <c r="B22" s="70"/>
      <c r="C22" s="70"/>
      <c r="D22" s="71"/>
      <c r="E22" s="73"/>
      <c r="F22" s="420"/>
      <c r="G22" s="73"/>
      <c r="I22" s="73"/>
      <c r="J22" s="420"/>
    </row>
    <row r="23" spans="1:10" ht="24" customHeight="1" x14ac:dyDescent="0.2">
      <c r="A23" s="111" t="s">
        <v>111</v>
      </c>
      <c r="B23" s="120"/>
      <c r="C23" s="120"/>
      <c r="D23" s="121"/>
      <c r="E23" s="122">
        <f>E24+E40+E48+E37</f>
        <v>35755534437.400002</v>
      </c>
      <c r="F23" s="418">
        <f t="shared" ref="F23:F51" si="10">E23/E23</f>
        <v>1</v>
      </c>
      <c r="G23" s="122">
        <f>G24+G40+G48+G37</f>
        <v>17188762698.550003</v>
      </c>
      <c r="H23" s="230">
        <f t="shared" ref="H23:H51" si="11">G23/E23</f>
        <v>0.48073012944733656</v>
      </c>
      <c r="I23" s="122">
        <f>I24+I40+I48+I37</f>
        <v>8027601401.6000004</v>
      </c>
      <c r="J23" s="418">
        <f>I23/G23</f>
        <v>0.46702613459648185</v>
      </c>
    </row>
    <row r="24" spans="1:10" ht="24" customHeight="1" x14ac:dyDescent="0.2">
      <c r="A24" s="211">
        <v>1</v>
      </c>
      <c r="B24" s="212" t="s">
        <v>112</v>
      </c>
      <c r="C24" s="212"/>
      <c r="D24" s="212"/>
      <c r="E24" s="213">
        <f>E25+E29+E31+E35+E33+E27</f>
        <v>8534853766.8800001</v>
      </c>
      <c r="F24" s="426">
        <f t="shared" si="10"/>
        <v>1</v>
      </c>
      <c r="G24" s="213">
        <f>G25+G29+G31+G35+G33+G27</f>
        <v>2769351048</v>
      </c>
      <c r="H24" s="230">
        <f t="shared" si="11"/>
        <v>0.32447551225149618</v>
      </c>
      <c r="I24" s="213">
        <f>I25+I29+I31+I35+I33+I27</f>
        <v>1495162917</v>
      </c>
      <c r="J24" s="426">
        <f t="shared" ref="J24:J25" si="12">I24/G24</f>
        <v>0.53989649238574977</v>
      </c>
    </row>
    <row r="25" spans="1:10" ht="24" customHeight="1" x14ac:dyDescent="0.2">
      <c r="A25" s="53"/>
      <c r="B25" s="110">
        <v>12</v>
      </c>
      <c r="C25" s="111" t="s">
        <v>113</v>
      </c>
      <c r="D25" s="112"/>
      <c r="E25" s="113">
        <f>E26</f>
        <v>64250000</v>
      </c>
      <c r="F25" s="418">
        <f t="shared" si="10"/>
        <v>1</v>
      </c>
      <c r="G25" s="113">
        <f>G26</f>
        <v>47250000</v>
      </c>
      <c r="H25" s="230">
        <f t="shared" si="11"/>
        <v>0.7354085603112841</v>
      </c>
      <c r="I25" s="113">
        <f>I26</f>
        <v>2100000</v>
      </c>
      <c r="J25" s="418">
        <f t="shared" si="12"/>
        <v>4.4444444444444446E-2</v>
      </c>
    </row>
    <row r="26" spans="1:10" ht="61.5" customHeight="1" x14ac:dyDescent="0.2">
      <c r="A26" s="75"/>
      <c r="B26" s="72"/>
      <c r="C26" s="22">
        <v>1202</v>
      </c>
      <c r="D26" s="50" t="s">
        <v>114</v>
      </c>
      <c r="E26" s="58">
        <f>'SGTO POAI 2022'!BF26</f>
        <v>64250000</v>
      </c>
      <c r="F26" s="427">
        <f t="shared" si="10"/>
        <v>1</v>
      </c>
      <c r="G26" s="58">
        <f>'SGTO POAI 2022'!BG26</f>
        <v>47250000</v>
      </c>
      <c r="H26" s="230">
        <f t="shared" si="11"/>
        <v>0.7354085603112841</v>
      </c>
      <c r="I26" s="58">
        <f>'SGTO POAI 2022'!BH26</f>
        <v>2100000</v>
      </c>
      <c r="J26" s="427">
        <f>I26/G26</f>
        <v>4.4444444444444446E-2</v>
      </c>
    </row>
    <row r="27" spans="1:10" s="118" customFormat="1" ht="25.5" customHeight="1" x14ac:dyDescent="0.2">
      <c r="A27" s="75"/>
      <c r="B27" s="110">
        <v>19</v>
      </c>
      <c r="C27" s="123" t="s">
        <v>122</v>
      </c>
      <c r="D27" s="112"/>
      <c r="E27" s="113">
        <f>E28</f>
        <v>516811948</v>
      </c>
      <c r="F27" s="418">
        <f t="shared" si="10"/>
        <v>1</v>
      </c>
      <c r="G27" s="113">
        <f>G28</f>
        <v>516811948</v>
      </c>
      <c r="H27" s="230">
        <f t="shared" si="11"/>
        <v>1</v>
      </c>
      <c r="I27" s="113">
        <f>I28</f>
        <v>147543584</v>
      </c>
      <c r="J27" s="418">
        <f t="shared" ref="J27:J45" si="13">I27/G27</f>
        <v>0.28548795083197265</v>
      </c>
    </row>
    <row r="28" spans="1:10" s="118" customFormat="1" ht="61.5" customHeight="1" x14ac:dyDescent="0.2">
      <c r="A28" s="75"/>
      <c r="B28" s="210"/>
      <c r="C28" s="29">
        <v>1906</v>
      </c>
      <c r="D28" s="38" t="s">
        <v>1216</v>
      </c>
      <c r="E28" s="58">
        <f>'SGTO POAI 2022'!BF27</f>
        <v>516811948</v>
      </c>
      <c r="F28" s="427">
        <f t="shared" si="10"/>
        <v>1</v>
      </c>
      <c r="G28" s="58">
        <f>'SGTO POAI 2022'!BG27</f>
        <v>516811948</v>
      </c>
      <c r="H28" s="230">
        <f t="shared" si="11"/>
        <v>1</v>
      </c>
      <c r="I28" s="58">
        <f>'SGTO POAI 2022'!BH27</f>
        <v>147543584</v>
      </c>
      <c r="J28" s="427">
        <f>I28/G28</f>
        <v>0.28548795083197265</v>
      </c>
    </row>
    <row r="29" spans="1:10" ht="24" customHeight="1" x14ac:dyDescent="0.2">
      <c r="A29" s="76"/>
      <c r="B29" s="110">
        <v>22</v>
      </c>
      <c r="C29" s="123" t="s">
        <v>124</v>
      </c>
      <c r="D29" s="112"/>
      <c r="E29" s="113">
        <f>E30</f>
        <v>3902276899.8800001</v>
      </c>
      <c r="F29" s="418">
        <f t="shared" si="10"/>
        <v>1</v>
      </c>
      <c r="G29" s="113">
        <f>G30</f>
        <v>1115149000</v>
      </c>
      <c r="H29" s="230">
        <f t="shared" si="11"/>
        <v>0.28576880334511684</v>
      </c>
      <c r="I29" s="113">
        <f>I30</f>
        <v>837839233</v>
      </c>
      <c r="J29" s="418">
        <f t="shared" si="13"/>
        <v>0.75132491980892235</v>
      </c>
    </row>
    <row r="30" spans="1:10" ht="64.5" customHeight="1" x14ac:dyDescent="0.2">
      <c r="A30" s="75"/>
      <c r="B30" s="72"/>
      <c r="C30" s="22">
        <v>2201</v>
      </c>
      <c r="D30" s="50" t="s">
        <v>125</v>
      </c>
      <c r="E30" s="58">
        <f>'SGTO POAI 2022'!BF28</f>
        <v>3902276899.8800001</v>
      </c>
      <c r="F30" s="427">
        <f t="shared" si="10"/>
        <v>1</v>
      </c>
      <c r="G30" s="58">
        <f>'SGTO POAI 2022'!BG28</f>
        <v>1115149000</v>
      </c>
      <c r="H30" s="230">
        <f t="shared" si="11"/>
        <v>0.28576880334511684</v>
      </c>
      <c r="I30" s="58">
        <f>'SGTO POAI 2022'!BH28</f>
        <v>837839233</v>
      </c>
      <c r="J30" s="427">
        <f>I30/G30</f>
        <v>0.75132491980892235</v>
      </c>
    </row>
    <row r="31" spans="1:10" ht="24" customHeight="1" x14ac:dyDescent="0.2">
      <c r="A31" s="76"/>
      <c r="B31" s="110">
        <v>33</v>
      </c>
      <c r="C31" s="123" t="s">
        <v>132</v>
      </c>
      <c r="D31" s="112"/>
      <c r="E31" s="113">
        <f>E32</f>
        <v>67500000</v>
      </c>
      <c r="F31" s="418">
        <f t="shared" si="10"/>
        <v>1</v>
      </c>
      <c r="G31" s="113">
        <f>G32</f>
        <v>26600000</v>
      </c>
      <c r="H31" s="230">
        <f t="shared" si="11"/>
        <v>0.39407407407407408</v>
      </c>
      <c r="I31" s="113">
        <f>I32</f>
        <v>11500000</v>
      </c>
      <c r="J31" s="418">
        <f t="shared" si="13"/>
        <v>0.43233082706766918</v>
      </c>
    </row>
    <row r="32" spans="1:10" ht="63" customHeight="1" x14ac:dyDescent="0.2">
      <c r="A32" s="75"/>
      <c r="B32" s="72"/>
      <c r="C32" s="22">
        <v>3301</v>
      </c>
      <c r="D32" s="50" t="s">
        <v>133</v>
      </c>
      <c r="E32" s="58">
        <f>'SGTO POAI 2022'!BF29</f>
        <v>67500000</v>
      </c>
      <c r="F32" s="427">
        <f t="shared" si="10"/>
        <v>1</v>
      </c>
      <c r="G32" s="58">
        <f>'SGTO POAI 2022'!BG29</f>
        <v>26600000</v>
      </c>
      <c r="H32" s="230">
        <f t="shared" si="11"/>
        <v>0.39407407407407408</v>
      </c>
      <c r="I32" s="58">
        <f>'SGTO POAI 2022'!BH29</f>
        <v>11500000</v>
      </c>
      <c r="J32" s="427">
        <f>I32/G32</f>
        <v>0.43233082706766918</v>
      </c>
    </row>
    <row r="33" spans="1:10" ht="26.25" customHeight="1" x14ac:dyDescent="0.2">
      <c r="A33" s="75"/>
      <c r="B33" s="110">
        <v>41</v>
      </c>
      <c r="C33" s="123" t="s">
        <v>1146</v>
      </c>
      <c r="D33" s="112"/>
      <c r="E33" s="113">
        <f>E34</f>
        <v>50000000</v>
      </c>
      <c r="F33" s="418">
        <f t="shared" si="10"/>
        <v>1</v>
      </c>
      <c r="G33" s="113">
        <f>G34</f>
        <v>0</v>
      </c>
      <c r="H33" s="230">
        <f t="shared" si="11"/>
        <v>0</v>
      </c>
      <c r="I33" s="113">
        <f>I34</f>
        <v>0</v>
      </c>
      <c r="J33" s="418" t="e">
        <f t="shared" si="13"/>
        <v>#DIV/0!</v>
      </c>
    </row>
    <row r="34" spans="1:10" ht="57" customHeight="1" x14ac:dyDescent="0.2">
      <c r="A34" s="75"/>
      <c r="B34" s="72"/>
      <c r="C34" s="22">
        <f>'SGTO POAI 2022'!G29</f>
        <v>3301</v>
      </c>
      <c r="D34" s="50" t="s">
        <v>1147</v>
      </c>
      <c r="E34" s="58">
        <f>'SGTO POAI 2022'!BF30</f>
        <v>50000000</v>
      </c>
      <c r="F34" s="427">
        <f t="shared" si="10"/>
        <v>1</v>
      </c>
      <c r="G34" s="58">
        <f>'SGTO POAI 2022'!BG30</f>
        <v>0</v>
      </c>
      <c r="H34" s="230">
        <f t="shared" si="11"/>
        <v>0</v>
      </c>
      <c r="I34" s="58">
        <f>'SGTO POAI 2022'!BH30</f>
        <v>0</v>
      </c>
      <c r="J34" s="427" t="e">
        <f>I34/G34</f>
        <v>#DIV/0!</v>
      </c>
    </row>
    <row r="35" spans="1:10" ht="24" customHeight="1" x14ac:dyDescent="0.2">
      <c r="A35" s="76"/>
      <c r="B35" s="110">
        <v>43</v>
      </c>
      <c r="C35" s="123" t="s">
        <v>141</v>
      </c>
      <c r="D35" s="112"/>
      <c r="E35" s="113">
        <f>E36</f>
        <v>3934014919</v>
      </c>
      <c r="F35" s="418">
        <f t="shared" si="10"/>
        <v>1</v>
      </c>
      <c r="G35" s="113">
        <f>G36</f>
        <v>1063540100</v>
      </c>
      <c r="H35" s="230">
        <f t="shared" si="11"/>
        <v>0.27034470430283591</v>
      </c>
      <c r="I35" s="113">
        <f>I36</f>
        <v>496180100</v>
      </c>
      <c r="J35" s="418">
        <f t="shared" si="13"/>
        <v>0.46653633464314131</v>
      </c>
    </row>
    <row r="36" spans="1:10" ht="65.25" customHeight="1" x14ac:dyDescent="0.2">
      <c r="A36" s="60"/>
      <c r="B36" s="72"/>
      <c r="C36" s="22">
        <v>4301</v>
      </c>
      <c r="D36" s="50" t="s">
        <v>142</v>
      </c>
      <c r="E36" s="58">
        <f>'SGTO POAI 2022'!BF31</f>
        <v>3934014919</v>
      </c>
      <c r="F36" s="427">
        <f t="shared" si="10"/>
        <v>1</v>
      </c>
      <c r="G36" s="58">
        <f>'SGTO POAI 2022'!BG31</f>
        <v>1063540100</v>
      </c>
      <c r="H36" s="230">
        <f t="shared" si="11"/>
        <v>0.27034470430283591</v>
      </c>
      <c r="I36" s="58">
        <f>'SGTO POAI 2022'!BH31</f>
        <v>496180100</v>
      </c>
      <c r="J36" s="427">
        <f t="shared" ref="J36:J42" si="14">I36/G36</f>
        <v>0.46653633464314131</v>
      </c>
    </row>
    <row r="37" spans="1:10" ht="27" customHeight="1" x14ac:dyDescent="0.2">
      <c r="A37" s="211">
        <v>2</v>
      </c>
      <c r="B37" s="212" t="s">
        <v>333</v>
      </c>
      <c r="C37" s="212"/>
      <c r="D37" s="212"/>
      <c r="E37" s="213">
        <f t="shared" ref="E37:I38" si="15">E38</f>
        <v>43400000</v>
      </c>
      <c r="F37" s="426">
        <f t="shared" si="10"/>
        <v>1</v>
      </c>
      <c r="G37" s="213">
        <f t="shared" si="15"/>
        <v>38600000</v>
      </c>
      <c r="H37" s="230">
        <f t="shared" si="11"/>
        <v>0.88940092165898621</v>
      </c>
      <c r="I37" s="213">
        <f t="shared" si="15"/>
        <v>11800000</v>
      </c>
      <c r="J37" s="426">
        <f t="shared" si="14"/>
        <v>0.30569948186528495</v>
      </c>
    </row>
    <row r="38" spans="1:10" ht="27" customHeight="1" x14ac:dyDescent="0.2">
      <c r="A38" s="24"/>
      <c r="B38" s="110">
        <v>17</v>
      </c>
      <c r="C38" s="123" t="s">
        <v>1229</v>
      </c>
      <c r="D38" s="112"/>
      <c r="E38" s="113">
        <f t="shared" si="15"/>
        <v>43400000</v>
      </c>
      <c r="F38" s="418">
        <f t="shared" si="10"/>
        <v>1</v>
      </c>
      <c r="G38" s="113">
        <f t="shared" si="15"/>
        <v>38600000</v>
      </c>
      <c r="H38" s="230">
        <f t="shared" si="11"/>
        <v>0.88940092165898621</v>
      </c>
      <c r="I38" s="113">
        <f t="shared" si="15"/>
        <v>11800000</v>
      </c>
      <c r="J38" s="418">
        <f t="shared" si="14"/>
        <v>0.30569948186528495</v>
      </c>
    </row>
    <row r="39" spans="1:10" ht="65.25" customHeight="1" x14ac:dyDescent="0.2">
      <c r="A39" s="52"/>
      <c r="B39" s="52"/>
      <c r="C39" s="22">
        <v>1709</v>
      </c>
      <c r="D39" s="50" t="s">
        <v>450</v>
      </c>
      <c r="E39" s="58">
        <f>'SGTO POAI 2022'!BF32+'SGTO POAI 2022'!BF33</f>
        <v>43400000</v>
      </c>
      <c r="F39" s="427">
        <f t="shared" si="10"/>
        <v>1</v>
      </c>
      <c r="G39" s="58">
        <f>'SGTO POAI 2022'!BG32+'SGTO POAI 2022'!BG33</f>
        <v>38600000</v>
      </c>
      <c r="H39" s="230">
        <f t="shared" si="11"/>
        <v>0.88940092165898621</v>
      </c>
      <c r="I39" s="58">
        <f>'SGTO POAI 2022'!BH32+'SGTO POAI 2022'!BH33</f>
        <v>11800000</v>
      </c>
      <c r="J39" s="427">
        <f t="shared" si="14"/>
        <v>0.30569948186528495</v>
      </c>
    </row>
    <row r="40" spans="1:10" ht="24" customHeight="1" x14ac:dyDescent="0.2">
      <c r="A40" s="211">
        <v>3</v>
      </c>
      <c r="B40" s="212" t="s">
        <v>150</v>
      </c>
      <c r="C40" s="212"/>
      <c r="D40" s="212"/>
      <c r="E40" s="213">
        <f>E41+E43+E45</f>
        <v>27012620022.52</v>
      </c>
      <c r="F40" s="426">
        <f t="shared" si="10"/>
        <v>1</v>
      </c>
      <c r="G40" s="213">
        <f>G41+G43+G45</f>
        <v>14285224983.550001</v>
      </c>
      <c r="H40" s="230">
        <f t="shared" si="11"/>
        <v>0.52883522485566492</v>
      </c>
      <c r="I40" s="213">
        <f>I41+I43+I45</f>
        <v>6487838484.6000004</v>
      </c>
      <c r="J40" s="426">
        <f t="shared" si="14"/>
        <v>0.45416424957051793</v>
      </c>
    </row>
    <row r="41" spans="1:10" ht="24" customHeight="1" x14ac:dyDescent="0.2">
      <c r="A41" s="24"/>
      <c r="B41" s="110">
        <v>24</v>
      </c>
      <c r="C41" s="123" t="s">
        <v>151</v>
      </c>
      <c r="D41" s="112"/>
      <c r="E41" s="113">
        <f>E42</f>
        <v>19155855363</v>
      </c>
      <c r="F41" s="418">
        <f t="shared" si="10"/>
        <v>1</v>
      </c>
      <c r="G41" s="113">
        <f>G42</f>
        <v>9343984126</v>
      </c>
      <c r="H41" s="230">
        <f t="shared" si="11"/>
        <v>0.48778736051892169</v>
      </c>
      <c r="I41" s="113">
        <f>I42</f>
        <v>3152280376.4299998</v>
      </c>
      <c r="J41" s="418">
        <f t="shared" si="14"/>
        <v>0.33735934628341852</v>
      </c>
    </row>
    <row r="42" spans="1:10" ht="59.25" customHeight="1" x14ac:dyDescent="0.2">
      <c r="A42" s="52"/>
      <c r="B42" s="52"/>
      <c r="C42" s="22">
        <v>2402</v>
      </c>
      <c r="D42" s="50" t="s">
        <v>152</v>
      </c>
      <c r="E42" s="58">
        <f>'SGTO POAI 2022'!BF34+'SGTO POAI 2022'!BF35+'SGTO POAI 2022'!BF36</f>
        <v>19155855363</v>
      </c>
      <c r="F42" s="427">
        <f t="shared" si="10"/>
        <v>1</v>
      </c>
      <c r="G42" s="58">
        <f>'SGTO POAI 2022'!BG34+'SGTO POAI 2022'!BG35+'SGTO POAI 2022'!BG36</f>
        <v>9343984126</v>
      </c>
      <c r="H42" s="230">
        <f t="shared" si="11"/>
        <v>0.48778736051892169</v>
      </c>
      <c r="I42" s="58">
        <f>'SGTO POAI 2022'!BH34+'SGTO POAI 2022'!BH35+'SGTO POAI 2022'!BH36</f>
        <v>3152280376.4299998</v>
      </c>
      <c r="J42" s="427">
        <f t="shared" si="14"/>
        <v>0.33735934628341852</v>
      </c>
    </row>
    <row r="43" spans="1:10" ht="24" customHeight="1" x14ac:dyDescent="0.2">
      <c r="A43" s="24"/>
      <c r="B43" s="110">
        <v>32</v>
      </c>
      <c r="C43" s="123" t="s">
        <v>170</v>
      </c>
      <c r="D43" s="112"/>
      <c r="E43" s="113">
        <f>E44</f>
        <v>3265757133.7200003</v>
      </c>
      <c r="F43" s="418">
        <f t="shared" si="10"/>
        <v>1</v>
      </c>
      <c r="G43" s="113">
        <f>G44</f>
        <v>1247600848.4400001</v>
      </c>
      <c r="H43" s="230">
        <f t="shared" si="11"/>
        <v>0.3820249937014964</v>
      </c>
      <c r="I43" s="113">
        <f>I44</f>
        <v>927284878.16999996</v>
      </c>
      <c r="J43" s="418">
        <f t="shared" si="13"/>
        <v>0.74325444658800677</v>
      </c>
    </row>
    <row r="44" spans="1:10" ht="54.75" customHeight="1" x14ac:dyDescent="0.2">
      <c r="A44" s="52"/>
      <c r="B44" s="52"/>
      <c r="C44" s="22">
        <v>3205</v>
      </c>
      <c r="D44" s="50" t="s">
        <v>171</v>
      </c>
      <c r="E44" s="58">
        <f>'SGTO POAI 2022'!BF37+'SGTO POAI 2022'!BF38</f>
        <v>3265757133.7200003</v>
      </c>
      <c r="F44" s="427">
        <f t="shared" si="10"/>
        <v>1</v>
      </c>
      <c r="G44" s="58">
        <f>'SGTO POAI 2022'!BG37+'SGTO POAI 2022'!BG38</f>
        <v>1247600848.4400001</v>
      </c>
      <c r="H44" s="230">
        <f t="shared" si="11"/>
        <v>0.3820249937014964</v>
      </c>
      <c r="I44" s="58">
        <f>'SGTO POAI 2022'!BH37+'SGTO POAI 2022'!BH38</f>
        <v>927284878.16999996</v>
      </c>
      <c r="J44" s="427">
        <f>I44/G44</f>
        <v>0.74325444658800677</v>
      </c>
    </row>
    <row r="45" spans="1:10" ht="24" customHeight="1" x14ac:dyDescent="0.2">
      <c r="A45" s="24"/>
      <c r="B45" s="110">
        <v>40</v>
      </c>
      <c r="C45" s="123" t="s">
        <v>182</v>
      </c>
      <c r="D45" s="112"/>
      <c r="E45" s="113">
        <f>SUM(E46:E47)</f>
        <v>4591007525.8000002</v>
      </c>
      <c r="F45" s="418">
        <f t="shared" si="10"/>
        <v>1</v>
      </c>
      <c r="G45" s="113">
        <f>SUM(G46:G47)</f>
        <v>3693640009.1100001</v>
      </c>
      <c r="H45" s="230">
        <f t="shared" si="11"/>
        <v>0.80453799919797986</v>
      </c>
      <c r="I45" s="113">
        <f>SUM(I46:I47)</f>
        <v>2408273230</v>
      </c>
      <c r="J45" s="418">
        <f t="shared" si="13"/>
        <v>0.65200539956796832</v>
      </c>
    </row>
    <row r="46" spans="1:10" ht="48.75" customHeight="1" x14ac:dyDescent="0.2">
      <c r="A46" s="52"/>
      <c r="B46" s="52"/>
      <c r="C46" s="22">
        <v>4001</v>
      </c>
      <c r="D46" s="50" t="s">
        <v>183</v>
      </c>
      <c r="E46" s="58">
        <f>'SGTO POAI 2022'!BF39</f>
        <v>380000000</v>
      </c>
      <c r="F46" s="427">
        <f t="shared" si="10"/>
        <v>1</v>
      </c>
      <c r="G46" s="58">
        <f>'SGTO POAI 2022'!BG39</f>
        <v>0</v>
      </c>
      <c r="H46" s="230">
        <f t="shared" si="11"/>
        <v>0</v>
      </c>
      <c r="I46" s="58">
        <f>'SGTO POAI 2022'!BH39</f>
        <v>0</v>
      </c>
      <c r="J46" s="427" t="e">
        <f t="shared" ref="J46:J51" si="16">I46/G46</f>
        <v>#DIV/0!</v>
      </c>
    </row>
    <row r="47" spans="1:10" ht="59.25" customHeight="1" x14ac:dyDescent="0.2">
      <c r="A47" s="52"/>
      <c r="B47" s="52"/>
      <c r="C47" s="22">
        <v>4003</v>
      </c>
      <c r="D47" s="50" t="s">
        <v>190</v>
      </c>
      <c r="E47" s="58">
        <f>'SGTO POAI 2022'!BF40+'SGTO POAI 2022'!BF41+'SGTO POAI 2022'!BF42+'SGTO POAI 2022'!BF43+'SGTO POAI 2022'!BF44+'SGTO POAI 2022'!BF45</f>
        <v>4211007525.8000002</v>
      </c>
      <c r="F47" s="427">
        <f t="shared" si="10"/>
        <v>1</v>
      </c>
      <c r="G47" s="58">
        <f>'SGTO POAI 2022'!BG40+'SGTO POAI 2022'!BG41+'SGTO POAI 2022'!BG42+'SGTO POAI 2022'!BG43+'SGTO POAI 2022'!BG44+'SGTO POAI 2022'!BG45</f>
        <v>3693640009.1100001</v>
      </c>
      <c r="H47" s="230">
        <f t="shared" si="11"/>
        <v>0.87713925621832944</v>
      </c>
      <c r="I47" s="58">
        <f>'SGTO POAI 2022'!BH40+'SGTO POAI 2022'!BH41+'SGTO POAI 2022'!BH42+'SGTO POAI 2022'!BH43+'SGTO POAI 2022'!BH44+'SGTO POAI 2022'!BH45</f>
        <v>2408273230</v>
      </c>
      <c r="J47" s="427">
        <f t="shared" si="16"/>
        <v>0.65200539956796832</v>
      </c>
    </row>
    <row r="48" spans="1:10" ht="24" customHeight="1" x14ac:dyDescent="0.2">
      <c r="A48" s="211">
        <v>4</v>
      </c>
      <c r="B48" s="212" t="s">
        <v>27</v>
      </c>
      <c r="C48" s="212"/>
      <c r="D48" s="212"/>
      <c r="E48" s="213">
        <f>E49</f>
        <v>164660648</v>
      </c>
      <c r="F48" s="426">
        <f t="shared" si="10"/>
        <v>1</v>
      </c>
      <c r="G48" s="213">
        <f>G49</f>
        <v>95586667</v>
      </c>
      <c r="H48" s="230">
        <f t="shared" si="11"/>
        <v>0.58050704986901303</v>
      </c>
      <c r="I48" s="213">
        <f>I49</f>
        <v>32800000</v>
      </c>
      <c r="J48" s="426">
        <f t="shared" si="16"/>
        <v>0.34314409142438246</v>
      </c>
    </row>
    <row r="49" spans="1:10" ht="24" customHeight="1" x14ac:dyDescent="0.2">
      <c r="A49" s="24"/>
      <c r="B49" s="110">
        <v>45</v>
      </c>
      <c r="C49" s="123" t="s">
        <v>28</v>
      </c>
      <c r="D49" s="112"/>
      <c r="E49" s="113">
        <f>SUM(E50:E51)</f>
        <v>164660648</v>
      </c>
      <c r="F49" s="418">
        <f t="shared" si="10"/>
        <v>1</v>
      </c>
      <c r="G49" s="113">
        <f>SUM(G50:G51)</f>
        <v>95586667</v>
      </c>
      <c r="H49" s="230">
        <f t="shared" si="11"/>
        <v>0.58050704986901303</v>
      </c>
      <c r="I49" s="113">
        <f>SUM(I50:I51)</f>
        <v>32800000</v>
      </c>
      <c r="J49" s="418">
        <f t="shared" si="16"/>
        <v>0.34314409142438246</v>
      </c>
    </row>
    <row r="50" spans="1:10" ht="66" customHeight="1" x14ac:dyDescent="0.2">
      <c r="A50" s="52"/>
      <c r="B50" s="52"/>
      <c r="C50" s="22">
        <v>4599</v>
      </c>
      <c r="D50" s="50" t="s">
        <v>29</v>
      </c>
      <c r="E50" s="58">
        <f>'SGTO POAI 2022'!BF46</f>
        <v>126660648</v>
      </c>
      <c r="F50" s="427">
        <f t="shared" si="10"/>
        <v>1</v>
      </c>
      <c r="G50" s="58">
        <f>'SGTO POAI 2022'!BG46</f>
        <v>63186667</v>
      </c>
      <c r="H50" s="230">
        <f t="shared" si="11"/>
        <v>0.49886581189763057</v>
      </c>
      <c r="I50" s="58">
        <f>'SGTO POAI 2022'!BH46</f>
        <v>32800000</v>
      </c>
      <c r="J50" s="427">
        <f t="shared" si="16"/>
        <v>0.51909685313833687</v>
      </c>
    </row>
    <row r="51" spans="1:10" ht="53.25" customHeight="1" x14ac:dyDescent="0.2">
      <c r="A51" s="52"/>
      <c r="B51" s="52"/>
      <c r="C51" s="22">
        <v>4502</v>
      </c>
      <c r="D51" s="50" t="s">
        <v>47</v>
      </c>
      <c r="E51" s="58">
        <f>'SGTO POAI 2022'!BF47</f>
        <v>38000000</v>
      </c>
      <c r="F51" s="427">
        <f t="shared" si="10"/>
        <v>1</v>
      </c>
      <c r="G51" s="58">
        <f>'SGTO POAI 2022'!BG47</f>
        <v>32400000</v>
      </c>
      <c r="H51" s="230">
        <f t="shared" si="11"/>
        <v>0.85263157894736841</v>
      </c>
      <c r="I51" s="58">
        <f>'SGTO POAI 2022'!BH47</f>
        <v>0</v>
      </c>
      <c r="J51" s="427">
        <f t="shared" si="16"/>
        <v>0</v>
      </c>
    </row>
    <row r="52" spans="1:10" s="74" customFormat="1" x14ac:dyDescent="0.2">
      <c r="A52" s="70"/>
      <c r="B52" s="70"/>
      <c r="C52" s="70"/>
      <c r="D52" s="71"/>
      <c r="E52" s="73"/>
      <c r="F52" s="420"/>
      <c r="G52" s="73"/>
      <c r="I52" s="73"/>
      <c r="J52" s="420"/>
    </row>
    <row r="53" spans="1:10" ht="24" customHeight="1" x14ac:dyDescent="0.2">
      <c r="A53" s="123" t="s">
        <v>217</v>
      </c>
      <c r="B53" s="120"/>
      <c r="C53" s="120"/>
      <c r="D53" s="121"/>
      <c r="E53" s="122">
        <f>E54+E66+E71</f>
        <v>6500727034.2399998</v>
      </c>
      <c r="F53" s="418">
        <f t="shared" ref="F53:F73" si="17">E53/E53</f>
        <v>1</v>
      </c>
      <c r="G53" s="122">
        <f>G54+G66+G71</f>
        <v>3295154559.8699999</v>
      </c>
      <c r="H53" s="230">
        <f t="shared" ref="H53:H73" si="18">G53/E53</f>
        <v>0.50689015897976963</v>
      </c>
      <c r="I53" s="122">
        <f>I54+I66+I71</f>
        <v>1272076857.8400002</v>
      </c>
      <c r="J53" s="418">
        <f>I53/G53</f>
        <v>0.38604467096383666</v>
      </c>
    </row>
    <row r="54" spans="1:10" ht="24" customHeight="1" x14ac:dyDescent="0.2">
      <c r="A54" s="211">
        <v>1</v>
      </c>
      <c r="B54" s="212" t="s">
        <v>112</v>
      </c>
      <c r="C54" s="212"/>
      <c r="D54" s="212"/>
      <c r="E54" s="213">
        <f>E55+E59+E61+E64</f>
        <v>5454304728.1499996</v>
      </c>
      <c r="F54" s="426">
        <f t="shared" si="17"/>
        <v>1</v>
      </c>
      <c r="G54" s="213">
        <f>G55+G59+G61+G64</f>
        <v>2466397259.75</v>
      </c>
      <c r="H54" s="230">
        <f t="shared" si="18"/>
        <v>0.45219278765646759</v>
      </c>
      <c r="I54" s="213">
        <f>I55+I59+I61+I64</f>
        <v>775639835.84000003</v>
      </c>
      <c r="J54" s="426">
        <f>I54/G54</f>
        <v>0.31448292961476154</v>
      </c>
    </row>
    <row r="55" spans="1:10" ht="24" customHeight="1" x14ac:dyDescent="0.2">
      <c r="A55" s="24"/>
      <c r="B55" s="110">
        <v>12</v>
      </c>
      <c r="C55" s="123" t="s">
        <v>113</v>
      </c>
      <c r="D55" s="112"/>
      <c r="E55" s="113">
        <f>SUM(E56:E58)</f>
        <v>180875872</v>
      </c>
      <c r="F55" s="418">
        <f t="shared" si="17"/>
        <v>1</v>
      </c>
      <c r="G55" s="113">
        <f>SUM(G56:G58)</f>
        <v>180279204</v>
      </c>
      <c r="H55" s="230">
        <f t="shared" si="18"/>
        <v>0.99670122944866857</v>
      </c>
      <c r="I55" s="113">
        <f>SUM(I56:I58)</f>
        <v>124200872</v>
      </c>
      <c r="J55" s="418">
        <f>I55/G55</f>
        <v>0.68893621252066317</v>
      </c>
    </row>
    <row r="56" spans="1:10" ht="34.5" customHeight="1" x14ac:dyDescent="0.2">
      <c r="A56" s="78"/>
      <c r="B56" s="56"/>
      <c r="C56" s="47">
        <v>1202</v>
      </c>
      <c r="D56" s="50" t="s">
        <v>114</v>
      </c>
      <c r="E56" s="58">
        <f>'SGTO POAI 2022'!BF48</f>
        <v>94000000</v>
      </c>
      <c r="F56" s="427">
        <f t="shared" si="17"/>
        <v>1</v>
      </c>
      <c r="G56" s="58">
        <f>'SGTO POAI 2022'!BG48</f>
        <v>93699166</v>
      </c>
      <c r="H56" s="230">
        <f t="shared" si="18"/>
        <v>0.99679963829787233</v>
      </c>
      <c r="I56" s="58">
        <f>'SGTO POAI 2022'!BH48</f>
        <v>70262500</v>
      </c>
      <c r="J56" s="427">
        <f t="shared" ref="J56:J58" si="19">I56/G56</f>
        <v>0.7498732699499161</v>
      </c>
    </row>
    <row r="57" spans="1:10" ht="36.75" customHeight="1" x14ac:dyDescent="0.2">
      <c r="A57" s="78"/>
      <c r="B57" s="75"/>
      <c r="C57" s="47">
        <v>1203</v>
      </c>
      <c r="D57" s="50" t="s">
        <v>220</v>
      </c>
      <c r="E57" s="58">
        <f>'SGTO POAI 2022'!BF49</f>
        <v>40875872</v>
      </c>
      <c r="F57" s="427">
        <f t="shared" si="17"/>
        <v>1</v>
      </c>
      <c r="G57" s="58">
        <f>'SGTO POAI 2022'!BG49</f>
        <v>40580038</v>
      </c>
      <c r="H57" s="230">
        <f t="shared" si="18"/>
        <v>0.99276262534533821</v>
      </c>
      <c r="I57" s="58">
        <f>'SGTO POAI 2022'!BH49</f>
        <v>23433372</v>
      </c>
      <c r="J57" s="427">
        <f t="shared" si="19"/>
        <v>0.57746057310246979</v>
      </c>
    </row>
    <row r="58" spans="1:10" ht="60" customHeight="1" x14ac:dyDescent="0.2">
      <c r="A58" s="78"/>
      <c r="B58" s="60"/>
      <c r="C58" s="47">
        <v>1206</v>
      </c>
      <c r="D58" s="50" t="s">
        <v>224</v>
      </c>
      <c r="E58" s="58">
        <f>'SGTO POAI 2022'!BF50</f>
        <v>46000000</v>
      </c>
      <c r="F58" s="427">
        <f t="shared" si="17"/>
        <v>1</v>
      </c>
      <c r="G58" s="58">
        <f>'SGTO POAI 2022'!BG50</f>
        <v>46000000</v>
      </c>
      <c r="H58" s="230">
        <f t="shared" si="18"/>
        <v>1</v>
      </c>
      <c r="I58" s="58">
        <f>'SGTO POAI 2022'!BH50</f>
        <v>30505000</v>
      </c>
      <c r="J58" s="427">
        <f t="shared" si="19"/>
        <v>0.66315217391304349</v>
      </c>
    </row>
    <row r="59" spans="1:10" ht="24" customHeight="1" x14ac:dyDescent="0.2">
      <c r="A59" s="79"/>
      <c r="B59" s="110">
        <v>22</v>
      </c>
      <c r="C59" s="123" t="s">
        <v>124</v>
      </c>
      <c r="D59" s="112"/>
      <c r="E59" s="113">
        <f>E60</f>
        <v>51943002</v>
      </c>
      <c r="F59" s="418">
        <f t="shared" si="17"/>
        <v>1</v>
      </c>
      <c r="G59" s="113">
        <f>G60</f>
        <v>48233000</v>
      </c>
      <c r="H59" s="230">
        <f t="shared" si="18"/>
        <v>0.92857551821898932</v>
      </c>
      <c r="I59" s="113">
        <f>I60</f>
        <v>36172500</v>
      </c>
      <c r="J59" s="418">
        <f>I59/G59</f>
        <v>0.74995335143988551</v>
      </c>
    </row>
    <row r="60" spans="1:10" ht="62.25" customHeight="1" x14ac:dyDescent="0.2">
      <c r="A60" s="80"/>
      <c r="B60" s="72"/>
      <c r="C60" s="22">
        <v>2201</v>
      </c>
      <c r="D60" s="50" t="s">
        <v>229</v>
      </c>
      <c r="E60" s="58">
        <f>'SGTO POAI 2022'!BF51</f>
        <v>51943002</v>
      </c>
      <c r="F60" s="427">
        <f t="shared" si="17"/>
        <v>1</v>
      </c>
      <c r="G60" s="58">
        <f>'SGTO POAI 2022'!BG51</f>
        <v>48233000</v>
      </c>
      <c r="H60" s="230">
        <f t="shared" si="18"/>
        <v>0.92857551821898932</v>
      </c>
      <c r="I60" s="58">
        <f>'SGTO POAI 2022'!BH51</f>
        <v>36172500</v>
      </c>
      <c r="J60" s="427">
        <f>I60/G60</f>
        <v>0.74995335143988551</v>
      </c>
    </row>
    <row r="61" spans="1:10" ht="24" customHeight="1" x14ac:dyDescent="0.2">
      <c r="A61" s="81"/>
      <c r="B61" s="110">
        <v>41</v>
      </c>
      <c r="C61" s="123" t="s">
        <v>235</v>
      </c>
      <c r="D61" s="112"/>
      <c r="E61" s="113">
        <f>SUM(E62:E63)</f>
        <v>370879945</v>
      </c>
      <c r="F61" s="418">
        <f t="shared" si="17"/>
        <v>1</v>
      </c>
      <c r="G61" s="113">
        <f>SUM(G62:G63)</f>
        <v>266577470.75</v>
      </c>
      <c r="H61" s="230">
        <f t="shared" si="18"/>
        <v>0.71877024989852178</v>
      </c>
      <c r="I61" s="113">
        <f>SUM(I62:I63)</f>
        <v>179485345</v>
      </c>
      <c r="J61" s="418">
        <f>I61/G61</f>
        <v>0.67329525070152618</v>
      </c>
    </row>
    <row r="62" spans="1:10" ht="44.25" customHeight="1" x14ac:dyDescent="0.2">
      <c r="A62" s="78"/>
      <c r="B62" s="56"/>
      <c r="C62" s="47">
        <v>4101</v>
      </c>
      <c r="D62" s="50" t="s">
        <v>236</v>
      </c>
      <c r="E62" s="58">
        <f>'SGTO POAI 2022'!BF52+'SGTO POAI 2022'!BF53+'SGTO POAI 2022'!BF54+'SGTO POAI 2022'!BF55+'SGTO POAI 2022'!BF56</f>
        <v>345144445</v>
      </c>
      <c r="F62" s="427">
        <f t="shared" si="17"/>
        <v>1</v>
      </c>
      <c r="G62" s="58">
        <f>'SGTO POAI 2022'!BG52+'SGTO POAI 2022'!BG53+'SGTO POAI 2022'!BG54+'SGTO POAI 2022'!BG55+'SGTO POAI 2022'!BG56</f>
        <v>245307859.75</v>
      </c>
      <c r="H62" s="230">
        <f t="shared" si="18"/>
        <v>0.71073970131548836</v>
      </c>
      <c r="I62" s="58">
        <f>'SGTO POAI 2022'!BH52+'SGTO POAI 2022'!BH53+'SGTO POAI 2022'!BH54+'SGTO POAI 2022'!BH55+'SGTO POAI 2022'!BH56</f>
        <v>171600345</v>
      </c>
      <c r="J62" s="427">
        <f t="shared" ref="J62:J63" si="20">I62/G62</f>
        <v>0.6995305620247253</v>
      </c>
    </row>
    <row r="63" spans="1:10" ht="57" customHeight="1" x14ac:dyDescent="0.2">
      <c r="A63" s="78"/>
      <c r="B63" s="60"/>
      <c r="C63" s="47">
        <v>4103</v>
      </c>
      <c r="D63" s="50" t="s">
        <v>252</v>
      </c>
      <c r="E63" s="58">
        <f>'SGTO POAI 2022'!BF57</f>
        <v>25735500</v>
      </c>
      <c r="F63" s="427">
        <f t="shared" si="17"/>
        <v>1</v>
      </c>
      <c r="G63" s="58">
        <f>'SGTO POAI 2022'!BG57</f>
        <v>21269611</v>
      </c>
      <c r="H63" s="230">
        <f t="shared" si="18"/>
        <v>0.82646970138524611</v>
      </c>
      <c r="I63" s="58">
        <f>'SGTO POAI 2022'!BH57</f>
        <v>7885000</v>
      </c>
      <c r="J63" s="427">
        <f t="shared" si="20"/>
        <v>0.37071669999042295</v>
      </c>
    </row>
    <row r="64" spans="1:10" ht="24" customHeight="1" x14ac:dyDescent="0.2">
      <c r="A64" s="79"/>
      <c r="B64" s="110">
        <v>45</v>
      </c>
      <c r="C64" s="123" t="s">
        <v>28</v>
      </c>
      <c r="D64" s="112"/>
      <c r="E64" s="113">
        <f>E65</f>
        <v>4850605909.1499996</v>
      </c>
      <c r="F64" s="418">
        <f t="shared" si="17"/>
        <v>1</v>
      </c>
      <c r="G64" s="113">
        <f>G65</f>
        <v>1971307585</v>
      </c>
      <c r="H64" s="230">
        <f t="shared" si="18"/>
        <v>0.40640440017635732</v>
      </c>
      <c r="I64" s="113">
        <f>I65</f>
        <v>435781118.84000003</v>
      </c>
      <c r="J64" s="418">
        <f t="shared" ref="J64:J73" si="21">I64/G64</f>
        <v>0.22106196017096949</v>
      </c>
    </row>
    <row r="65" spans="1:10" ht="53.25" customHeight="1" x14ac:dyDescent="0.2">
      <c r="A65" s="82"/>
      <c r="B65" s="72"/>
      <c r="C65" s="22">
        <v>4501</v>
      </c>
      <c r="D65" s="50" t="s">
        <v>260</v>
      </c>
      <c r="E65" s="58">
        <f>'SGTO POAI 2022'!BF58+'SGTO POAI 2022'!BF59</f>
        <v>4850605909.1499996</v>
      </c>
      <c r="F65" s="427">
        <f t="shared" si="17"/>
        <v>1</v>
      </c>
      <c r="G65" s="58">
        <f>'SGTO POAI 2022'!BG58+'SGTO POAI 2022'!BG59</f>
        <v>1971307585</v>
      </c>
      <c r="H65" s="230">
        <f t="shared" si="18"/>
        <v>0.40640440017635732</v>
      </c>
      <c r="I65" s="58">
        <f>'SGTO POAI 2022'!BH58+'SGTO POAI 2022'!BH59</f>
        <v>435781118.84000003</v>
      </c>
      <c r="J65" s="427">
        <f t="shared" si="21"/>
        <v>0.22106196017096949</v>
      </c>
    </row>
    <row r="66" spans="1:10" ht="24" customHeight="1" x14ac:dyDescent="0.2">
      <c r="A66" s="211">
        <v>3</v>
      </c>
      <c r="B66" s="212" t="s">
        <v>150</v>
      </c>
      <c r="C66" s="212"/>
      <c r="D66" s="212"/>
      <c r="E66" s="213">
        <f>E67+E69</f>
        <v>603185523.94000006</v>
      </c>
      <c r="F66" s="426">
        <f t="shared" si="17"/>
        <v>1</v>
      </c>
      <c r="G66" s="213">
        <f>G67+G69</f>
        <v>425064606.12</v>
      </c>
      <c r="H66" s="230">
        <f t="shared" si="18"/>
        <v>0.70469961437980722</v>
      </c>
      <c r="I66" s="213">
        <f>I67+I69</f>
        <v>244267666</v>
      </c>
      <c r="J66" s="426">
        <f t="shared" si="21"/>
        <v>0.57466009280255337</v>
      </c>
    </row>
    <row r="67" spans="1:10" ht="24" customHeight="1" x14ac:dyDescent="0.2">
      <c r="A67" s="24"/>
      <c r="B67" s="110">
        <v>32</v>
      </c>
      <c r="C67" s="123" t="s">
        <v>170</v>
      </c>
      <c r="D67" s="112"/>
      <c r="E67" s="113">
        <f>E68</f>
        <v>231212500</v>
      </c>
      <c r="F67" s="418">
        <f t="shared" si="17"/>
        <v>1</v>
      </c>
      <c r="G67" s="113">
        <f>G68</f>
        <v>153403607.12</v>
      </c>
      <c r="H67" s="230">
        <f t="shared" si="18"/>
        <v>0.66347454017408225</v>
      </c>
      <c r="I67" s="113">
        <f>I68</f>
        <v>56475000</v>
      </c>
      <c r="J67" s="418">
        <f t="shared" si="21"/>
        <v>0.36814649316441705</v>
      </c>
    </row>
    <row r="68" spans="1:10" s="16" customFormat="1" ht="46.5" customHeight="1" x14ac:dyDescent="0.2">
      <c r="A68" s="66"/>
      <c r="B68" s="47"/>
      <c r="C68" s="22">
        <v>3205</v>
      </c>
      <c r="D68" s="50" t="s">
        <v>171</v>
      </c>
      <c r="E68" s="58">
        <f>'SGTO POAI 2022'!BF60</f>
        <v>231212500</v>
      </c>
      <c r="F68" s="427">
        <f t="shared" si="17"/>
        <v>1</v>
      </c>
      <c r="G68" s="58">
        <f>'SGTO POAI 2022'!BG60</f>
        <v>153403607.12</v>
      </c>
      <c r="H68" s="230">
        <f t="shared" si="18"/>
        <v>0.66347454017408225</v>
      </c>
      <c r="I68" s="58">
        <f>'SGTO POAI 2022'!BH60</f>
        <v>56475000</v>
      </c>
      <c r="J68" s="427">
        <f t="shared" si="21"/>
        <v>0.36814649316441705</v>
      </c>
    </row>
    <row r="69" spans="1:10" ht="24" customHeight="1" x14ac:dyDescent="0.2">
      <c r="A69" s="76"/>
      <c r="B69" s="110">
        <v>45</v>
      </c>
      <c r="C69" s="123" t="s">
        <v>28</v>
      </c>
      <c r="D69" s="112"/>
      <c r="E69" s="113">
        <f>E70</f>
        <v>371973023.94</v>
      </c>
      <c r="F69" s="418">
        <f t="shared" si="17"/>
        <v>1</v>
      </c>
      <c r="G69" s="113">
        <f>G70</f>
        <v>271660999</v>
      </c>
      <c r="H69" s="230">
        <f t="shared" si="18"/>
        <v>0.73032446310896859</v>
      </c>
      <c r="I69" s="113">
        <f>I70</f>
        <v>187792666</v>
      </c>
      <c r="J69" s="418">
        <f t="shared" si="21"/>
        <v>0.69127576903300725</v>
      </c>
    </row>
    <row r="70" spans="1:10" s="16" customFormat="1" ht="44.25" customHeight="1" x14ac:dyDescent="0.2">
      <c r="A70" s="68"/>
      <c r="B70" s="47"/>
      <c r="C70" s="22">
        <v>4503</v>
      </c>
      <c r="D70" s="50" t="s">
        <v>1131</v>
      </c>
      <c r="E70" s="58">
        <f>'SGTO POAI 2022'!BF61+'SGTO POAI 2022'!BF62+'SGTO POAI 2022'!BF63</f>
        <v>371973023.94</v>
      </c>
      <c r="F70" s="427">
        <f t="shared" si="17"/>
        <v>1</v>
      </c>
      <c r="G70" s="58">
        <f>'SGTO POAI 2022'!BG61+'SGTO POAI 2022'!BG62+'SGTO POAI 2022'!BG63</f>
        <v>271660999</v>
      </c>
      <c r="H70" s="230">
        <f t="shared" si="18"/>
        <v>0.73032446310896859</v>
      </c>
      <c r="I70" s="58">
        <f>'SGTO POAI 2022'!BH61+'SGTO POAI 2022'!BH62+'SGTO POAI 2022'!BH63</f>
        <v>187792666</v>
      </c>
      <c r="J70" s="427">
        <f t="shared" si="21"/>
        <v>0.69127576903300725</v>
      </c>
    </row>
    <row r="71" spans="1:10" ht="24" customHeight="1" x14ac:dyDescent="0.2">
      <c r="A71" s="211">
        <v>4</v>
      </c>
      <c r="B71" s="212" t="s">
        <v>27</v>
      </c>
      <c r="C71" s="212"/>
      <c r="D71" s="212"/>
      <c r="E71" s="213">
        <f t="shared" ref="E71:I72" si="22">E72</f>
        <v>443236782.15000004</v>
      </c>
      <c r="F71" s="426">
        <f t="shared" si="17"/>
        <v>1</v>
      </c>
      <c r="G71" s="213">
        <f t="shared" si="22"/>
        <v>403692694</v>
      </c>
      <c r="H71" s="230">
        <f t="shared" si="18"/>
        <v>0.91078337867587544</v>
      </c>
      <c r="I71" s="213">
        <f t="shared" si="22"/>
        <v>252169356</v>
      </c>
      <c r="J71" s="426">
        <f t="shared" si="21"/>
        <v>0.62465672465204436</v>
      </c>
    </row>
    <row r="72" spans="1:10" ht="24" customHeight="1" x14ac:dyDescent="0.2">
      <c r="A72" s="24"/>
      <c r="B72" s="110">
        <v>45</v>
      </c>
      <c r="C72" s="123" t="s">
        <v>28</v>
      </c>
      <c r="D72" s="112"/>
      <c r="E72" s="113">
        <f t="shared" si="22"/>
        <v>443236782.15000004</v>
      </c>
      <c r="F72" s="418">
        <f t="shared" si="17"/>
        <v>1</v>
      </c>
      <c r="G72" s="113">
        <f t="shared" si="22"/>
        <v>403692694</v>
      </c>
      <c r="H72" s="230">
        <f t="shared" si="18"/>
        <v>0.91078337867587544</v>
      </c>
      <c r="I72" s="113">
        <f t="shared" si="22"/>
        <v>252169356</v>
      </c>
      <c r="J72" s="418">
        <f t="shared" si="21"/>
        <v>0.62465672465204436</v>
      </c>
    </row>
    <row r="73" spans="1:10" s="16" customFormat="1" ht="54.75" customHeight="1" x14ac:dyDescent="0.2">
      <c r="A73" s="68"/>
      <c r="B73" s="47"/>
      <c r="C73" s="22">
        <v>4502</v>
      </c>
      <c r="D73" s="50" t="s">
        <v>47</v>
      </c>
      <c r="E73" s="46">
        <f>'SGTO POAI 2022'!BF64+'SGTO POAI 2022'!BF65+'SGTO POAI 2022'!BF66+'SGTO POAI 2022'!BF67+'SGTO POAI 2022'!BF68</f>
        <v>443236782.15000004</v>
      </c>
      <c r="F73" s="427">
        <f t="shared" si="17"/>
        <v>1</v>
      </c>
      <c r="G73" s="46">
        <f>'SGTO POAI 2022'!BG64+'SGTO POAI 2022'!BG65+'SGTO POAI 2022'!BG66+'SGTO POAI 2022'!BG67+'SGTO POAI 2022'!BG68</f>
        <v>403692694</v>
      </c>
      <c r="H73" s="230">
        <f t="shared" si="18"/>
        <v>0.91078337867587544</v>
      </c>
      <c r="I73" s="46">
        <f>'SGTO POAI 2022'!BH64+'SGTO POAI 2022'!BH65+'SGTO POAI 2022'!BH66+'SGTO POAI 2022'!BH67+'SGTO POAI 2022'!BH68</f>
        <v>252169356</v>
      </c>
      <c r="J73" s="427">
        <f t="shared" si="21"/>
        <v>0.62465672465204436</v>
      </c>
    </row>
    <row r="74" spans="1:10" s="74" customFormat="1" x14ac:dyDescent="0.2">
      <c r="A74" s="70"/>
      <c r="B74" s="70"/>
      <c r="C74" s="70"/>
      <c r="D74" s="71"/>
      <c r="E74" s="73"/>
      <c r="F74" s="420"/>
      <c r="G74" s="73"/>
      <c r="I74" s="73"/>
      <c r="J74" s="420"/>
    </row>
    <row r="75" spans="1:10" ht="24" customHeight="1" x14ac:dyDescent="0.2">
      <c r="A75" s="111" t="s">
        <v>300</v>
      </c>
      <c r="B75" s="120"/>
      <c r="C75" s="120"/>
      <c r="D75" s="121"/>
      <c r="E75" s="122">
        <f t="shared" ref="E75:I76" si="23">E76</f>
        <v>3469324679.8800001</v>
      </c>
      <c r="F75" s="418">
        <f t="shared" ref="F75:F79" si="24">E75/E75</f>
        <v>1</v>
      </c>
      <c r="G75" s="122">
        <f t="shared" si="23"/>
        <v>2770998627.04</v>
      </c>
      <c r="H75" s="230">
        <f>G75/E75</f>
        <v>0.79871412529075991</v>
      </c>
      <c r="I75" s="122">
        <f t="shared" si="23"/>
        <v>1724548323.0700002</v>
      </c>
      <c r="J75" s="418">
        <f>I75/G75</f>
        <v>0.6223562531722272</v>
      </c>
    </row>
    <row r="76" spans="1:10" ht="24" customHeight="1" x14ac:dyDescent="0.2">
      <c r="A76" s="211">
        <v>1</v>
      </c>
      <c r="B76" s="212" t="s">
        <v>112</v>
      </c>
      <c r="C76" s="212"/>
      <c r="D76" s="212"/>
      <c r="E76" s="213">
        <f t="shared" si="23"/>
        <v>3469324679.8800001</v>
      </c>
      <c r="F76" s="426">
        <f t="shared" si="24"/>
        <v>1</v>
      </c>
      <c r="G76" s="213">
        <f t="shared" si="23"/>
        <v>2770998627.04</v>
      </c>
      <c r="H76" s="230">
        <f>G76/E76</f>
        <v>0.79871412529075991</v>
      </c>
      <c r="I76" s="213">
        <f t="shared" si="23"/>
        <v>1724548323.0700002</v>
      </c>
      <c r="J76" s="426">
        <f>I76/G76</f>
        <v>0.6223562531722272</v>
      </c>
    </row>
    <row r="77" spans="1:10" ht="24" customHeight="1" x14ac:dyDescent="0.2">
      <c r="A77" s="24"/>
      <c r="B77" s="110">
        <v>33</v>
      </c>
      <c r="C77" s="123" t="s">
        <v>132</v>
      </c>
      <c r="D77" s="112"/>
      <c r="E77" s="113">
        <f>SUM(E78:E79)</f>
        <v>3469324679.8800001</v>
      </c>
      <c r="F77" s="418">
        <f t="shared" si="24"/>
        <v>1</v>
      </c>
      <c r="G77" s="113">
        <f>SUM(G78:G79)</f>
        <v>2770998627.04</v>
      </c>
      <c r="H77" s="230">
        <f>G77/E77</f>
        <v>0.79871412529075991</v>
      </c>
      <c r="I77" s="113">
        <f>SUM(I78:I79)</f>
        <v>1724548323.0700002</v>
      </c>
      <c r="J77" s="418">
        <f>I77/G77</f>
        <v>0.6223562531722272</v>
      </c>
    </row>
    <row r="78" spans="1:10" s="16" customFormat="1" ht="46.5" customHeight="1" x14ac:dyDescent="0.2">
      <c r="A78" s="83"/>
      <c r="B78" s="84"/>
      <c r="C78" s="47">
        <v>3301</v>
      </c>
      <c r="D78" s="50" t="s">
        <v>133</v>
      </c>
      <c r="E78" s="58">
        <f>'SGTO POAI 2022'!BF69+'SGTO POAI 2022'!BF70+'SGTO POAI 2022'!BF71+'SGTO POAI 2022'!BF72+'SGTO POAI 2022'!BF73+'SGTO POAI 2022'!BF74+'SGTO POAI 2022'!BF75+'SGTO POAI 2022'!BF76</f>
        <v>3194430824.5799999</v>
      </c>
      <c r="F78" s="427">
        <f t="shared" si="24"/>
        <v>1</v>
      </c>
      <c r="G78" s="58">
        <f>'SGTO POAI 2022'!BG69+'SGTO POAI 2022'!BG70+'SGTO POAI 2022'!BG71+'SGTO POAI 2022'!BG72+'SGTO POAI 2022'!BG73+'SGTO POAI 2022'!BG74+'SGTO POAI 2022'!BG75+'SGTO POAI 2022'!BG76</f>
        <v>2515546705.04</v>
      </c>
      <c r="H78" s="230">
        <f>G78/E78</f>
        <v>0.78747884777587607</v>
      </c>
      <c r="I78" s="58">
        <f>'SGTO POAI 2022'!BH69+'SGTO POAI 2022'!BH70+'SGTO POAI 2022'!BH71+'SGTO POAI 2022'!BH72+'SGTO POAI 2022'!BH73+'SGTO POAI 2022'!BH74+'SGTO POAI 2022'!BH75+'SGTO POAI 2022'!BH76</f>
        <v>1604675823.0700002</v>
      </c>
      <c r="J78" s="427">
        <f t="shared" ref="J78:J79" si="25">I78/G78</f>
        <v>0.63790341075956447</v>
      </c>
    </row>
    <row r="79" spans="1:10" s="16" customFormat="1" ht="51" customHeight="1" x14ac:dyDescent="0.2">
      <c r="A79" s="85"/>
      <c r="B79" s="68"/>
      <c r="C79" s="47">
        <v>3302</v>
      </c>
      <c r="D79" s="50" t="s">
        <v>324</v>
      </c>
      <c r="E79" s="46">
        <f>'SGTO POAI 2022'!BF77+'SGTO POAI 2022'!BF78</f>
        <v>274893855.30000001</v>
      </c>
      <c r="F79" s="427">
        <f t="shared" si="24"/>
        <v>1</v>
      </c>
      <c r="G79" s="46">
        <f>'SGTO POAI 2022'!BG77+'SGTO POAI 2022'!BG78</f>
        <v>255451922</v>
      </c>
      <c r="H79" s="230">
        <f>G79/E79</f>
        <v>0.92927476214853022</v>
      </c>
      <c r="I79" s="46">
        <f>'SGTO POAI 2022'!BH77+'SGTO POAI 2022'!BH78</f>
        <v>119872500</v>
      </c>
      <c r="J79" s="427">
        <f t="shared" si="25"/>
        <v>0.4692565985078006</v>
      </c>
    </row>
    <row r="80" spans="1:10" s="74" customFormat="1" x14ac:dyDescent="0.2">
      <c r="A80" s="70"/>
      <c r="B80" s="70"/>
      <c r="C80" s="70"/>
      <c r="D80" s="71"/>
      <c r="E80" s="73"/>
      <c r="F80" s="420"/>
      <c r="G80" s="73"/>
      <c r="I80" s="73"/>
      <c r="J80" s="420"/>
    </row>
    <row r="81" spans="1:10" ht="24" customHeight="1" x14ac:dyDescent="0.2">
      <c r="A81" s="111" t="s">
        <v>332</v>
      </c>
      <c r="B81" s="120"/>
      <c r="C81" s="120"/>
      <c r="D81" s="121"/>
      <c r="E81" s="122">
        <f>E82</f>
        <v>2822271735.1100001</v>
      </c>
      <c r="F81" s="418">
        <f t="shared" ref="F81:F86" si="26">E81/E81</f>
        <v>1</v>
      </c>
      <c r="G81" s="122">
        <f>G82</f>
        <v>1931766138</v>
      </c>
      <c r="H81" s="230">
        <f t="shared" ref="H81:H86" si="27">G81/E81</f>
        <v>0.68447205631129915</v>
      </c>
      <c r="I81" s="122">
        <f>I82</f>
        <v>1095148341.8</v>
      </c>
      <c r="J81" s="418">
        <f t="shared" ref="J81:J86" si="28">I81/G81</f>
        <v>0.56691559100100553</v>
      </c>
    </row>
    <row r="82" spans="1:10" ht="24" customHeight="1" x14ac:dyDescent="0.2">
      <c r="A82" s="211">
        <v>2</v>
      </c>
      <c r="B82" s="212" t="s">
        <v>333</v>
      </c>
      <c r="C82" s="212"/>
      <c r="D82" s="212"/>
      <c r="E82" s="213">
        <f>E83+E85</f>
        <v>2822271735.1100001</v>
      </c>
      <c r="F82" s="426">
        <f t="shared" si="26"/>
        <v>1</v>
      </c>
      <c r="G82" s="213">
        <f>G83+G85</f>
        <v>1931766138</v>
      </c>
      <c r="H82" s="230">
        <f t="shared" si="27"/>
        <v>0.68447205631129915</v>
      </c>
      <c r="I82" s="213">
        <f>I83+I85</f>
        <v>1095148341.8</v>
      </c>
      <c r="J82" s="426">
        <f t="shared" si="28"/>
        <v>0.56691559100100553</v>
      </c>
    </row>
    <row r="83" spans="1:10" ht="24" customHeight="1" x14ac:dyDescent="0.2">
      <c r="A83" s="24"/>
      <c r="B83" s="110">
        <v>35</v>
      </c>
      <c r="C83" s="123" t="s">
        <v>334</v>
      </c>
      <c r="D83" s="112"/>
      <c r="E83" s="113">
        <f>E84</f>
        <v>2505401735.1100001</v>
      </c>
      <c r="F83" s="418">
        <f t="shared" si="26"/>
        <v>1</v>
      </c>
      <c r="G83" s="113">
        <f>G84</f>
        <v>1722342342</v>
      </c>
      <c r="H83" s="230">
        <f t="shared" si="27"/>
        <v>0.68745156429947962</v>
      </c>
      <c r="I83" s="113">
        <f>I84</f>
        <v>1001423341.8</v>
      </c>
      <c r="J83" s="418">
        <f t="shared" si="28"/>
        <v>0.58143106476563644</v>
      </c>
    </row>
    <row r="84" spans="1:10" s="16" customFormat="1" ht="53.25" customHeight="1" x14ac:dyDescent="0.2">
      <c r="A84" s="66"/>
      <c r="B84" s="47"/>
      <c r="C84" s="25">
        <v>3502</v>
      </c>
      <c r="D84" s="50" t="s">
        <v>335</v>
      </c>
      <c r="E84" s="58">
        <f>'SGTO POAI 2022'!BF79+'SGTO POAI 2022'!BF80+'SGTO POAI 2022'!BF81+'SGTO POAI 2022'!BF82+'SGTO POAI 2022'!BF83+'SGTO POAI 2022'!BF84</f>
        <v>2505401735.1100001</v>
      </c>
      <c r="F84" s="427">
        <f t="shared" si="26"/>
        <v>1</v>
      </c>
      <c r="G84" s="58">
        <f>'SGTO POAI 2022'!BG79+'SGTO POAI 2022'!BG80+'SGTO POAI 2022'!BG81+'SGTO POAI 2022'!BG82+'SGTO POAI 2022'!BG83+'SGTO POAI 2022'!BG84</f>
        <v>1722342342</v>
      </c>
      <c r="H84" s="230">
        <f t="shared" si="27"/>
        <v>0.68745156429947962</v>
      </c>
      <c r="I84" s="58">
        <f>'SGTO POAI 2022'!BH79+'SGTO POAI 2022'!BH80+'SGTO POAI 2022'!BH81+'SGTO POAI 2022'!BH82+'SGTO POAI 2022'!BH83+'SGTO POAI 2022'!BH84</f>
        <v>1001423341.8</v>
      </c>
      <c r="J84" s="427">
        <f t="shared" si="28"/>
        <v>0.58143106476563644</v>
      </c>
    </row>
    <row r="85" spans="1:10" ht="24" customHeight="1" x14ac:dyDescent="0.2">
      <c r="A85" s="76"/>
      <c r="B85" s="110">
        <v>36</v>
      </c>
      <c r="C85" s="123" t="s">
        <v>358</v>
      </c>
      <c r="D85" s="112"/>
      <c r="E85" s="113">
        <f>E86</f>
        <v>316870000</v>
      </c>
      <c r="F85" s="418">
        <f t="shared" si="26"/>
        <v>1</v>
      </c>
      <c r="G85" s="113">
        <f>G86</f>
        <v>209423796</v>
      </c>
      <c r="H85" s="230">
        <f t="shared" si="27"/>
        <v>0.66091392684697192</v>
      </c>
      <c r="I85" s="113">
        <f>I86</f>
        <v>93725000</v>
      </c>
      <c r="J85" s="418">
        <f t="shared" si="28"/>
        <v>0.44753748996126497</v>
      </c>
    </row>
    <row r="86" spans="1:10" s="16" customFormat="1" ht="53.25" customHeight="1" x14ac:dyDescent="0.2">
      <c r="A86" s="68"/>
      <c r="B86" s="47"/>
      <c r="C86" s="25">
        <v>3602</v>
      </c>
      <c r="D86" s="50" t="s">
        <v>359</v>
      </c>
      <c r="E86" s="58">
        <f>'SGTO POAI 2022'!BF85+'SGTO POAI 2022'!BF86+'SGTO POAI 2022'!BF87+'SGTO POAI 2022'!BF88</f>
        <v>316870000</v>
      </c>
      <c r="F86" s="427">
        <f t="shared" si="26"/>
        <v>1</v>
      </c>
      <c r="G86" s="58">
        <f>'SGTO POAI 2022'!BG85+'SGTO POAI 2022'!BG86+'SGTO POAI 2022'!BG87+'SGTO POAI 2022'!BG88</f>
        <v>209423796</v>
      </c>
      <c r="H86" s="230">
        <f t="shared" si="27"/>
        <v>0.66091392684697192</v>
      </c>
      <c r="I86" s="58">
        <f>'SGTO POAI 2022'!BH85+'SGTO POAI 2022'!BH86+'SGTO POAI 2022'!BH87+'SGTO POAI 2022'!BH88</f>
        <v>93725000</v>
      </c>
      <c r="J86" s="427">
        <f t="shared" si="28"/>
        <v>0.44753748996126497</v>
      </c>
    </row>
    <row r="87" spans="1:10" s="74" customFormat="1" x14ac:dyDescent="0.2">
      <c r="A87" s="70"/>
      <c r="B87" s="70"/>
      <c r="C87" s="70"/>
      <c r="D87" s="71"/>
      <c r="E87" s="73"/>
      <c r="F87" s="420"/>
      <c r="G87" s="73"/>
      <c r="I87" s="73"/>
      <c r="J87" s="420"/>
    </row>
    <row r="88" spans="1:10" ht="24" customHeight="1" x14ac:dyDescent="0.2">
      <c r="A88" s="111" t="s">
        <v>374</v>
      </c>
      <c r="B88" s="120"/>
      <c r="C88" s="120"/>
      <c r="D88" s="121"/>
      <c r="E88" s="122">
        <f>E89+E100</f>
        <v>4664234480.8400002</v>
      </c>
      <c r="F88" s="418">
        <f t="shared" ref="F88:F106" si="29">E88/E88</f>
        <v>1</v>
      </c>
      <c r="G88" s="122">
        <f>G89+G100</f>
        <v>2692714330</v>
      </c>
      <c r="H88" s="230">
        <f t="shared" ref="H88:H106" si="30">G88/E88</f>
        <v>0.57731109811508841</v>
      </c>
      <c r="I88" s="122">
        <f>I89+I100</f>
        <v>1562382499</v>
      </c>
      <c r="J88" s="418">
        <f>I88/G88</f>
        <v>0.58022586413761912</v>
      </c>
    </row>
    <row r="89" spans="1:10" ht="24" customHeight="1" x14ac:dyDescent="0.2">
      <c r="A89" s="211">
        <v>2</v>
      </c>
      <c r="B89" s="212" t="s">
        <v>333</v>
      </c>
      <c r="C89" s="212"/>
      <c r="D89" s="212"/>
      <c r="E89" s="213">
        <f>E90+E98</f>
        <v>2142638000.0000002</v>
      </c>
      <c r="F89" s="426">
        <f t="shared" si="29"/>
        <v>1</v>
      </c>
      <c r="G89" s="213">
        <f>G90+G98</f>
        <v>1777519330.0000002</v>
      </c>
      <c r="H89" s="230">
        <f t="shared" si="30"/>
        <v>0.82959386046546357</v>
      </c>
      <c r="I89" s="213">
        <f>I90+I98</f>
        <v>1008755166</v>
      </c>
      <c r="J89" s="426">
        <f>I89/G89</f>
        <v>0.56750728331038736</v>
      </c>
    </row>
    <row r="90" spans="1:10" ht="24" customHeight="1" x14ac:dyDescent="0.2">
      <c r="A90" s="24"/>
      <c r="B90" s="110">
        <v>17</v>
      </c>
      <c r="C90" s="123" t="s">
        <v>375</v>
      </c>
      <c r="D90" s="112"/>
      <c r="E90" s="113">
        <f>SUM(E91:E97)</f>
        <v>2097080000.0000002</v>
      </c>
      <c r="F90" s="418">
        <f t="shared" si="29"/>
        <v>1</v>
      </c>
      <c r="G90" s="113">
        <f>SUM(G91:G97)</f>
        <v>1731961330.0000002</v>
      </c>
      <c r="H90" s="230">
        <f t="shared" si="30"/>
        <v>0.82589187346214743</v>
      </c>
      <c r="I90" s="113">
        <f>SUM(I91:I97)</f>
        <v>977445166</v>
      </c>
      <c r="J90" s="418">
        <f>I90/G90</f>
        <v>0.56435738435337923</v>
      </c>
    </row>
    <row r="91" spans="1:10" ht="57.75" customHeight="1" x14ac:dyDescent="0.2">
      <c r="A91" s="75"/>
      <c r="B91" s="86"/>
      <c r="C91" s="47">
        <v>1702</v>
      </c>
      <c r="D91" s="50" t="s">
        <v>376</v>
      </c>
      <c r="E91" s="58">
        <f>'SGTO POAI 2022'!BF89+'SGTO POAI 2022'!BF90+'SGTO POAI 2022'!BF91+'SGTO POAI 2022'!BF92+'SGTO POAI 2022'!BF93+'SGTO POAI 2022'!BF94+'SGTO POAI 2022'!BF95+'SGTO POAI 2022'!BF96+'SGTO POAI 2022'!BF97+'SGTO POAI 2022'!BF98+'SGTO POAI 2022'!BF99</f>
        <v>1617357500.0000002</v>
      </c>
      <c r="F91" s="427">
        <f t="shared" si="29"/>
        <v>1</v>
      </c>
      <c r="G91" s="58">
        <f>'SGTO POAI 2022'!BG89+'SGTO POAI 2022'!BG90+'SGTO POAI 2022'!BG91+'SGTO POAI 2022'!BG92+'SGTO POAI 2022'!BG93+'SGTO POAI 2022'!BG94+'SGTO POAI 2022'!BG95+'SGTO POAI 2022'!BG96+'SGTO POAI 2022'!BG97+'SGTO POAI 2022'!BG98+'SGTO POAI 2022'!BG99</f>
        <v>1415556330.0000002</v>
      </c>
      <c r="H91" s="230">
        <f t="shared" si="30"/>
        <v>0.87522785160361893</v>
      </c>
      <c r="I91" s="58">
        <f>'SGTO POAI 2022'!BH89+'SGTO POAI 2022'!BH90+'SGTO POAI 2022'!BH91+'SGTO POAI 2022'!BH92+'SGTO POAI 2022'!BH93+'SGTO POAI 2022'!BH94+'SGTO POAI 2022'!BH95+'SGTO POAI 2022'!BH96+'SGTO POAI 2022'!BH97+'SGTO POAI 2022'!BH98+'SGTO POAI 2022'!BH99</f>
        <v>871605166</v>
      </c>
      <c r="J91" s="427">
        <f t="shared" ref="J91:J97" si="31">I91/G91</f>
        <v>0.61573329688688538</v>
      </c>
    </row>
    <row r="92" spans="1:10" ht="54" customHeight="1" x14ac:dyDescent="0.2">
      <c r="A92" s="75"/>
      <c r="B92" s="80"/>
      <c r="C92" s="47">
        <v>1703</v>
      </c>
      <c r="D92" s="50" t="s">
        <v>417</v>
      </c>
      <c r="E92" s="58">
        <f>'SGTO POAI 2022'!BF100</f>
        <v>50795000</v>
      </c>
      <c r="F92" s="427">
        <f t="shared" si="29"/>
        <v>1</v>
      </c>
      <c r="G92" s="58">
        <f>'SGTO POAI 2022'!BG100</f>
        <v>39255000</v>
      </c>
      <c r="H92" s="230">
        <f t="shared" si="30"/>
        <v>0.77281228467368834</v>
      </c>
      <c r="I92" s="58">
        <f>'SGTO POAI 2022'!BH100</f>
        <v>30600000</v>
      </c>
      <c r="J92" s="427">
        <f t="shared" si="31"/>
        <v>0.77951853267099736</v>
      </c>
    </row>
    <row r="93" spans="1:10" ht="62.25" customHeight="1" x14ac:dyDescent="0.2">
      <c r="A93" s="75"/>
      <c r="B93" s="80"/>
      <c r="C93" s="47">
        <v>1704</v>
      </c>
      <c r="D93" s="50" t="s">
        <v>423</v>
      </c>
      <c r="E93" s="58">
        <f>'SGTO POAI 2022'!BF101+'SGTO POAI 2022'!BF102</f>
        <v>85117500</v>
      </c>
      <c r="F93" s="427">
        <f t="shared" si="29"/>
        <v>1</v>
      </c>
      <c r="G93" s="58">
        <f>'SGTO POAI 2022'!BG101+'SGTO POAI 2022'!BG102</f>
        <v>70485000</v>
      </c>
      <c r="H93" s="230">
        <f t="shared" si="30"/>
        <v>0.8280905806679002</v>
      </c>
      <c r="I93" s="58">
        <f>'SGTO POAI 2022'!BH101+'SGTO POAI 2022'!BH102</f>
        <v>51930000</v>
      </c>
      <c r="J93" s="427">
        <f t="shared" si="31"/>
        <v>0.73675250053202812</v>
      </c>
    </row>
    <row r="94" spans="1:10" ht="42" customHeight="1" x14ac:dyDescent="0.2">
      <c r="A94" s="75"/>
      <c r="B94" s="80"/>
      <c r="C94" s="47">
        <v>1706</v>
      </c>
      <c r="D94" s="50" t="s">
        <v>431</v>
      </c>
      <c r="E94" s="58">
        <f>'SGTO POAI 2022'!BF103</f>
        <v>145000000</v>
      </c>
      <c r="F94" s="427">
        <f t="shared" si="29"/>
        <v>1</v>
      </c>
      <c r="G94" s="58">
        <f>'SGTO POAI 2022'!BG103</f>
        <v>137355000</v>
      </c>
      <c r="H94" s="230">
        <f t="shared" si="30"/>
        <v>0.94727586206896552</v>
      </c>
      <c r="I94" s="58">
        <f>'SGTO POAI 2022'!BH103</f>
        <v>6000000</v>
      </c>
      <c r="J94" s="427">
        <f t="shared" si="31"/>
        <v>4.3682428743038113E-2</v>
      </c>
    </row>
    <row r="95" spans="1:10" ht="57" customHeight="1" x14ac:dyDescent="0.2">
      <c r="A95" s="75"/>
      <c r="B95" s="80"/>
      <c r="C95" s="47">
        <v>1707</v>
      </c>
      <c r="D95" s="50" t="s">
        <v>437</v>
      </c>
      <c r="E95" s="58">
        <f>'SGTO POAI 2022'!BF104</f>
        <v>43000000</v>
      </c>
      <c r="F95" s="427">
        <f t="shared" si="29"/>
        <v>1</v>
      </c>
      <c r="G95" s="58">
        <f>'SGTO POAI 2022'!BG104</f>
        <v>43000000</v>
      </c>
      <c r="H95" s="230">
        <f t="shared" si="30"/>
        <v>1</v>
      </c>
      <c r="I95" s="58">
        <f>'SGTO POAI 2022'!BH104</f>
        <v>0</v>
      </c>
      <c r="J95" s="427">
        <f t="shared" si="31"/>
        <v>0</v>
      </c>
    </row>
    <row r="96" spans="1:10" ht="60.75" customHeight="1" x14ac:dyDescent="0.2">
      <c r="A96" s="75"/>
      <c r="B96" s="80"/>
      <c r="C96" s="47">
        <v>1708</v>
      </c>
      <c r="D96" s="50" t="s">
        <v>442</v>
      </c>
      <c r="E96" s="58">
        <f>'SGTO POAI 2022'!BF105+'SGTO POAI 2022'!BF106</f>
        <v>47810000</v>
      </c>
      <c r="F96" s="427">
        <f t="shared" si="29"/>
        <v>1</v>
      </c>
      <c r="G96" s="58">
        <f>'SGTO POAI 2022'!BG105+'SGTO POAI 2022'!BG106</f>
        <v>26310000</v>
      </c>
      <c r="H96" s="230">
        <f t="shared" si="30"/>
        <v>0.55030328383183436</v>
      </c>
      <c r="I96" s="58">
        <f>'SGTO POAI 2022'!BH105+'SGTO POAI 2022'!BH106</f>
        <v>17310000</v>
      </c>
      <c r="J96" s="427">
        <f t="shared" si="31"/>
        <v>0.65792474344355756</v>
      </c>
    </row>
    <row r="97" spans="1:10" ht="42" customHeight="1" x14ac:dyDescent="0.2">
      <c r="A97" s="75"/>
      <c r="B97" s="82"/>
      <c r="C97" s="47">
        <v>1709</v>
      </c>
      <c r="D97" s="50" t="s">
        <v>450</v>
      </c>
      <c r="E97" s="58">
        <f>'SGTO POAI 2022'!BF107+'SGTO POAI 2022'!BF108+'SGTO POAI 2022'!BF109</f>
        <v>108000000</v>
      </c>
      <c r="F97" s="427">
        <f t="shared" si="29"/>
        <v>1</v>
      </c>
      <c r="G97" s="58">
        <f>'SGTO POAI 2022'!BG107+'SGTO POAI 2022'!BG108+'SGTO POAI 2022'!BG109</f>
        <v>0</v>
      </c>
      <c r="H97" s="230">
        <f t="shared" si="30"/>
        <v>0</v>
      </c>
      <c r="I97" s="58">
        <f>'SGTO POAI 2022'!BH107+'SGTO POAI 2022'!BH108+'SGTO POAI 2022'!BH109</f>
        <v>0</v>
      </c>
      <c r="J97" s="427" t="e">
        <f t="shared" si="31"/>
        <v>#DIV/0!</v>
      </c>
    </row>
    <row r="98" spans="1:10" ht="24" customHeight="1" x14ac:dyDescent="0.2">
      <c r="A98" s="76"/>
      <c r="B98" s="110">
        <v>35</v>
      </c>
      <c r="C98" s="123" t="s">
        <v>334</v>
      </c>
      <c r="D98" s="112"/>
      <c r="E98" s="113">
        <f>E99</f>
        <v>45558000</v>
      </c>
      <c r="F98" s="418">
        <f t="shared" si="29"/>
        <v>1</v>
      </c>
      <c r="G98" s="113">
        <f>G99</f>
        <v>45558000</v>
      </c>
      <c r="H98" s="230">
        <f t="shared" si="30"/>
        <v>1</v>
      </c>
      <c r="I98" s="113">
        <f>I99</f>
        <v>31310000</v>
      </c>
      <c r="J98" s="418">
        <f>I98/G98</f>
        <v>0.68725580578603096</v>
      </c>
    </row>
    <row r="99" spans="1:10" ht="73.5" customHeight="1" x14ac:dyDescent="0.2">
      <c r="A99" s="60"/>
      <c r="B99" s="72"/>
      <c r="C99" s="22">
        <v>3502</v>
      </c>
      <c r="D99" s="50" t="s">
        <v>335</v>
      </c>
      <c r="E99" s="58">
        <f>'SGTO POAI 2022'!BF110+'SGTO POAI 2022'!BF111</f>
        <v>45558000</v>
      </c>
      <c r="F99" s="427">
        <f t="shared" si="29"/>
        <v>1</v>
      </c>
      <c r="G99" s="58">
        <f>'SGTO POAI 2022'!BG110+'SGTO POAI 2022'!BG111</f>
        <v>45558000</v>
      </c>
      <c r="H99" s="230">
        <f t="shared" si="30"/>
        <v>1</v>
      </c>
      <c r="I99" s="58">
        <f>'SGTO POAI 2022'!BH110+'SGTO POAI 2022'!BH111</f>
        <v>31310000</v>
      </c>
      <c r="J99" s="427">
        <f>I99/G99</f>
        <v>0.68725580578603096</v>
      </c>
    </row>
    <row r="100" spans="1:10" ht="24" customHeight="1" x14ac:dyDescent="0.2">
      <c r="A100" s="211">
        <v>3</v>
      </c>
      <c r="B100" s="212" t="s">
        <v>150</v>
      </c>
      <c r="C100" s="212"/>
      <c r="D100" s="212"/>
      <c r="E100" s="213">
        <f>E101</f>
        <v>2521596480.8400002</v>
      </c>
      <c r="F100" s="426">
        <f t="shared" si="29"/>
        <v>1</v>
      </c>
      <c r="G100" s="213">
        <f>G101</f>
        <v>915195000</v>
      </c>
      <c r="H100" s="230">
        <f t="shared" si="30"/>
        <v>0.36294268609350538</v>
      </c>
      <c r="I100" s="213">
        <f>I101</f>
        <v>553627333</v>
      </c>
      <c r="J100" s="426">
        <f>I100/G100</f>
        <v>0.60492827539486116</v>
      </c>
    </row>
    <row r="101" spans="1:10" ht="24" customHeight="1" x14ac:dyDescent="0.2">
      <c r="A101" s="24"/>
      <c r="B101" s="110">
        <v>32</v>
      </c>
      <c r="C101" s="123" t="s">
        <v>170</v>
      </c>
      <c r="D101" s="112"/>
      <c r="E101" s="113">
        <f>SUM(E102:E106)</f>
        <v>2521596480.8400002</v>
      </c>
      <c r="F101" s="418">
        <f t="shared" si="29"/>
        <v>1</v>
      </c>
      <c r="G101" s="113">
        <f>SUM(G102:G106)</f>
        <v>915195000</v>
      </c>
      <c r="H101" s="230">
        <f t="shared" si="30"/>
        <v>0.36294268609350538</v>
      </c>
      <c r="I101" s="113">
        <f>SUM(I102:I106)</f>
        <v>553627333</v>
      </c>
      <c r="J101" s="418">
        <f>I101/G101</f>
        <v>0.60492827539486116</v>
      </c>
    </row>
    <row r="102" spans="1:10" s="16" customFormat="1" ht="52.5" customHeight="1" x14ac:dyDescent="0.2">
      <c r="A102" s="83"/>
      <c r="B102" s="84"/>
      <c r="C102" s="47" t="s">
        <v>465</v>
      </c>
      <c r="D102" s="50" t="s">
        <v>466</v>
      </c>
      <c r="E102" s="58">
        <f>'SGTO POAI 2022'!BF112+'SGTO POAI 2022'!BF113</f>
        <v>112775000</v>
      </c>
      <c r="F102" s="427">
        <f t="shared" si="29"/>
        <v>1</v>
      </c>
      <c r="G102" s="58">
        <f>'SGTO POAI 2022'!BG112+'SGTO POAI 2022'!BG113</f>
        <v>51290000</v>
      </c>
      <c r="H102" s="230">
        <f t="shared" si="30"/>
        <v>0.45479937929505654</v>
      </c>
      <c r="I102" s="58">
        <f>'SGTO POAI 2022'!BH112+'SGTO POAI 2022'!BH113</f>
        <v>33095000</v>
      </c>
      <c r="J102" s="427">
        <f t="shared" ref="J102:J106" si="32">I102/G102</f>
        <v>0.64525248586469097</v>
      </c>
    </row>
    <row r="103" spans="1:10" s="16" customFormat="1" ht="52.5" customHeight="1" x14ac:dyDescent="0.2">
      <c r="A103" s="83"/>
      <c r="B103" s="66"/>
      <c r="C103" s="47">
        <v>3202</v>
      </c>
      <c r="D103" s="50" t="s">
        <v>475</v>
      </c>
      <c r="E103" s="58">
        <f>'SGTO POAI 2022'!BF114+'SGTO POAI 2022'!BF115+'SGTO POAI 2022'!BF116+'SGTO POAI 2022'!BF117+'SGTO POAI 2022'!BF118</f>
        <v>1906851480.8400002</v>
      </c>
      <c r="F103" s="427">
        <f t="shared" si="29"/>
        <v>1</v>
      </c>
      <c r="G103" s="58">
        <f>'SGTO POAI 2022'!BG114+'SGTO POAI 2022'!BG115+'SGTO POAI 2022'!BG116+'SGTO POAI 2022'!BG117+'SGTO POAI 2022'!BG118</f>
        <v>592627500</v>
      </c>
      <c r="H103" s="230">
        <f t="shared" si="30"/>
        <v>0.31078849399374175</v>
      </c>
      <c r="I103" s="58">
        <f>'SGTO POAI 2022'!BH114+'SGTO POAI 2022'!BH115+'SGTO POAI 2022'!BH116+'SGTO POAI 2022'!BH117+'SGTO POAI 2022'!BH118</f>
        <v>349752333</v>
      </c>
      <c r="J103" s="427">
        <f t="shared" si="32"/>
        <v>0.59017229710062391</v>
      </c>
    </row>
    <row r="104" spans="1:10" s="16" customFormat="1" ht="52.5" customHeight="1" x14ac:dyDescent="0.2">
      <c r="A104" s="83"/>
      <c r="B104" s="66"/>
      <c r="C104" s="47" t="s">
        <v>498</v>
      </c>
      <c r="D104" s="50" t="s">
        <v>499</v>
      </c>
      <c r="E104" s="58">
        <f>'SGTO POAI 2022'!BF119</f>
        <v>136200000</v>
      </c>
      <c r="F104" s="427">
        <f t="shared" si="29"/>
        <v>1</v>
      </c>
      <c r="G104" s="58">
        <f>'SGTO POAI 2022'!BG119</f>
        <v>72800000</v>
      </c>
      <c r="H104" s="230">
        <f t="shared" si="30"/>
        <v>0.53450807635829667</v>
      </c>
      <c r="I104" s="58">
        <f>'SGTO POAI 2022'!BH119</f>
        <v>62900000</v>
      </c>
      <c r="J104" s="427">
        <f t="shared" si="32"/>
        <v>0.86401098901098905</v>
      </c>
    </row>
    <row r="105" spans="1:10" s="16" customFormat="1" ht="52.5" customHeight="1" x14ac:dyDescent="0.2">
      <c r="A105" s="83"/>
      <c r="B105" s="66"/>
      <c r="C105" s="47">
        <v>3205</v>
      </c>
      <c r="D105" s="50" t="s">
        <v>171</v>
      </c>
      <c r="E105" s="58">
        <f>'SGTO POAI 2022'!BF120+'SGTO POAI 2022'!BF121+'SGTO POAI 2022'!BF122</f>
        <v>167770000</v>
      </c>
      <c r="F105" s="427">
        <f t="shared" si="29"/>
        <v>1</v>
      </c>
      <c r="G105" s="58">
        <f>'SGTO POAI 2022'!BG120+'SGTO POAI 2022'!BG121+'SGTO POAI 2022'!BG122</f>
        <v>93080000</v>
      </c>
      <c r="H105" s="230">
        <f t="shared" si="30"/>
        <v>0.55480717649162548</v>
      </c>
      <c r="I105" s="58">
        <f>'SGTO POAI 2022'!BH120+'SGTO POAI 2022'!BH121+'SGTO POAI 2022'!BH122</f>
        <v>10810000</v>
      </c>
      <c r="J105" s="427">
        <f t="shared" si="32"/>
        <v>0.11613665663944994</v>
      </c>
    </row>
    <row r="106" spans="1:10" s="16" customFormat="1" ht="52.5" customHeight="1" x14ac:dyDescent="0.2">
      <c r="A106" s="85"/>
      <c r="B106" s="68"/>
      <c r="C106" s="47" t="s">
        <v>514</v>
      </c>
      <c r="D106" s="50" t="s">
        <v>515</v>
      </c>
      <c r="E106" s="58">
        <f>'SGTO POAI 2022'!BF123+'SGTO POAI 2022'!BF124+'SGTO POAI 2022'!BF125</f>
        <v>198000000</v>
      </c>
      <c r="F106" s="427">
        <f t="shared" si="29"/>
        <v>1</v>
      </c>
      <c r="G106" s="58">
        <f>'SGTO POAI 2022'!BG123+'SGTO POAI 2022'!BG124+'SGTO POAI 2022'!BG125</f>
        <v>105397500</v>
      </c>
      <c r="H106" s="230">
        <f t="shared" si="30"/>
        <v>0.5323106060606061</v>
      </c>
      <c r="I106" s="58">
        <f>'SGTO POAI 2022'!BH123+'SGTO POAI 2022'!BH124+'SGTO POAI 2022'!BH125</f>
        <v>97070000</v>
      </c>
      <c r="J106" s="427">
        <f t="shared" si="32"/>
        <v>0.92098958703954081</v>
      </c>
    </row>
    <row r="107" spans="1:10" s="74" customFormat="1" x14ac:dyDescent="0.2">
      <c r="A107" s="70"/>
      <c r="B107" s="70"/>
      <c r="C107" s="70"/>
      <c r="D107" s="71"/>
      <c r="E107" s="73"/>
      <c r="F107" s="420"/>
      <c r="G107" s="73"/>
      <c r="I107" s="73"/>
      <c r="J107" s="420"/>
    </row>
    <row r="108" spans="1:10" ht="24" customHeight="1" x14ac:dyDescent="0.2">
      <c r="A108" s="111" t="s">
        <v>1513</v>
      </c>
      <c r="B108" s="120"/>
      <c r="C108" s="120"/>
      <c r="D108" s="121"/>
      <c r="E108" s="122">
        <f t="shared" ref="E108:I109" si="33">E109</f>
        <v>2272052800</v>
      </c>
      <c r="F108" s="418">
        <f t="shared" ref="F108:F112" si="34">E108/E108</f>
        <v>1</v>
      </c>
      <c r="G108" s="122">
        <f t="shared" si="33"/>
        <v>1635737537</v>
      </c>
      <c r="H108" s="230">
        <f>G108/E108</f>
        <v>0.71993817089109902</v>
      </c>
      <c r="I108" s="122">
        <f t="shared" si="33"/>
        <v>985433386</v>
      </c>
      <c r="J108" s="418">
        <f>I108/G108</f>
        <v>0.60243979471628395</v>
      </c>
    </row>
    <row r="109" spans="1:10" ht="24" customHeight="1" x14ac:dyDescent="0.2">
      <c r="A109" s="211">
        <v>4</v>
      </c>
      <c r="B109" s="212" t="s">
        <v>27</v>
      </c>
      <c r="C109" s="212"/>
      <c r="D109" s="212"/>
      <c r="E109" s="213">
        <f t="shared" si="33"/>
        <v>2272052800</v>
      </c>
      <c r="F109" s="426">
        <f t="shared" si="34"/>
        <v>1</v>
      </c>
      <c r="G109" s="213">
        <f t="shared" si="33"/>
        <v>1635737537</v>
      </c>
      <c r="H109" s="230">
        <f>G109/E109</f>
        <v>0.71993817089109902</v>
      </c>
      <c r="I109" s="213">
        <f t="shared" si="33"/>
        <v>985433386</v>
      </c>
      <c r="J109" s="426">
        <f>I109/G109</f>
        <v>0.60243979471628395</v>
      </c>
    </row>
    <row r="110" spans="1:10" ht="24" customHeight="1" x14ac:dyDescent="0.2">
      <c r="A110" s="24"/>
      <c r="B110" s="110">
        <v>45</v>
      </c>
      <c r="C110" s="123" t="s">
        <v>28</v>
      </c>
      <c r="D110" s="112"/>
      <c r="E110" s="113">
        <f>SUM(E111:E112)</f>
        <v>2272052800</v>
      </c>
      <c r="F110" s="418">
        <f t="shared" si="34"/>
        <v>1</v>
      </c>
      <c r="G110" s="113">
        <f>SUM(G111:G112)</f>
        <v>1635737537</v>
      </c>
      <c r="H110" s="230">
        <f>G110/E110</f>
        <v>0.71993817089109902</v>
      </c>
      <c r="I110" s="113">
        <f>SUM(I111:I112)</f>
        <v>985433386</v>
      </c>
      <c r="J110" s="418">
        <f>I110/G110</f>
        <v>0.60243979471628395</v>
      </c>
    </row>
    <row r="111" spans="1:10" s="34" customFormat="1" ht="74.25" customHeight="1" x14ac:dyDescent="0.25">
      <c r="A111" s="83"/>
      <c r="B111" s="84"/>
      <c r="C111" s="47">
        <v>4502</v>
      </c>
      <c r="D111" s="50" t="s">
        <v>47</v>
      </c>
      <c r="E111" s="58">
        <f>'SGTO POAI 2022'!BF128</f>
        <v>271452800</v>
      </c>
      <c r="F111" s="427">
        <f t="shared" si="34"/>
        <v>1</v>
      </c>
      <c r="G111" s="58">
        <f>'SGTO POAI 2022'!BG128</f>
        <v>223685832</v>
      </c>
      <c r="H111" s="230">
        <f>G111/E111</f>
        <v>0.82403214113098111</v>
      </c>
      <c r="I111" s="58">
        <f>'SGTO POAI 2022'!BH128</f>
        <v>154300000</v>
      </c>
      <c r="J111" s="427">
        <f t="shared" ref="J111:J112" si="35">I111/G111</f>
        <v>0.68980676433722454</v>
      </c>
    </row>
    <row r="112" spans="1:10" s="16" customFormat="1" ht="54.75" customHeight="1" x14ac:dyDescent="0.2">
      <c r="A112" s="85"/>
      <c r="B112" s="68"/>
      <c r="C112" s="47">
        <v>4599</v>
      </c>
      <c r="D112" s="50" t="s">
        <v>528</v>
      </c>
      <c r="E112" s="46">
        <f>'SGTO POAI 2022'!BF126+'SGTO POAI 2022'!BF127</f>
        <v>2000600000</v>
      </c>
      <c r="F112" s="427">
        <f t="shared" si="34"/>
        <v>1</v>
      </c>
      <c r="G112" s="46">
        <f>'SGTO POAI 2022'!BG126+'SGTO POAI 2022'!BG127</f>
        <v>1412051705</v>
      </c>
      <c r="H112" s="230">
        <f>G112/E112</f>
        <v>0.70581410826751978</v>
      </c>
      <c r="I112" s="46">
        <f>'SGTO POAI 2022'!BH126+'SGTO POAI 2022'!BH127</f>
        <v>831133386</v>
      </c>
      <c r="J112" s="427">
        <f t="shared" si="35"/>
        <v>0.58859982467851624</v>
      </c>
    </row>
    <row r="113" spans="1:10" s="74" customFormat="1" x14ac:dyDescent="0.2">
      <c r="A113" s="70"/>
      <c r="B113" s="114"/>
      <c r="C113" s="115"/>
      <c r="D113" s="116"/>
      <c r="E113" s="117"/>
      <c r="F113" s="421"/>
      <c r="G113" s="117"/>
      <c r="H113" s="117"/>
      <c r="I113" s="117"/>
      <c r="J113" s="421"/>
    </row>
    <row r="114" spans="1:10" ht="24" customHeight="1" x14ac:dyDescent="0.2">
      <c r="A114" s="111" t="s">
        <v>542</v>
      </c>
      <c r="B114" s="120"/>
      <c r="C114" s="120"/>
      <c r="D114" s="121"/>
      <c r="E114" s="122">
        <f>E115+E119</f>
        <v>209016995039.20996</v>
      </c>
      <c r="F114" s="418">
        <f t="shared" ref="F114:F177" si="36">E114/E114</f>
        <v>1</v>
      </c>
      <c r="G114" s="122">
        <f>G115+G119</f>
        <v>143507674122.94</v>
      </c>
      <c r="H114" s="230">
        <f t="shared" ref="H114:H121" si="37">G114/E114</f>
        <v>0.68658375887577505</v>
      </c>
      <c r="I114" s="122">
        <f>I115+I119</f>
        <v>131392622465.19</v>
      </c>
      <c r="J114" s="418">
        <f>I114/G114</f>
        <v>0.91557906758790275</v>
      </c>
    </row>
    <row r="115" spans="1:10" ht="24" customHeight="1" x14ac:dyDescent="0.2">
      <c r="A115" s="211">
        <v>1</v>
      </c>
      <c r="B115" s="212" t="s">
        <v>112</v>
      </c>
      <c r="C115" s="212"/>
      <c r="D115" s="212"/>
      <c r="E115" s="213">
        <f>E116</f>
        <v>208999480361.20996</v>
      </c>
      <c r="F115" s="426">
        <f t="shared" si="36"/>
        <v>1</v>
      </c>
      <c r="G115" s="213">
        <f>G116</f>
        <v>143507674122.94</v>
      </c>
      <c r="H115" s="230">
        <f t="shared" si="37"/>
        <v>0.68664129630809767</v>
      </c>
      <c r="I115" s="213">
        <f>I116</f>
        <v>131392622465.19</v>
      </c>
      <c r="J115" s="426">
        <f>I115/G115</f>
        <v>0.91557906758790275</v>
      </c>
    </row>
    <row r="116" spans="1:10" ht="24" customHeight="1" x14ac:dyDescent="0.2">
      <c r="A116" s="24"/>
      <c r="B116" s="110">
        <v>22</v>
      </c>
      <c r="C116" s="123" t="s">
        <v>124</v>
      </c>
      <c r="D116" s="112"/>
      <c r="E116" s="113">
        <f>SUM(E117:E118)</f>
        <v>208999480361.20996</v>
      </c>
      <c r="F116" s="418">
        <f t="shared" si="36"/>
        <v>1</v>
      </c>
      <c r="G116" s="113">
        <f>SUM(G117:G118)</f>
        <v>143507674122.94</v>
      </c>
      <c r="H116" s="230">
        <f t="shared" si="37"/>
        <v>0.68664129630809767</v>
      </c>
      <c r="I116" s="113">
        <f>SUM(I117:I118)</f>
        <v>131392622465.19</v>
      </c>
      <c r="J116" s="418">
        <f>I116/G116</f>
        <v>0.91557906758790275</v>
      </c>
    </row>
    <row r="117" spans="1:10" s="16" customFormat="1" ht="55.5" customHeight="1" x14ac:dyDescent="0.2">
      <c r="A117" s="66"/>
      <c r="B117" s="67"/>
      <c r="C117" s="57">
        <v>2201</v>
      </c>
      <c r="D117" s="50" t="s">
        <v>229</v>
      </c>
      <c r="E117" s="46">
        <f>'SGTO POAI 2022'!BF129+'SGTO POAI 2022'!BF130+'SGTO POAI 2022'!BF131+'SGTO POAI 2022'!BF132+'SGTO POAI 2022'!BF133+'SGTO POAI 2022'!BF134+'SGTO POAI 2022'!BF135+'SGTO POAI 2022'!BF136+'SGTO POAI 2022'!BF137+'SGTO POAI 2022'!BF138+'SGTO POAI 2022'!BF139+'SGTO POAI 2022'!BF140+'SGTO POAI 2022'!BF141+'SGTO POAI 2022'!BF142+'SGTO POAI 2022'!BF143+'SGTO POAI 2022'!BF144+'SGTO POAI 2022'!BF145+'SGTO POAI 2022'!BF146+'SGTO POAI 2022'!BF147+'SGTO POAI 2022'!BF148+'SGTO POAI 2022'!BF149+'SGTO POAI 2022'!BF150+'SGTO POAI 2022'!BF151+'SGTO POAI 2022'!BF152+'SGTO POAI 2022'!BF153+'SGTO POAI 2022'!BF154+'SGTO POAI 2022'!BF155+'SGTO POAI 2022'!BF156+'SGTO POAI 2022'!BF157+'SGTO POAI 2022'!BF158+'SGTO POAI 2022'!BF159+'SGTO POAI 2022'!BF160+'SGTO POAI 2022'!BF161+'SGTO POAI 2022'!BF162</f>
        <v>208849469007.20996</v>
      </c>
      <c r="F117" s="427">
        <f t="shared" si="36"/>
        <v>1</v>
      </c>
      <c r="G117" s="46">
        <f>'SGTO POAI 2022'!BG129+'SGTO POAI 2022'!BG130+'SGTO POAI 2022'!BG131+'SGTO POAI 2022'!BG132+'SGTO POAI 2022'!BG133+'SGTO POAI 2022'!BG134+'SGTO POAI 2022'!BG135+'SGTO POAI 2022'!BG136+'SGTO POAI 2022'!BG137+'SGTO POAI 2022'!BG138+'SGTO POAI 2022'!BG139+'SGTO POAI 2022'!BG140+'SGTO POAI 2022'!BG141+'SGTO POAI 2022'!BG142+'SGTO POAI 2022'!BG143+'SGTO POAI 2022'!BG144+'SGTO POAI 2022'!BG145+'SGTO POAI 2022'!BG146+'SGTO POAI 2022'!BG147+'SGTO POAI 2022'!BG148+'SGTO POAI 2022'!BG149+'SGTO POAI 2022'!BG150+'SGTO POAI 2022'!BG151+'SGTO POAI 2022'!BG152+'SGTO POAI 2022'!BG153+'SGTO POAI 2022'!BG154+'SGTO POAI 2022'!BG155+'SGTO POAI 2022'!BG156+'SGTO POAI 2022'!BG157+'SGTO POAI 2022'!BG158+'SGTO POAI 2022'!BG159+'SGTO POAI 2022'!BG160+'SGTO POAI 2022'!BG161+'SGTO POAI 2022'!BG162</f>
        <v>143432836293.94</v>
      </c>
      <c r="H117" s="230">
        <f t="shared" si="37"/>
        <v>0.68677615976600048</v>
      </c>
      <c r="I117" s="46">
        <f>'SGTO POAI 2022'!BH129+'SGTO POAI 2022'!BH130+'SGTO POAI 2022'!BH131+'SGTO POAI 2022'!BH132+'SGTO POAI 2022'!BH133+'SGTO POAI 2022'!BH134+'SGTO POAI 2022'!BH135+'SGTO POAI 2022'!BH136+'SGTO POAI 2022'!BH137+'SGTO POAI 2022'!BH138+'SGTO POAI 2022'!BH139+'SGTO POAI 2022'!BH140+'SGTO POAI 2022'!BH141+'SGTO POAI 2022'!BH142+'SGTO POAI 2022'!BH143+'SGTO POAI 2022'!BH144+'SGTO POAI 2022'!BH145+'SGTO POAI 2022'!BH146+'SGTO POAI 2022'!BH147+'SGTO POAI 2022'!BH148+'SGTO POAI 2022'!BH149+'SGTO POAI 2022'!BH150+'SGTO POAI 2022'!BH151+'SGTO POAI 2022'!BH152+'SGTO POAI 2022'!BH153+'SGTO POAI 2022'!BH154+'SGTO POAI 2022'!BH155+'SGTO POAI 2022'!BH156+'SGTO POAI 2022'!BH157+'SGTO POAI 2022'!BH158+'SGTO POAI 2022'!BH159+'SGTO POAI 2022'!BH160+'SGTO POAI 2022'!BH161+'SGTO POAI 2022'!BH162</f>
        <v>131317784636.19</v>
      </c>
      <c r="J117" s="427">
        <f t="shared" ref="J117:J118" si="38">I117/G117</f>
        <v>0.91553501993837472</v>
      </c>
    </row>
    <row r="118" spans="1:10" s="16" customFormat="1" ht="55.5" customHeight="1" x14ac:dyDescent="0.2">
      <c r="A118" s="68"/>
      <c r="B118" s="69"/>
      <c r="C118" s="47">
        <v>2202</v>
      </c>
      <c r="D118" s="50" t="s">
        <v>1137</v>
      </c>
      <c r="E118" s="58">
        <f>'SGTO POAI 2022'!BF163</f>
        <v>150011354</v>
      </c>
      <c r="F118" s="427">
        <f t="shared" si="36"/>
        <v>1</v>
      </c>
      <c r="G118" s="58">
        <f>'SGTO POAI 2022'!BG163</f>
        <v>74837829</v>
      </c>
      <c r="H118" s="230">
        <f t="shared" si="37"/>
        <v>0.49888109802675334</v>
      </c>
      <c r="I118" s="58">
        <f>'SGTO POAI 2022'!BH163</f>
        <v>74837829</v>
      </c>
      <c r="J118" s="427">
        <f t="shared" si="38"/>
        <v>1</v>
      </c>
    </row>
    <row r="119" spans="1:10" ht="24" customHeight="1" x14ac:dyDescent="0.2">
      <c r="A119" s="211">
        <v>2</v>
      </c>
      <c r="B119" s="212" t="s">
        <v>333</v>
      </c>
      <c r="C119" s="212"/>
      <c r="D119" s="212"/>
      <c r="E119" s="213">
        <f t="shared" ref="E119:I120" si="39">E120</f>
        <v>17514678</v>
      </c>
      <c r="F119" s="426">
        <f t="shared" si="36"/>
        <v>1</v>
      </c>
      <c r="G119" s="213">
        <f t="shared" si="39"/>
        <v>0</v>
      </c>
      <c r="H119" s="230">
        <f t="shared" si="37"/>
        <v>0</v>
      </c>
      <c r="I119" s="213">
        <f t="shared" si="39"/>
        <v>0</v>
      </c>
      <c r="J119" s="426">
        <v>0</v>
      </c>
    </row>
    <row r="120" spans="1:10" ht="24" customHeight="1" x14ac:dyDescent="0.2">
      <c r="A120" s="24"/>
      <c r="B120" s="110">
        <v>39</v>
      </c>
      <c r="C120" s="123" t="s">
        <v>1138</v>
      </c>
      <c r="D120" s="112"/>
      <c r="E120" s="113">
        <f t="shared" si="39"/>
        <v>17514678</v>
      </c>
      <c r="F120" s="418">
        <f t="shared" si="36"/>
        <v>1</v>
      </c>
      <c r="G120" s="113">
        <f t="shared" si="39"/>
        <v>0</v>
      </c>
      <c r="H120" s="230">
        <f t="shared" si="37"/>
        <v>0</v>
      </c>
      <c r="I120" s="113">
        <f t="shared" si="39"/>
        <v>0</v>
      </c>
      <c r="J120" s="418">
        <v>0</v>
      </c>
    </row>
    <row r="121" spans="1:10" s="16" customFormat="1" ht="39.75" customHeight="1" x14ac:dyDescent="0.2">
      <c r="A121" s="68"/>
      <c r="B121" s="47"/>
      <c r="C121" s="22">
        <v>3904</v>
      </c>
      <c r="D121" s="50" t="s">
        <v>642</v>
      </c>
      <c r="E121" s="58">
        <f>'SGTO POAI 2022'!BF164</f>
        <v>17514678</v>
      </c>
      <c r="F121" s="427">
        <f t="shared" si="36"/>
        <v>1</v>
      </c>
      <c r="G121" s="58">
        <f>'SGTO POAI 2022'!BG164</f>
        <v>0</v>
      </c>
      <c r="H121" s="230">
        <f t="shared" si="37"/>
        <v>0</v>
      </c>
      <c r="I121" s="58">
        <f>'SGTO POAI 2022'!BH164</f>
        <v>0</v>
      </c>
      <c r="J121" s="427">
        <v>0</v>
      </c>
    </row>
    <row r="122" spans="1:10" s="74" customFormat="1" x14ac:dyDescent="0.2">
      <c r="A122" s="70"/>
      <c r="B122" s="70"/>
      <c r="C122" s="70"/>
      <c r="D122" s="71"/>
      <c r="E122" s="73"/>
      <c r="F122" s="420"/>
      <c r="G122" s="73"/>
      <c r="H122" s="73"/>
      <c r="I122" s="73"/>
      <c r="J122" s="420"/>
    </row>
    <row r="123" spans="1:10" s="74" customFormat="1" ht="24" customHeight="1" x14ac:dyDescent="0.2">
      <c r="A123" s="111" t="s">
        <v>649</v>
      </c>
      <c r="B123" s="120"/>
      <c r="C123" s="120"/>
      <c r="D123" s="121"/>
      <c r="E123" s="122">
        <f>E124+E133+E138</f>
        <v>8435877609.1799994</v>
      </c>
      <c r="F123" s="418">
        <f t="shared" si="36"/>
        <v>1</v>
      </c>
      <c r="G123" s="122">
        <f>G124+G133+G138</f>
        <v>4557572989.25</v>
      </c>
      <c r="H123" s="230">
        <f t="shared" ref="H123:H140" si="40">G123/E123</f>
        <v>0.54026068186318954</v>
      </c>
      <c r="I123" s="122">
        <f>I124+I133+I138</f>
        <v>3932919407.8499999</v>
      </c>
      <c r="J123" s="418">
        <f t="shared" ref="J123:J129" si="41">I123/G123</f>
        <v>0.862941617638735</v>
      </c>
    </row>
    <row r="124" spans="1:10" s="74" customFormat="1" ht="24" customHeight="1" x14ac:dyDescent="0.2">
      <c r="A124" s="211">
        <v>1</v>
      </c>
      <c r="B124" s="212" t="s">
        <v>112</v>
      </c>
      <c r="C124" s="212"/>
      <c r="D124" s="212"/>
      <c r="E124" s="213">
        <f>E125+E127+E129</f>
        <v>8055282494.1799994</v>
      </c>
      <c r="F124" s="426">
        <f t="shared" si="36"/>
        <v>1</v>
      </c>
      <c r="G124" s="213">
        <f>G125+G127+G129</f>
        <v>4301717155.25</v>
      </c>
      <c r="H124" s="230">
        <f t="shared" si="40"/>
        <v>0.53402436951876264</v>
      </c>
      <c r="I124" s="213">
        <f>I125+I127+I129</f>
        <v>3767185307.8499999</v>
      </c>
      <c r="J124" s="426">
        <f t="shared" si="41"/>
        <v>0.87573988988382589</v>
      </c>
    </row>
    <row r="125" spans="1:10" ht="24" customHeight="1" x14ac:dyDescent="0.2">
      <c r="A125" s="24"/>
      <c r="B125" s="110">
        <v>19</v>
      </c>
      <c r="C125" s="123" t="s">
        <v>122</v>
      </c>
      <c r="D125" s="112"/>
      <c r="E125" s="113">
        <f>E126</f>
        <v>182005000</v>
      </c>
      <c r="F125" s="418">
        <f t="shared" si="36"/>
        <v>1</v>
      </c>
      <c r="G125" s="113">
        <f>G126</f>
        <v>179299999</v>
      </c>
      <c r="H125" s="230">
        <f t="shared" si="40"/>
        <v>0.98513776544600418</v>
      </c>
      <c r="I125" s="113">
        <f>I126</f>
        <v>123907500</v>
      </c>
      <c r="J125" s="418">
        <f t="shared" si="41"/>
        <v>0.6910624689964443</v>
      </c>
    </row>
    <row r="126" spans="1:10" s="87" customFormat="1" ht="51" customHeight="1" x14ac:dyDescent="0.2">
      <c r="A126" s="66"/>
      <c r="B126" s="47"/>
      <c r="C126" s="22">
        <v>1905</v>
      </c>
      <c r="D126" s="23" t="s">
        <v>650</v>
      </c>
      <c r="E126" s="58">
        <f>'SGTO POAI 2022'!BF165+'SGTO POAI 2022'!BF166</f>
        <v>182005000</v>
      </c>
      <c r="F126" s="427">
        <f t="shared" si="36"/>
        <v>1</v>
      </c>
      <c r="G126" s="58">
        <f>'SGTO POAI 2022'!BG165+'SGTO POAI 2022'!BG166</f>
        <v>179299999</v>
      </c>
      <c r="H126" s="230">
        <f t="shared" si="40"/>
        <v>0.98513776544600418</v>
      </c>
      <c r="I126" s="58">
        <f>'SGTO POAI 2022'!BH165+'SGTO POAI 2022'!BH166</f>
        <v>123907500</v>
      </c>
      <c r="J126" s="427">
        <f t="shared" si="41"/>
        <v>0.6910624689964443</v>
      </c>
    </row>
    <row r="127" spans="1:10" ht="24" customHeight="1" x14ac:dyDescent="0.2">
      <c r="A127" s="76"/>
      <c r="B127" s="110">
        <v>33</v>
      </c>
      <c r="C127" s="123" t="s">
        <v>132</v>
      </c>
      <c r="D127" s="112"/>
      <c r="E127" s="113">
        <f>E128</f>
        <v>28850000</v>
      </c>
      <c r="F127" s="418">
        <f t="shared" si="36"/>
        <v>1</v>
      </c>
      <c r="G127" s="113">
        <f>G128</f>
        <v>28850000</v>
      </c>
      <c r="H127" s="230">
        <f t="shared" si="40"/>
        <v>1</v>
      </c>
      <c r="I127" s="113">
        <f>I128</f>
        <v>20195000</v>
      </c>
      <c r="J127" s="418">
        <f t="shared" si="41"/>
        <v>0.7</v>
      </c>
    </row>
    <row r="128" spans="1:10" s="87" customFormat="1" ht="51.75" customHeight="1" x14ac:dyDescent="0.2">
      <c r="A128" s="66"/>
      <c r="B128" s="47"/>
      <c r="C128" s="22">
        <v>3301</v>
      </c>
      <c r="D128" s="50" t="s">
        <v>133</v>
      </c>
      <c r="E128" s="58">
        <f>'SGTO POAI 2022'!BF167</f>
        <v>28850000</v>
      </c>
      <c r="F128" s="427">
        <f t="shared" si="36"/>
        <v>1</v>
      </c>
      <c r="G128" s="58">
        <f>'SGTO POAI 2022'!BG167</f>
        <v>28850000</v>
      </c>
      <c r="H128" s="230">
        <f t="shared" si="40"/>
        <v>1</v>
      </c>
      <c r="I128" s="58">
        <f>'SGTO POAI 2022'!BH167</f>
        <v>20195000</v>
      </c>
      <c r="J128" s="427">
        <f t="shared" si="41"/>
        <v>0.7</v>
      </c>
    </row>
    <row r="129" spans="1:10" ht="24" customHeight="1" x14ac:dyDescent="0.2">
      <c r="A129" s="76"/>
      <c r="B129" s="110">
        <v>41</v>
      </c>
      <c r="C129" s="123" t="s">
        <v>661</v>
      </c>
      <c r="D129" s="112"/>
      <c r="E129" s="113">
        <f>SUM(E130:E132)</f>
        <v>7844427494.1799994</v>
      </c>
      <c r="F129" s="418">
        <f t="shared" si="36"/>
        <v>1</v>
      </c>
      <c r="G129" s="113">
        <f>SUM(G130:G132)</f>
        <v>4093567156.25</v>
      </c>
      <c r="H129" s="230">
        <f t="shared" si="40"/>
        <v>0.52184396621514217</v>
      </c>
      <c r="I129" s="113">
        <f>SUM(I130:I132)</f>
        <v>3623082807.8499999</v>
      </c>
      <c r="J129" s="418">
        <f t="shared" si="41"/>
        <v>0.88506739221764785</v>
      </c>
    </row>
    <row r="130" spans="1:10" s="87" customFormat="1" ht="53.25" customHeight="1" x14ac:dyDescent="0.2">
      <c r="A130" s="83"/>
      <c r="B130" s="84"/>
      <c r="C130" s="47">
        <v>4102</v>
      </c>
      <c r="D130" s="50" t="s">
        <v>662</v>
      </c>
      <c r="E130" s="58">
        <f>'SGTO POAI 2022'!BF168+'SGTO POAI 2022'!BF169+'SGTO POAI 2022'!BF170+'SGTO POAI 2022'!BF171+'SGTO POAI 2022'!BF172+'SGTO POAI 2022'!BF173+'SGTO POAI 2022'!BF174+'SGTO POAI 2022'!BF175+'SGTO POAI 2022'!BF176</f>
        <v>1082720444</v>
      </c>
      <c r="F130" s="427">
        <f t="shared" si="36"/>
        <v>1</v>
      </c>
      <c r="G130" s="58">
        <f>'SGTO POAI 2022'!BG168+'SGTO POAI 2022'!BG169+'SGTO POAI 2022'!BG170+'SGTO POAI 2022'!BG171+'SGTO POAI 2022'!BG172+'SGTO POAI 2022'!BG173+'SGTO POAI 2022'!BG174+'SGTO POAI 2022'!BG175+'SGTO POAI 2022'!BG176</f>
        <v>753432672</v>
      </c>
      <c r="H130" s="230">
        <f t="shared" si="40"/>
        <v>0.69586999689090567</v>
      </c>
      <c r="I130" s="58">
        <f>'SGTO POAI 2022'!BH168+'SGTO POAI 2022'!BH169+'SGTO POAI 2022'!BH170+'SGTO POAI 2022'!BH171+'SGTO POAI 2022'!BH172+'SGTO POAI 2022'!BH173+'SGTO POAI 2022'!BH174+'SGTO POAI 2022'!BH175+'SGTO POAI 2022'!BH176</f>
        <v>529415322.60000002</v>
      </c>
      <c r="J130" s="427">
        <f t="shared" ref="J130:J132" si="42">I130/G130</f>
        <v>0.70267104450707973</v>
      </c>
    </row>
    <row r="131" spans="1:10" s="87" customFormat="1" ht="48.75" customHeight="1" x14ac:dyDescent="0.2">
      <c r="A131" s="83"/>
      <c r="B131" s="66"/>
      <c r="C131" s="47">
        <v>4103</v>
      </c>
      <c r="D131" s="50" t="s">
        <v>252</v>
      </c>
      <c r="E131" s="58">
        <f>'SGTO POAI 2022'!BF177+'SGTO POAI 2022'!BF178+'SGTO POAI 2022'!BF179+'SGTO POAI 2022'!BF180+'SGTO POAI 2022'!BF181+'SGTO POAI 2022'!BF182+'SGTO POAI 2022'!BF183</f>
        <v>278779946</v>
      </c>
      <c r="F131" s="427">
        <f t="shared" si="36"/>
        <v>1</v>
      </c>
      <c r="G131" s="58">
        <f>'SGTO POAI 2022'!BG177+'SGTO POAI 2022'!BG178+'SGTO POAI 2022'!BG179+'SGTO POAI 2022'!BG180+'SGTO POAI 2022'!BG181+'SGTO POAI 2022'!BG182+'SGTO POAI 2022'!BG183</f>
        <v>143732779</v>
      </c>
      <c r="H131" s="230">
        <f t="shared" si="40"/>
        <v>0.51557789956670697</v>
      </c>
      <c r="I131" s="58">
        <f>'SGTO POAI 2022'!BH177+'SGTO POAI 2022'!BH178+'SGTO POAI 2022'!BH179+'SGTO POAI 2022'!BH180+'SGTO POAI 2022'!BH181+'SGTO POAI 2022'!BH182+'SGTO POAI 2022'!BH183</f>
        <v>108740000</v>
      </c>
      <c r="J131" s="427">
        <f t="shared" si="42"/>
        <v>0.75654280642552663</v>
      </c>
    </row>
    <row r="132" spans="1:10" s="87" customFormat="1" ht="51.75" customHeight="1" x14ac:dyDescent="0.2">
      <c r="A132" s="85"/>
      <c r="B132" s="68"/>
      <c r="C132" s="47">
        <v>4104</v>
      </c>
      <c r="D132" s="50" t="s">
        <v>745</v>
      </c>
      <c r="E132" s="58">
        <f>'SGTO POAI 2022'!BF184+'SGTO POAI 2022'!BF185+'SGTO POAI 2022'!BF186+'SGTO POAI 2022'!BF187+'SGTO POAI 2022'!BF188</f>
        <v>6482927104.1799994</v>
      </c>
      <c r="F132" s="427">
        <f t="shared" si="36"/>
        <v>1</v>
      </c>
      <c r="G132" s="58">
        <f>'SGTO POAI 2022'!BG184+'SGTO POAI 2022'!BG185+'SGTO POAI 2022'!BG186+'SGTO POAI 2022'!BG187+'SGTO POAI 2022'!BG188</f>
        <v>3196401705.25</v>
      </c>
      <c r="H132" s="230">
        <f t="shared" si="40"/>
        <v>0.49304915108316655</v>
      </c>
      <c r="I132" s="58">
        <f>'SGTO POAI 2022'!BH184+'SGTO POAI 2022'!BH185+'SGTO POAI 2022'!BH186+'SGTO POAI 2022'!BH187+'SGTO POAI 2022'!BH188</f>
        <v>2984927485.25</v>
      </c>
      <c r="J132" s="427">
        <f t="shared" si="42"/>
        <v>0.9338399114064232</v>
      </c>
    </row>
    <row r="133" spans="1:10" s="74" customFormat="1" ht="24" customHeight="1" x14ac:dyDescent="0.2">
      <c r="A133" s="211">
        <v>2</v>
      </c>
      <c r="B133" s="212" t="s">
        <v>333</v>
      </c>
      <c r="C133" s="212"/>
      <c r="D133" s="212"/>
      <c r="E133" s="213">
        <f>E134+E136</f>
        <v>42000000</v>
      </c>
      <c r="F133" s="426">
        <f t="shared" si="36"/>
        <v>1</v>
      </c>
      <c r="G133" s="213">
        <f>G134+G136</f>
        <v>42000000</v>
      </c>
      <c r="H133" s="230">
        <f t="shared" si="40"/>
        <v>1</v>
      </c>
      <c r="I133" s="213">
        <f>I134+I136</f>
        <v>33655000</v>
      </c>
      <c r="J133" s="426">
        <f t="shared" ref="J133:J140" si="43">I133/G133</f>
        <v>0.8013095238095238</v>
      </c>
    </row>
    <row r="134" spans="1:10" ht="24" customHeight="1" x14ac:dyDescent="0.2">
      <c r="A134" s="24"/>
      <c r="B134" s="110">
        <v>17</v>
      </c>
      <c r="C134" s="123" t="s">
        <v>375</v>
      </c>
      <c r="D134" s="112"/>
      <c r="E134" s="113">
        <f>E135</f>
        <v>18000000</v>
      </c>
      <c r="F134" s="418">
        <f t="shared" si="36"/>
        <v>1</v>
      </c>
      <c r="G134" s="113">
        <f>G135</f>
        <v>18000000</v>
      </c>
      <c r="H134" s="230">
        <f t="shared" si="40"/>
        <v>1</v>
      </c>
      <c r="I134" s="113">
        <f>I135</f>
        <v>16770000</v>
      </c>
      <c r="J134" s="418">
        <f t="shared" si="43"/>
        <v>0.93166666666666664</v>
      </c>
    </row>
    <row r="135" spans="1:10" s="87" customFormat="1" ht="51.75" customHeight="1" x14ac:dyDescent="0.2">
      <c r="A135" s="66"/>
      <c r="B135" s="47"/>
      <c r="C135" s="22">
        <v>1702</v>
      </c>
      <c r="D135" s="50" t="s">
        <v>376</v>
      </c>
      <c r="E135" s="58">
        <f>'SGTO POAI 2022'!BF189</f>
        <v>18000000</v>
      </c>
      <c r="F135" s="427">
        <f t="shared" si="36"/>
        <v>1</v>
      </c>
      <c r="G135" s="58">
        <f>'SGTO POAI 2022'!BG189</f>
        <v>18000000</v>
      </c>
      <c r="H135" s="230">
        <f t="shared" si="40"/>
        <v>1</v>
      </c>
      <c r="I135" s="58">
        <f>'SGTO POAI 2022'!BH189</f>
        <v>16770000</v>
      </c>
      <c r="J135" s="427">
        <f t="shared" si="43"/>
        <v>0.93166666666666664</v>
      </c>
    </row>
    <row r="136" spans="1:10" ht="25.5" customHeight="1" x14ac:dyDescent="0.2">
      <c r="A136" s="76"/>
      <c r="B136" s="110">
        <v>36</v>
      </c>
      <c r="C136" s="123" t="s">
        <v>358</v>
      </c>
      <c r="D136" s="112"/>
      <c r="E136" s="113">
        <f>E137</f>
        <v>24000000</v>
      </c>
      <c r="F136" s="418">
        <f t="shared" si="36"/>
        <v>1</v>
      </c>
      <c r="G136" s="113">
        <f>G137</f>
        <v>24000000</v>
      </c>
      <c r="H136" s="230">
        <f t="shared" si="40"/>
        <v>1</v>
      </c>
      <c r="I136" s="113">
        <f>I137</f>
        <v>16885000</v>
      </c>
      <c r="J136" s="418">
        <f t="shared" si="43"/>
        <v>0.70354166666666662</v>
      </c>
    </row>
    <row r="137" spans="1:10" s="87" customFormat="1" ht="51" customHeight="1" x14ac:dyDescent="0.2">
      <c r="A137" s="68"/>
      <c r="B137" s="47"/>
      <c r="C137" s="22">
        <v>3604</v>
      </c>
      <c r="D137" s="50" t="s">
        <v>776</v>
      </c>
      <c r="E137" s="58">
        <f>'SGTO POAI 2022'!BF190</f>
        <v>24000000</v>
      </c>
      <c r="F137" s="427">
        <f t="shared" si="36"/>
        <v>1</v>
      </c>
      <c r="G137" s="58">
        <f>'SGTO POAI 2022'!BG190</f>
        <v>24000000</v>
      </c>
      <c r="H137" s="230">
        <f t="shared" si="40"/>
        <v>1</v>
      </c>
      <c r="I137" s="58">
        <f>'SGTO POAI 2022'!BH190</f>
        <v>16885000</v>
      </c>
      <c r="J137" s="427">
        <f t="shared" si="43"/>
        <v>0.70354166666666662</v>
      </c>
    </row>
    <row r="138" spans="1:10" s="74" customFormat="1" ht="24" customHeight="1" x14ac:dyDescent="0.2">
      <c r="A138" s="211">
        <v>4</v>
      </c>
      <c r="B138" s="212" t="s">
        <v>27</v>
      </c>
      <c r="C138" s="212"/>
      <c r="D138" s="212"/>
      <c r="E138" s="213">
        <f>E139</f>
        <v>338595115</v>
      </c>
      <c r="F138" s="426">
        <f t="shared" si="36"/>
        <v>1</v>
      </c>
      <c r="G138" s="213">
        <f>G139</f>
        <v>213855834</v>
      </c>
      <c r="H138" s="230">
        <f t="shared" si="40"/>
        <v>0.63159751728845825</v>
      </c>
      <c r="I138" s="213">
        <f>I139</f>
        <v>132079100</v>
      </c>
      <c r="J138" s="426">
        <f t="shared" si="43"/>
        <v>0.61760812192759729</v>
      </c>
    </row>
    <row r="139" spans="1:10" ht="24" customHeight="1" x14ac:dyDescent="0.2">
      <c r="A139" s="53"/>
      <c r="B139" s="92">
        <v>45</v>
      </c>
      <c r="C139" s="21" t="s">
        <v>781</v>
      </c>
      <c r="D139" s="77"/>
      <c r="E139" s="54">
        <f>SUM(E140:E140)</f>
        <v>338595115</v>
      </c>
      <c r="F139" s="431">
        <f t="shared" si="36"/>
        <v>1</v>
      </c>
      <c r="G139" s="54">
        <f>SUM(G140:G140)</f>
        <v>213855834</v>
      </c>
      <c r="H139" s="230">
        <f t="shared" si="40"/>
        <v>0.63159751728845825</v>
      </c>
      <c r="I139" s="54">
        <f>SUM(I140:I140)</f>
        <v>132079100</v>
      </c>
      <c r="J139" s="431">
        <f t="shared" si="43"/>
        <v>0.61760812192759729</v>
      </c>
    </row>
    <row r="140" spans="1:10" ht="72.75" customHeight="1" x14ac:dyDescent="0.2">
      <c r="A140" s="68"/>
      <c r="B140" s="88"/>
      <c r="C140" s="29">
        <v>4502</v>
      </c>
      <c r="D140" s="30" t="s">
        <v>47</v>
      </c>
      <c r="E140" s="89">
        <f>'SGTO POAI 2022'!BF191+'SGTO POAI 2022'!BF192+'SGTO POAI 2022'!BF193+'SGTO POAI 2022'!BF194+'SGTO POAI 2022'!BF195</f>
        <v>338595115</v>
      </c>
      <c r="F140" s="432">
        <f t="shared" si="36"/>
        <v>1</v>
      </c>
      <c r="G140" s="89">
        <f>'SGTO POAI 2022'!BG191+'SGTO POAI 2022'!BG192+'SGTO POAI 2022'!BG193+'SGTO POAI 2022'!BG194+'SGTO POAI 2022'!BG195</f>
        <v>213855834</v>
      </c>
      <c r="H140" s="230">
        <f t="shared" si="40"/>
        <v>0.63159751728845825</v>
      </c>
      <c r="I140" s="89">
        <f>'SGTO POAI 2022'!BH191+'SGTO POAI 2022'!BH192+'SGTO POAI 2022'!BH193+'SGTO POAI 2022'!BH194+'SGTO POAI 2022'!BH195</f>
        <v>132079100</v>
      </c>
      <c r="J140" s="427">
        <f t="shared" si="43"/>
        <v>0.61760812192759729</v>
      </c>
    </row>
    <row r="141" spans="1:10" s="74" customFormat="1" x14ac:dyDescent="0.2">
      <c r="A141" s="70"/>
      <c r="B141" s="70"/>
      <c r="C141" s="70"/>
      <c r="D141" s="71"/>
      <c r="E141" s="73"/>
      <c r="F141" s="420"/>
      <c r="G141" s="73"/>
      <c r="I141" s="73"/>
      <c r="J141" s="420"/>
    </row>
    <row r="142" spans="1:10" ht="24" customHeight="1" x14ac:dyDescent="0.2">
      <c r="A142" s="111" t="s">
        <v>804</v>
      </c>
      <c r="B142" s="120"/>
      <c r="C142" s="120"/>
      <c r="D142" s="121"/>
      <c r="E142" s="122">
        <f t="shared" ref="E142:I143" si="44">E143</f>
        <v>68331963024.720001</v>
      </c>
      <c r="F142" s="418">
        <f t="shared" si="36"/>
        <v>1</v>
      </c>
      <c r="G142" s="122">
        <f t="shared" si="44"/>
        <v>54128632817.660004</v>
      </c>
      <c r="H142" s="230">
        <f t="shared" ref="H142:H147" si="45">G142/E142</f>
        <v>0.79214221897998516</v>
      </c>
      <c r="I142" s="122">
        <f t="shared" si="44"/>
        <v>42344072000.309998</v>
      </c>
      <c r="J142" s="418">
        <f>I142/G142</f>
        <v>0.78228600642754131</v>
      </c>
    </row>
    <row r="143" spans="1:10" ht="24" customHeight="1" x14ac:dyDescent="0.2">
      <c r="A143" s="211">
        <v>1</v>
      </c>
      <c r="B143" s="212" t="s">
        <v>112</v>
      </c>
      <c r="C143" s="212"/>
      <c r="D143" s="212"/>
      <c r="E143" s="213">
        <f t="shared" si="44"/>
        <v>68331963024.720001</v>
      </c>
      <c r="F143" s="426">
        <f t="shared" si="36"/>
        <v>1</v>
      </c>
      <c r="G143" s="213">
        <f t="shared" si="44"/>
        <v>54128632817.660004</v>
      </c>
      <c r="H143" s="230">
        <f t="shared" si="45"/>
        <v>0.79214221897998516</v>
      </c>
      <c r="I143" s="213">
        <f t="shared" si="44"/>
        <v>42344072000.309998</v>
      </c>
      <c r="J143" s="426">
        <f>I143/G143</f>
        <v>0.78228600642754131</v>
      </c>
    </row>
    <row r="144" spans="1:10" ht="24" customHeight="1" x14ac:dyDescent="0.2">
      <c r="A144" s="24"/>
      <c r="B144" s="110">
        <v>19</v>
      </c>
      <c r="C144" s="123" t="s">
        <v>122</v>
      </c>
      <c r="D144" s="112"/>
      <c r="E144" s="113">
        <f>SUM(E145:E147)</f>
        <v>68331963024.720001</v>
      </c>
      <c r="F144" s="418">
        <f t="shared" si="36"/>
        <v>1</v>
      </c>
      <c r="G144" s="113">
        <f>SUM(G145:G147)</f>
        <v>54128632817.660004</v>
      </c>
      <c r="H144" s="230">
        <f t="shared" si="45"/>
        <v>0.79214221897998516</v>
      </c>
      <c r="I144" s="113">
        <f>SUM(I145:I147)</f>
        <v>42344072000.309998</v>
      </c>
      <c r="J144" s="418">
        <f>I144/G144</f>
        <v>0.78228600642754131</v>
      </c>
    </row>
    <row r="145" spans="1:10" s="16" customFormat="1" ht="35.25" customHeight="1" x14ac:dyDescent="0.2">
      <c r="A145" s="66"/>
      <c r="B145" s="67"/>
      <c r="C145" s="47">
        <v>1903</v>
      </c>
      <c r="D145" s="50" t="s">
        <v>805</v>
      </c>
      <c r="E145" s="58">
        <f>'SGTO POAI 2022'!BF196+'SGTO POAI 2022'!BF197+'SGTO POAI 2022'!BF198+'SGTO POAI 2022'!BF199+'SGTO POAI 2022'!BF200+'SGTO POAI 2022'!BF201+'SGTO POAI 2022'!BF202+'SGTO POAI 2022'!BF203+'SGTO POAI 2022'!BF204+'SGTO POAI 2022'!BF205+'SGTO POAI 2022'!BF206+'SGTO POAI 2022'!BF207+'SGTO POAI 2022'!BF208+'SGTO POAI 2022'!BF209+'SGTO POAI 2022'!BF210+'SGTO POAI 2022'!BF211+'SGTO POAI 2022'!BF212+'SGTO POAI 2022'!BF213+'SGTO POAI 2022'!BF214+'SGTO POAI 2022'!BF215+'SGTO POAI 2022'!BF216+'SGTO POAI 2022'!BF217</f>
        <v>4490456017.6199999</v>
      </c>
      <c r="F145" s="427">
        <f t="shared" si="36"/>
        <v>1</v>
      </c>
      <c r="G145" s="58">
        <f>'SGTO POAI 2022'!BG196+'SGTO POAI 2022'!BG197+'SGTO POAI 2022'!BG198+'SGTO POAI 2022'!BG199+'SGTO POAI 2022'!BG200+'SGTO POAI 2022'!BG201+'SGTO POAI 2022'!BG202+'SGTO POAI 2022'!BG203+'SGTO POAI 2022'!BG204+'SGTO POAI 2022'!BG205+'SGTO POAI 2022'!BG206+'SGTO POAI 2022'!BG207+'SGTO POAI 2022'!BG208+'SGTO POAI 2022'!BG209+'SGTO POAI 2022'!BG210+'SGTO POAI 2022'!BG211+'SGTO POAI 2022'!BG212+'SGTO POAI 2022'!BG213+'SGTO POAI 2022'!BG214+'SGTO POAI 2022'!BG215+'SGTO POAI 2022'!BG216+'SGTO POAI 2022'!BG217</f>
        <v>2452007258.96</v>
      </c>
      <c r="H145" s="230">
        <f t="shared" si="45"/>
        <v>0.54604860827911994</v>
      </c>
      <c r="I145" s="58">
        <f>'SGTO POAI 2022'!BH196+'SGTO POAI 2022'!BH197+'SGTO POAI 2022'!BH198+'SGTO POAI 2022'!BH199+'SGTO POAI 2022'!BH200+'SGTO POAI 2022'!BH201+'SGTO POAI 2022'!BH202+'SGTO POAI 2022'!BH203+'SGTO POAI 2022'!BH204+'SGTO POAI 2022'!BH205+'SGTO POAI 2022'!BH206+'SGTO POAI 2022'!BH207+'SGTO POAI 2022'!BH208+'SGTO POAI 2022'!BH209+'SGTO POAI 2022'!BH210+'SGTO POAI 2022'!BH211+'SGTO POAI 2022'!BH212+'SGTO POAI 2022'!BH213+'SGTO POAI 2022'!BH214+'SGTO POAI 2022'!BH215+'SGTO POAI 2022'!BH216+'SGTO POAI 2022'!BH217</f>
        <v>1597723323</v>
      </c>
      <c r="J145" s="427">
        <f>I145/G145</f>
        <v>0.65159812115632232</v>
      </c>
    </row>
    <row r="146" spans="1:10" s="16" customFormat="1" ht="31.5" customHeight="1" x14ac:dyDescent="0.2">
      <c r="A146" s="66"/>
      <c r="B146" s="81"/>
      <c r="C146" s="47">
        <v>1905</v>
      </c>
      <c r="D146" s="50" t="s">
        <v>650</v>
      </c>
      <c r="E146" s="58">
        <f>'SGTO POAI 2022'!BF218+'SGTO POAI 2022'!BF219+'SGTO POAI 2022'!BF220+'SGTO POAI 2022'!BF221+'SGTO POAI 2022'!BF222+'SGTO POAI 2022'!BF223+'SGTO POAI 2022'!BF224+'SGTO POAI 2022'!BF225+'SGTO POAI 2022'!BF226+'SGTO POAI 2022'!BF227+'SGTO POAI 2022'!BF228+'SGTO POAI 2022'!BF229+'SGTO POAI 2022'!BF230+'SGTO POAI 2022'!BF231+'SGTO POAI 2022'!BF232+'SGTO POAI 2022'!BF233+'SGTO POAI 2022'!BF234+'SGTO POAI 2022'!BF235+'SGTO POAI 2022'!BF236+'SGTO POAI 2022'!BF237+'SGTO POAI 2022'!BF238+'SGTO POAI 2022'!BF239+'SGTO POAI 2022'!BF240+'SGTO POAI 2022'!BF241+'SGTO POAI 2022'!BF242+'SGTO POAI 2022'!BF243+'SGTO POAI 2022'!BF244+'SGTO POAI 2022'!BF245+'SGTO POAI 2022'!BF246</f>
        <v>6909014890.9400005</v>
      </c>
      <c r="F146" s="427">
        <f t="shared" si="36"/>
        <v>1</v>
      </c>
      <c r="G146" s="58">
        <f>'SGTO POAI 2022'!BG218+'SGTO POAI 2022'!BG219+'SGTO POAI 2022'!BG220+'SGTO POAI 2022'!BG221+'SGTO POAI 2022'!BG222+'SGTO POAI 2022'!BG223+'SGTO POAI 2022'!BG224+'SGTO POAI 2022'!BG225+'SGTO POAI 2022'!BG226+'SGTO POAI 2022'!BG227+'SGTO POAI 2022'!BG228+'SGTO POAI 2022'!BG229+'SGTO POAI 2022'!BG230+'SGTO POAI 2022'!BG231+'SGTO POAI 2022'!BG232+'SGTO POAI 2022'!BG233+'SGTO POAI 2022'!BG234+'SGTO POAI 2022'!BG235+'SGTO POAI 2022'!BG236+'SGTO POAI 2022'!BG237+'SGTO POAI 2022'!BG238+'SGTO POAI 2022'!BG239+'SGTO POAI 2022'!BG240+'SGTO POAI 2022'!BG241+'SGTO POAI 2022'!BG242+'SGTO POAI 2022'!BG243+'SGTO POAI 2022'!BG244+'SGTO POAI 2022'!BG245+'SGTO POAI 2022'!BG246</f>
        <v>4584666936</v>
      </c>
      <c r="H146" s="230">
        <f t="shared" si="45"/>
        <v>0.66357751551701127</v>
      </c>
      <c r="I146" s="58">
        <f>'SGTO POAI 2022'!BH218+'SGTO POAI 2022'!BH219+'SGTO POAI 2022'!BH220+'SGTO POAI 2022'!BH221+'SGTO POAI 2022'!BH222+'SGTO POAI 2022'!BH223+'SGTO POAI 2022'!BH224+'SGTO POAI 2022'!BH225+'SGTO POAI 2022'!BH226+'SGTO POAI 2022'!BH227+'SGTO POAI 2022'!BH228+'SGTO POAI 2022'!BH229+'SGTO POAI 2022'!BH230+'SGTO POAI 2022'!BH231+'SGTO POAI 2022'!BH232+'SGTO POAI 2022'!BH233+'SGTO POAI 2022'!BH234+'SGTO POAI 2022'!BH235+'SGTO POAI 2022'!BH236+'SGTO POAI 2022'!BH237+'SGTO POAI 2022'!BH238+'SGTO POAI 2022'!BH239+'SGTO POAI 2022'!BH240+'SGTO POAI 2022'!BH241+'SGTO POAI 2022'!BH242+'SGTO POAI 2022'!BH243+'SGTO POAI 2022'!BH244+'SGTO POAI 2022'!BH245+'SGTO POAI 2022'!BH246</f>
        <v>2791424626</v>
      </c>
      <c r="J146" s="427">
        <f t="shared" ref="J146:J147" si="46">I146/G146</f>
        <v>0.6088609412563879</v>
      </c>
    </row>
    <row r="147" spans="1:10" s="16" customFormat="1" ht="57.75" customHeight="1" x14ac:dyDescent="0.2">
      <c r="A147" s="68"/>
      <c r="B147" s="69"/>
      <c r="C147" s="47">
        <v>1906</v>
      </c>
      <c r="D147" s="50" t="s">
        <v>123</v>
      </c>
      <c r="E147" s="58">
        <f>'SGTO POAI 2022'!BF247+'SGTO POAI 2022'!BF248+'SGTO POAI 2022'!BF249+'SGTO POAI 2022'!BF250+'SGTO POAI 2022'!BF251+'SGTO POAI 2022'!BF252+'SGTO POAI 2022'!BF253+'SGTO POAI 2022'!BF254</f>
        <v>56932492116.159996</v>
      </c>
      <c r="F147" s="427">
        <f t="shared" si="36"/>
        <v>1</v>
      </c>
      <c r="G147" s="58">
        <f>'SGTO POAI 2022'!BG247+'SGTO POAI 2022'!BG248+'SGTO POAI 2022'!BG249+'SGTO POAI 2022'!BG250+'SGTO POAI 2022'!BG251+'SGTO POAI 2022'!BG252+'SGTO POAI 2022'!BG253+'SGTO POAI 2022'!BG254</f>
        <v>47091958622.700005</v>
      </c>
      <c r="H147" s="230">
        <f t="shared" si="45"/>
        <v>0.82715435197563036</v>
      </c>
      <c r="I147" s="58">
        <f>'SGTO POAI 2022'!BH247+'SGTO POAI 2022'!BH248+'SGTO POAI 2022'!BH249+'SGTO POAI 2022'!BH250+'SGTO POAI 2022'!BH251+'SGTO POAI 2022'!BH252+'SGTO POAI 2022'!BH253+'SGTO POAI 2022'!BH254</f>
        <v>37954924051.309998</v>
      </c>
      <c r="J147" s="427">
        <f t="shared" si="46"/>
        <v>0.80597463264172597</v>
      </c>
    </row>
    <row r="148" spans="1:10" s="74" customFormat="1" x14ac:dyDescent="0.2">
      <c r="A148" s="70"/>
      <c r="B148" s="70"/>
      <c r="C148" s="70"/>
      <c r="D148" s="71"/>
      <c r="E148" s="73"/>
      <c r="F148" s="420"/>
      <c r="G148" s="73"/>
      <c r="I148" s="73"/>
      <c r="J148" s="420"/>
    </row>
    <row r="149" spans="1:10" s="4" customFormat="1" ht="24" customHeight="1" x14ac:dyDescent="0.25">
      <c r="A149" s="111" t="s">
        <v>985</v>
      </c>
      <c r="B149" s="120"/>
      <c r="C149" s="120"/>
      <c r="D149" s="121"/>
      <c r="E149" s="122">
        <f>E150+E154+E158</f>
        <v>1631066000</v>
      </c>
      <c r="F149" s="418">
        <f t="shared" si="36"/>
        <v>1</v>
      </c>
      <c r="G149" s="122">
        <f>G150+G154+G158</f>
        <v>1404330638</v>
      </c>
      <c r="H149" s="230">
        <f t="shared" ref="H149:H160" si="47">G149/E149</f>
        <v>0.86098946210637706</v>
      </c>
      <c r="I149" s="122">
        <f>I150+I154+I158</f>
        <v>957387066</v>
      </c>
      <c r="J149" s="418">
        <f>I149/G149</f>
        <v>0.6817390720489287</v>
      </c>
    </row>
    <row r="150" spans="1:10" s="4" customFormat="1" ht="24" customHeight="1" x14ac:dyDescent="0.25">
      <c r="A150" s="211">
        <v>1</v>
      </c>
      <c r="B150" s="212" t="s">
        <v>112</v>
      </c>
      <c r="C150" s="212"/>
      <c r="D150" s="212"/>
      <c r="E150" s="213">
        <f>E151</f>
        <v>1102506000</v>
      </c>
      <c r="F150" s="426">
        <f t="shared" si="36"/>
        <v>1</v>
      </c>
      <c r="G150" s="213">
        <f>G151</f>
        <v>889052257.03999996</v>
      </c>
      <c r="H150" s="230">
        <f t="shared" si="47"/>
        <v>0.80639221649587389</v>
      </c>
      <c r="I150" s="213">
        <f>I151</f>
        <v>637514019.03999996</v>
      </c>
      <c r="J150" s="426">
        <f>I150/G150</f>
        <v>0.71707148144759403</v>
      </c>
    </row>
    <row r="151" spans="1:10" ht="24" customHeight="1" x14ac:dyDescent="0.2">
      <c r="A151" s="24"/>
      <c r="B151" s="110">
        <v>23</v>
      </c>
      <c r="C151" s="123" t="s">
        <v>986</v>
      </c>
      <c r="D151" s="112"/>
      <c r="E151" s="113">
        <f>SUM(E152:E153)</f>
        <v>1102506000</v>
      </c>
      <c r="F151" s="418">
        <f t="shared" si="36"/>
        <v>1</v>
      </c>
      <c r="G151" s="113">
        <f>SUM(G152:G153)</f>
        <v>889052257.03999996</v>
      </c>
      <c r="H151" s="230">
        <f t="shared" si="47"/>
        <v>0.80639221649587389</v>
      </c>
      <c r="I151" s="113">
        <f>SUM(I152:I153)</f>
        <v>637514019.03999996</v>
      </c>
      <c r="J151" s="418">
        <f>I151/G151</f>
        <v>0.71707148144759403</v>
      </c>
    </row>
    <row r="152" spans="1:10" s="34" customFormat="1" ht="75.75" customHeight="1" x14ac:dyDescent="0.25">
      <c r="A152" s="66"/>
      <c r="B152" s="67"/>
      <c r="C152" s="57">
        <v>2301</v>
      </c>
      <c r="D152" s="50" t="s">
        <v>987</v>
      </c>
      <c r="E152" s="58">
        <f>'SGTO POAI 2022'!BF255+'SGTO POAI 2022'!BF256+'SGTO POAI 2022'!BF257+'SGTO POAI 2022'!BF258+'SGTO POAI 2022'!BF259+'SGTO POAI 2022'!BF260+'SGTO POAI 2022'!BF261+'SGTO POAI 2022'!BF262+'SGTO POAI 2022'!BF263</f>
        <v>816506000</v>
      </c>
      <c r="F152" s="427">
        <f t="shared" si="36"/>
        <v>1</v>
      </c>
      <c r="G152" s="58">
        <f>'SGTO POAI 2022'!BG255+'SGTO POAI 2022'!BG256+'SGTO POAI 2022'!BG257+'SGTO POAI 2022'!BG258+'SGTO POAI 2022'!BG259+'SGTO POAI 2022'!BG260+'SGTO POAI 2022'!BG261+'SGTO POAI 2022'!BG262+'SGTO POAI 2022'!BG263</f>
        <v>631057257.03999996</v>
      </c>
      <c r="H152" s="230">
        <f t="shared" si="47"/>
        <v>0.77287522325616709</v>
      </c>
      <c r="I152" s="58">
        <f>'SGTO POAI 2022'!BH255+'SGTO POAI 2022'!BH256+'SGTO POAI 2022'!BH257+'SGTO POAI 2022'!BH258+'SGTO POAI 2022'!BH259+'SGTO POAI 2022'!BH260+'SGTO POAI 2022'!BH261+'SGTO POAI 2022'!BH262+'SGTO POAI 2022'!BH263</f>
        <v>446235219.04000002</v>
      </c>
      <c r="J152" s="427">
        <f t="shared" ref="J152:J153" si="48">I152/G152</f>
        <v>0.70712318741580549</v>
      </c>
    </row>
    <row r="153" spans="1:10" s="34" customFormat="1" ht="76.5" customHeight="1" x14ac:dyDescent="0.25">
      <c r="A153" s="68"/>
      <c r="B153" s="69"/>
      <c r="C153" s="57">
        <v>2302</v>
      </c>
      <c r="D153" s="50" t="s">
        <v>1140</v>
      </c>
      <c r="E153" s="58">
        <f>'SGTO POAI 2022'!BF264+'SGTO POAI 2022'!BF265+'SGTO POAI 2022'!BF266+'SGTO POAI 2022'!BF267+'SGTO POAI 2022'!BF268</f>
        <v>286000000</v>
      </c>
      <c r="F153" s="427">
        <f t="shared" si="36"/>
        <v>1</v>
      </c>
      <c r="G153" s="58">
        <f>'SGTO POAI 2022'!BG264+'SGTO POAI 2022'!BG265+'SGTO POAI 2022'!BG266+'SGTO POAI 2022'!BG267+'SGTO POAI 2022'!BG268</f>
        <v>257995000</v>
      </c>
      <c r="H153" s="230">
        <f t="shared" si="47"/>
        <v>0.90208041958041962</v>
      </c>
      <c r="I153" s="58">
        <f>'SGTO POAI 2022'!BH264+'SGTO POAI 2022'!BH265+'SGTO POAI 2022'!BH266+'SGTO POAI 2022'!BH267+'SGTO POAI 2022'!BH268</f>
        <v>191278800</v>
      </c>
      <c r="J153" s="427">
        <f t="shared" si="48"/>
        <v>0.74140506598965095</v>
      </c>
    </row>
    <row r="154" spans="1:10" s="4" customFormat="1" ht="24" customHeight="1" x14ac:dyDescent="0.25">
      <c r="A154" s="211">
        <v>2</v>
      </c>
      <c r="B154" s="219" t="s">
        <v>333</v>
      </c>
      <c r="C154" s="212"/>
      <c r="D154" s="212"/>
      <c r="E154" s="213">
        <f>E155</f>
        <v>118000000</v>
      </c>
      <c r="F154" s="426">
        <f t="shared" si="36"/>
        <v>1</v>
      </c>
      <c r="G154" s="213">
        <f>G155</f>
        <v>113228380.96000001</v>
      </c>
      <c r="H154" s="230">
        <f t="shared" si="47"/>
        <v>0.95956255050847461</v>
      </c>
      <c r="I154" s="213">
        <f>I155</f>
        <v>104573380.96000001</v>
      </c>
      <c r="J154" s="426">
        <f>I154/G154</f>
        <v>0.9235615671034143</v>
      </c>
    </row>
    <row r="155" spans="1:10" ht="24" customHeight="1" x14ac:dyDescent="0.2">
      <c r="A155" s="217"/>
      <c r="B155" s="220">
        <v>39</v>
      </c>
      <c r="C155" s="218" t="s">
        <v>1138</v>
      </c>
      <c r="D155" s="112"/>
      <c r="E155" s="113">
        <f>SUM(E156:E157)</f>
        <v>118000000</v>
      </c>
      <c r="F155" s="418">
        <f t="shared" si="36"/>
        <v>1</v>
      </c>
      <c r="G155" s="113">
        <f>SUM(G156:G157)</f>
        <v>113228380.96000001</v>
      </c>
      <c r="H155" s="230">
        <f t="shared" si="47"/>
        <v>0.95956255050847461</v>
      </c>
      <c r="I155" s="113">
        <f>SUM(I156:I157)</f>
        <v>104573380.96000001</v>
      </c>
      <c r="J155" s="418">
        <f>I155/G155</f>
        <v>0.9235615671034143</v>
      </c>
    </row>
    <row r="156" spans="1:10" s="34" customFormat="1" ht="44.25" customHeight="1" x14ac:dyDescent="0.25">
      <c r="A156" s="66"/>
      <c r="B156" s="27"/>
      <c r="C156" s="90" t="s">
        <v>1023</v>
      </c>
      <c r="D156" s="38" t="s">
        <v>1024</v>
      </c>
      <c r="E156" s="58">
        <f>'SGTO POAI 2022'!BF269+'SGTO POAI 2022'!BF270+'SGTO POAI 2022'!BF271</f>
        <v>90000000</v>
      </c>
      <c r="F156" s="427">
        <f t="shared" si="36"/>
        <v>1</v>
      </c>
      <c r="G156" s="58">
        <f>'SGTO POAI 2022'!BG269+'SGTO POAI 2022'!BG270+'SGTO POAI 2022'!BG271</f>
        <v>86550000</v>
      </c>
      <c r="H156" s="230">
        <f t="shared" si="47"/>
        <v>0.96166666666666667</v>
      </c>
      <c r="I156" s="58">
        <f>'SGTO POAI 2022'!BH269+'SGTO POAI 2022'!BH270+'SGTO POAI 2022'!BH271</f>
        <v>86550000</v>
      </c>
      <c r="J156" s="427">
        <f t="shared" ref="J156:J157" si="49">I156/G156</f>
        <v>1</v>
      </c>
    </row>
    <row r="157" spans="1:10" s="34" customFormat="1" ht="44.25" customHeight="1" x14ac:dyDescent="0.25">
      <c r="A157" s="68"/>
      <c r="B157" s="27"/>
      <c r="C157" s="90">
        <v>3904</v>
      </c>
      <c r="D157" s="38" t="s">
        <v>642</v>
      </c>
      <c r="E157" s="58">
        <f>'SGTO POAI 2022'!BF272</f>
        <v>28000000</v>
      </c>
      <c r="F157" s="427">
        <f t="shared" si="36"/>
        <v>1</v>
      </c>
      <c r="G157" s="58">
        <f>'SGTO POAI 2022'!BG272</f>
        <v>26678380.960000001</v>
      </c>
      <c r="H157" s="230">
        <f t="shared" si="47"/>
        <v>0.95279932000000001</v>
      </c>
      <c r="I157" s="58">
        <f>'SGTO POAI 2022'!BH272</f>
        <v>18023380.960000001</v>
      </c>
      <c r="J157" s="427">
        <f t="shared" si="49"/>
        <v>0.67558001315833971</v>
      </c>
    </row>
    <row r="158" spans="1:10" s="4" customFormat="1" ht="24" customHeight="1" x14ac:dyDescent="0.25">
      <c r="A158" s="211">
        <v>4</v>
      </c>
      <c r="B158" s="212" t="s">
        <v>27</v>
      </c>
      <c r="C158" s="212"/>
      <c r="D158" s="212"/>
      <c r="E158" s="213">
        <f t="shared" ref="E158:I159" si="50">E159</f>
        <v>410560000</v>
      </c>
      <c r="F158" s="426">
        <f t="shared" si="36"/>
        <v>1</v>
      </c>
      <c r="G158" s="213">
        <f t="shared" si="50"/>
        <v>402050000</v>
      </c>
      <c r="H158" s="230">
        <f t="shared" si="47"/>
        <v>0.97927221356196414</v>
      </c>
      <c r="I158" s="213">
        <f t="shared" si="50"/>
        <v>215299666</v>
      </c>
      <c r="J158" s="426">
        <f>I158/G158</f>
        <v>0.53550470339510015</v>
      </c>
    </row>
    <row r="159" spans="1:10" ht="24" customHeight="1" x14ac:dyDescent="0.2">
      <c r="A159" s="24"/>
      <c r="B159" s="110">
        <v>23</v>
      </c>
      <c r="C159" s="123" t="s">
        <v>986</v>
      </c>
      <c r="D159" s="112"/>
      <c r="E159" s="113">
        <f t="shared" si="50"/>
        <v>410560000</v>
      </c>
      <c r="F159" s="418">
        <f t="shared" si="36"/>
        <v>1</v>
      </c>
      <c r="G159" s="113">
        <f t="shared" si="50"/>
        <v>402050000</v>
      </c>
      <c r="H159" s="230">
        <f t="shared" si="47"/>
        <v>0.97927221356196414</v>
      </c>
      <c r="I159" s="113">
        <f t="shared" si="50"/>
        <v>215299666</v>
      </c>
      <c r="J159" s="418">
        <f>I159/G159</f>
        <v>0.53550470339510015</v>
      </c>
    </row>
    <row r="160" spans="1:10" s="34" customFormat="1" ht="99.75" customHeight="1" x14ac:dyDescent="0.25">
      <c r="A160" s="68"/>
      <c r="B160" s="47"/>
      <c r="C160" s="25">
        <v>2302</v>
      </c>
      <c r="D160" s="50" t="s">
        <v>1140</v>
      </c>
      <c r="E160" s="58">
        <f>'SGTO POAI 2022'!BF273+'SGTO POAI 2022'!BF274+'SGTO POAI 2022'!BF275+'SGTO POAI 2022'!BF276+'SGTO POAI 2022'!BF277+'SGTO POAI 2022'!BF278</f>
        <v>410560000</v>
      </c>
      <c r="F160" s="427">
        <f t="shared" si="36"/>
        <v>1</v>
      </c>
      <c r="G160" s="58">
        <f>'SGTO POAI 2022'!BG273+'SGTO POAI 2022'!BG274+'SGTO POAI 2022'!BG275+'SGTO POAI 2022'!BG276+'SGTO POAI 2022'!BG277+'SGTO POAI 2022'!BG278</f>
        <v>402050000</v>
      </c>
      <c r="H160" s="230">
        <f t="shared" si="47"/>
        <v>0.97927221356196414</v>
      </c>
      <c r="I160" s="58">
        <f>'SGTO POAI 2022'!BH273+'SGTO POAI 2022'!BH274+'SGTO POAI 2022'!BH275+'SGTO POAI 2022'!BH276+'SGTO POAI 2022'!BH277+'SGTO POAI 2022'!BH278</f>
        <v>215299666</v>
      </c>
      <c r="J160" s="427">
        <f>I160/G160</f>
        <v>0.53550470339510015</v>
      </c>
    </row>
    <row r="161" spans="1:10" s="74" customFormat="1" ht="18.75" customHeight="1" x14ac:dyDescent="0.2">
      <c r="A161" s="70"/>
      <c r="B161" s="70"/>
      <c r="C161" s="70"/>
      <c r="D161" s="71"/>
      <c r="E161" s="73"/>
      <c r="F161" s="420"/>
      <c r="G161" s="73"/>
      <c r="I161" s="73"/>
      <c r="J161" s="420"/>
    </row>
    <row r="162" spans="1:10" s="13" customFormat="1" ht="30" customHeight="1" x14ac:dyDescent="0.25">
      <c r="A162" s="162" t="s">
        <v>1053</v>
      </c>
      <c r="B162" s="164"/>
      <c r="C162" s="162"/>
      <c r="D162" s="165"/>
      <c r="E162" s="166">
        <f>E6+E12+E18+E23+E53+E75+E81+E88+E108+E114+E123+E142+E149</f>
        <v>348347514675.73999</v>
      </c>
      <c r="F162" s="433">
        <f t="shared" si="36"/>
        <v>1</v>
      </c>
      <c r="G162" s="166">
        <f>G6+G12+G18+G23+G53+G75+G81+G88+G108+G114+G123+G142+G149</f>
        <v>237707568371.31</v>
      </c>
      <c r="H162" s="230">
        <f>G162/E162</f>
        <v>0.68238629057704225</v>
      </c>
      <c r="I162" s="166">
        <f>I6+I12+I18+I23+I53+I75+I81+I88+I108+I114+I123+I142+I149</f>
        <v>195978899122.16</v>
      </c>
      <c r="J162" s="433">
        <f>I162/G162</f>
        <v>0.82445376251559677</v>
      </c>
    </row>
    <row r="163" spans="1:10" s="74" customFormat="1" ht="29.25" customHeight="1" x14ac:dyDescent="0.2">
      <c r="A163" s="70"/>
      <c r="B163" s="70"/>
      <c r="C163" s="70"/>
      <c r="D163" s="71"/>
      <c r="E163" s="73"/>
      <c r="F163" s="420"/>
      <c r="G163" s="73"/>
      <c r="I163" s="73"/>
      <c r="J163" s="420"/>
    </row>
    <row r="164" spans="1:10" ht="24" customHeight="1" x14ac:dyDescent="0.2">
      <c r="A164" s="111" t="s">
        <v>1054</v>
      </c>
      <c r="B164" s="120"/>
      <c r="C164" s="120"/>
      <c r="D164" s="121"/>
      <c r="E164" s="122">
        <f t="shared" ref="E164:I165" si="51">E165</f>
        <v>6744858478.1300011</v>
      </c>
      <c r="F164" s="418">
        <f t="shared" si="36"/>
        <v>1</v>
      </c>
      <c r="G164" s="122">
        <f t="shared" si="51"/>
        <v>4539711210.1300001</v>
      </c>
      <c r="H164" s="230">
        <f>G164/E164</f>
        <v>0.67306248527672985</v>
      </c>
      <c r="I164" s="122">
        <f t="shared" si="51"/>
        <v>3000763754.1300001</v>
      </c>
      <c r="J164" s="418">
        <f>I164/G164</f>
        <v>0.661003225807412</v>
      </c>
    </row>
    <row r="165" spans="1:10" ht="24" customHeight="1" x14ac:dyDescent="0.2">
      <c r="A165" s="211">
        <v>1</v>
      </c>
      <c r="B165" s="212" t="s">
        <v>112</v>
      </c>
      <c r="C165" s="212"/>
      <c r="D165" s="212"/>
      <c r="E165" s="213">
        <f t="shared" si="51"/>
        <v>6744858478.1300011</v>
      </c>
      <c r="F165" s="426">
        <f t="shared" si="36"/>
        <v>1</v>
      </c>
      <c r="G165" s="213">
        <f t="shared" si="51"/>
        <v>4539711210.1300001</v>
      </c>
      <c r="H165" s="230">
        <f>G165/E165</f>
        <v>0.67306248527672985</v>
      </c>
      <c r="I165" s="213">
        <f t="shared" si="51"/>
        <v>3000763754.1300001</v>
      </c>
      <c r="J165" s="426">
        <f>I165/G165</f>
        <v>0.661003225807412</v>
      </c>
    </row>
    <row r="166" spans="1:10" ht="24" customHeight="1" x14ac:dyDescent="0.2">
      <c r="A166" s="24"/>
      <c r="B166" s="110">
        <v>43</v>
      </c>
      <c r="C166" s="123" t="s">
        <v>141</v>
      </c>
      <c r="D166" s="112"/>
      <c r="E166" s="113">
        <f>SUM(E167:E168)</f>
        <v>6744858478.1300011</v>
      </c>
      <c r="F166" s="418">
        <f t="shared" si="36"/>
        <v>1</v>
      </c>
      <c r="G166" s="113">
        <f>SUM(G167:G168)</f>
        <v>4539711210.1300001</v>
      </c>
      <c r="H166" s="230">
        <f>G166/E166</f>
        <v>0.67306248527672985</v>
      </c>
      <c r="I166" s="113">
        <f>SUM(I167:I168)</f>
        <v>3000763754.1300001</v>
      </c>
      <c r="J166" s="418">
        <f>I166/G166</f>
        <v>0.661003225807412</v>
      </c>
    </row>
    <row r="167" spans="1:10" s="16" customFormat="1" ht="76.5" customHeight="1" x14ac:dyDescent="0.2">
      <c r="A167" s="83"/>
      <c r="B167" s="84"/>
      <c r="C167" s="47">
        <v>4301</v>
      </c>
      <c r="D167" s="91" t="s">
        <v>142</v>
      </c>
      <c r="E167" s="58">
        <f>'SGTO POAI 2022'!BF279+'SGTO POAI 2022'!BF280+'SGTO POAI 2022'!BF281+'SGTO POAI 2022'!BF282</f>
        <v>2301304747.0700002</v>
      </c>
      <c r="F167" s="427">
        <f t="shared" si="36"/>
        <v>1</v>
      </c>
      <c r="G167" s="58">
        <f>'SGTO POAI 2022'!BG279+'SGTO POAI 2022'!BG280+'SGTO POAI 2022'!BG281+'SGTO POAI 2022'!BG282</f>
        <v>1543027395.1300001</v>
      </c>
      <c r="H167" s="230">
        <f>G167/E167</f>
        <v>0.67050111337690854</v>
      </c>
      <c r="I167" s="58">
        <f>'SGTO POAI 2022'!BH279+'SGTO POAI 2022'!BH280+'SGTO POAI 2022'!BH281+'SGTO POAI 2022'!BH282</f>
        <v>1228613154.1300001</v>
      </c>
      <c r="J167" s="427">
        <f t="shared" ref="J167:J168" si="52">I167/G167</f>
        <v>0.7962354770937099</v>
      </c>
    </row>
    <row r="168" spans="1:10" s="16" customFormat="1" ht="37.5" customHeight="1" x14ac:dyDescent="0.2">
      <c r="A168" s="85"/>
      <c r="B168" s="68"/>
      <c r="C168" s="47">
        <v>4302</v>
      </c>
      <c r="D168" s="91" t="s">
        <v>1068</v>
      </c>
      <c r="E168" s="58">
        <f>'SGTO POAI 2022'!BF283+'SGTO POAI 2022'!BF284</f>
        <v>4443553731.0600004</v>
      </c>
      <c r="F168" s="427">
        <f t="shared" si="36"/>
        <v>1</v>
      </c>
      <c r="G168" s="58">
        <f>'SGTO POAI 2022'!BG283+'SGTO POAI 2022'!BG284</f>
        <v>2996683815</v>
      </c>
      <c r="H168" s="230">
        <f>G168/E168</f>
        <v>0.67438901302204968</v>
      </c>
      <c r="I168" s="58">
        <f>'SGTO POAI 2022'!BH283+'SGTO POAI 2022'!BH284</f>
        <v>1772150600</v>
      </c>
      <c r="J168" s="427">
        <f t="shared" si="52"/>
        <v>0.59137056473206873</v>
      </c>
    </row>
    <row r="169" spans="1:10" s="74" customFormat="1" ht="18.75" customHeight="1" x14ac:dyDescent="0.2">
      <c r="A169" s="70"/>
      <c r="B169" s="70"/>
      <c r="C169" s="70"/>
      <c r="D169" s="71"/>
      <c r="E169" s="73"/>
      <c r="F169" s="420"/>
      <c r="G169" s="73"/>
      <c r="I169" s="73"/>
      <c r="J169" s="420"/>
    </row>
    <row r="170" spans="1:10" s="74" customFormat="1" ht="24" customHeight="1" x14ac:dyDescent="0.2">
      <c r="A170" s="111" t="s">
        <v>1295</v>
      </c>
      <c r="B170" s="120"/>
      <c r="C170" s="120"/>
      <c r="D170" s="121"/>
      <c r="E170" s="122">
        <f>E171+E176+E181</f>
        <v>3175054512</v>
      </c>
      <c r="F170" s="418">
        <f t="shared" si="36"/>
        <v>1</v>
      </c>
      <c r="G170" s="122">
        <f>G171+G176+G181</f>
        <v>1108224927.79</v>
      </c>
      <c r="H170" s="230">
        <f t="shared" ref="H170:H180" si="53">G170/E170</f>
        <v>0.34904122861560494</v>
      </c>
      <c r="I170" s="122">
        <f>I171+I176+I181</f>
        <v>759933973.39999998</v>
      </c>
      <c r="J170" s="418">
        <f t="shared" ref="J170:J180" si="54">I170/G170</f>
        <v>0.68572178295560016</v>
      </c>
    </row>
    <row r="171" spans="1:10" s="74" customFormat="1" ht="24" customHeight="1" x14ac:dyDescent="0.2">
      <c r="A171" s="211">
        <v>1</v>
      </c>
      <c r="B171" s="212" t="s">
        <v>112</v>
      </c>
      <c r="C171" s="212"/>
      <c r="D171" s="212"/>
      <c r="E171" s="213">
        <f>E172+E174</f>
        <v>1597009971</v>
      </c>
      <c r="F171" s="426">
        <f t="shared" si="36"/>
        <v>1</v>
      </c>
      <c r="G171" s="213">
        <f>G172+G174</f>
        <v>426731559.54000002</v>
      </c>
      <c r="H171" s="230">
        <f t="shared" si="53"/>
        <v>0.26720657183673902</v>
      </c>
      <c r="I171" s="213">
        <f>I172+I174</f>
        <v>277840656.64999998</v>
      </c>
      <c r="J171" s="426">
        <f t="shared" si="54"/>
        <v>0.6510900130037286</v>
      </c>
    </row>
    <row r="172" spans="1:10" ht="24" customHeight="1" x14ac:dyDescent="0.2">
      <c r="A172" s="24"/>
      <c r="B172" s="110">
        <v>43</v>
      </c>
      <c r="C172" s="123" t="s">
        <v>141</v>
      </c>
      <c r="D172" s="112"/>
      <c r="E172" s="113">
        <f>E173</f>
        <v>798809971</v>
      </c>
      <c r="F172" s="418">
        <f t="shared" si="36"/>
        <v>1</v>
      </c>
      <c r="G172" s="113">
        <f>G173</f>
        <v>232544491.30000001</v>
      </c>
      <c r="H172" s="230">
        <f t="shared" si="53"/>
        <v>0.29111365624152935</v>
      </c>
      <c r="I172" s="113">
        <f>I173</f>
        <v>175812721.41</v>
      </c>
      <c r="J172" s="418">
        <f t="shared" si="54"/>
        <v>0.7560390720379967</v>
      </c>
    </row>
    <row r="173" spans="1:10" s="87" customFormat="1" ht="76.5" customHeight="1" x14ac:dyDescent="0.2">
      <c r="A173" s="93"/>
      <c r="B173" s="57"/>
      <c r="C173" s="22">
        <v>4301</v>
      </c>
      <c r="D173" s="50" t="s">
        <v>142</v>
      </c>
      <c r="E173" s="58">
        <f>'SGTO POAI 2022'!BF285</f>
        <v>798809971</v>
      </c>
      <c r="F173" s="427">
        <f t="shared" si="36"/>
        <v>1</v>
      </c>
      <c r="G173" s="58">
        <f>'SGTO POAI 2022'!BG285</f>
        <v>232544491.30000001</v>
      </c>
      <c r="H173" s="230">
        <f t="shared" si="53"/>
        <v>0.29111365624152935</v>
      </c>
      <c r="I173" s="58">
        <f>'SGTO POAI 2022'!BH285</f>
        <v>175812721.41</v>
      </c>
      <c r="J173" s="427">
        <f t="shared" si="54"/>
        <v>0.7560390720379967</v>
      </c>
    </row>
    <row r="174" spans="1:10" ht="24" customHeight="1" x14ac:dyDescent="0.2">
      <c r="A174" s="76"/>
      <c r="B174" s="110">
        <v>22</v>
      </c>
      <c r="C174" s="123" t="s">
        <v>124</v>
      </c>
      <c r="D174" s="112"/>
      <c r="E174" s="113">
        <f>E175</f>
        <v>798200000</v>
      </c>
      <c r="F174" s="418">
        <f t="shared" si="36"/>
        <v>1</v>
      </c>
      <c r="G174" s="113">
        <f>G175</f>
        <v>194187068.24000001</v>
      </c>
      <c r="H174" s="230">
        <f t="shared" si="53"/>
        <v>0.24328121804059133</v>
      </c>
      <c r="I174" s="113">
        <f>I175</f>
        <v>102027935.23999999</v>
      </c>
      <c r="J174" s="418">
        <f t="shared" si="54"/>
        <v>0.52541055470234221</v>
      </c>
    </row>
    <row r="175" spans="1:10" s="87" customFormat="1" ht="53.25" customHeight="1" x14ac:dyDescent="0.2">
      <c r="A175" s="94"/>
      <c r="B175" s="57"/>
      <c r="C175" s="22">
        <v>2201</v>
      </c>
      <c r="D175" s="50" t="s">
        <v>229</v>
      </c>
      <c r="E175" s="58">
        <f>'SGTO POAI 2022'!BF286</f>
        <v>798200000</v>
      </c>
      <c r="F175" s="427">
        <f t="shared" si="36"/>
        <v>1</v>
      </c>
      <c r="G175" s="58">
        <f>'SGTO POAI 2022'!BG286</f>
        <v>194187068.24000001</v>
      </c>
      <c r="H175" s="230">
        <f t="shared" si="53"/>
        <v>0.24328121804059133</v>
      </c>
      <c r="I175" s="58">
        <f>'SGTO POAI 2022'!BH286</f>
        <v>102027935.23999999</v>
      </c>
      <c r="J175" s="427">
        <f t="shared" si="54"/>
        <v>0.52541055470234221</v>
      </c>
    </row>
    <row r="176" spans="1:10" s="74" customFormat="1" ht="24" customHeight="1" x14ac:dyDescent="0.2">
      <c r="A176" s="211">
        <v>3</v>
      </c>
      <c r="B176" s="212" t="s">
        <v>150</v>
      </c>
      <c r="C176" s="212"/>
      <c r="D176" s="212"/>
      <c r="E176" s="213">
        <f>E177+E179</f>
        <v>1528044541</v>
      </c>
      <c r="F176" s="426">
        <f t="shared" si="36"/>
        <v>1</v>
      </c>
      <c r="G176" s="213">
        <f>G177+G179</f>
        <v>678048368.25</v>
      </c>
      <c r="H176" s="230">
        <f t="shared" si="53"/>
        <v>0.44373599725454599</v>
      </c>
      <c r="I176" s="213">
        <f>I177+I179</f>
        <v>482093316.75</v>
      </c>
      <c r="J176" s="426">
        <f t="shared" si="54"/>
        <v>0.71100136704738692</v>
      </c>
    </row>
    <row r="177" spans="1:10" ht="24" customHeight="1" x14ac:dyDescent="0.2">
      <c r="A177" s="24"/>
      <c r="B177" s="110">
        <v>24</v>
      </c>
      <c r="C177" s="123" t="s">
        <v>151</v>
      </c>
      <c r="D177" s="112"/>
      <c r="E177" s="113">
        <f>E178</f>
        <v>325000000</v>
      </c>
      <c r="F177" s="418">
        <f t="shared" si="36"/>
        <v>1</v>
      </c>
      <c r="G177" s="113">
        <f>G178</f>
        <v>318894006.02999997</v>
      </c>
      <c r="H177" s="230">
        <f t="shared" si="53"/>
        <v>0.98121232624615373</v>
      </c>
      <c r="I177" s="113">
        <f>I178</f>
        <v>225173923.61000001</v>
      </c>
      <c r="J177" s="418">
        <f t="shared" si="54"/>
        <v>0.7061089871623889</v>
      </c>
    </row>
    <row r="178" spans="1:10" s="74" customFormat="1" ht="42" customHeight="1" x14ac:dyDescent="0.2">
      <c r="A178" s="95"/>
      <c r="B178" s="96"/>
      <c r="C178" s="22">
        <v>2402</v>
      </c>
      <c r="D178" s="51" t="s">
        <v>152</v>
      </c>
      <c r="E178" s="97">
        <f>'SGTO POAI 2022'!BF287</f>
        <v>325000000</v>
      </c>
      <c r="F178" s="434">
        <f t="shared" ref="F178:F180" si="55">E178/E178</f>
        <v>1</v>
      </c>
      <c r="G178" s="97">
        <f>'SGTO POAI 2022'!BG287</f>
        <v>318894006.02999997</v>
      </c>
      <c r="H178" s="230">
        <f t="shared" si="53"/>
        <v>0.98121232624615373</v>
      </c>
      <c r="I178" s="97">
        <f>'SGTO POAI 2022'!BH287</f>
        <v>225173923.61000001</v>
      </c>
      <c r="J178" s="427">
        <f t="shared" si="54"/>
        <v>0.7061089871623889</v>
      </c>
    </row>
    <row r="179" spans="1:10" ht="24" customHeight="1" x14ac:dyDescent="0.2">
      <c r="A179" s="76"/>
      <c r="B179" s="110">
        <v>40</v>
      </c>
      <c r="C179" s="123" t="s">
        <v>182</v>
      </c>
      <c r="D179" s="112"/>
      <c r="E179" s="113">
        <f>E180</f>
        <v>1203044541</v>
      </c>
      <c r="F179" s="418">
        <f t="shared" si="55"/>
        <v>1</v>
      </c>
      <c r="G179" s="113">
        <f>G180</f>
        <v>359154362.22000003</v>
      </c>
      <c r="H179" s="230">
        <f t="shared" si="53"/>
        <v>0.29853787617993111</v>
      </c>
      <c r="I179" s="113">
        <f>I180</f>
        <v>256919393.13999999</v>
      </c>
      <c r="J179" s="418">
        <f t="shared" si="54"/>
        <v>0.71534532269616147</v>
      </c>
    </row>
    <row r="180" spans="1:10" s="74" customFormat="1" ht="44.25" customHeight="1" x14ac:dyDescent="0.2">
      <c r="A180" s="98"/>
      <c r="B180" s="96"/>
      <c r="C180" s="22">
        <v>4001</v>
      </c>
      <c r="D180" s="99" t="s">
        <v>183</v>
      </c>
      <c r="E180" s="97">
        <f>'SGTO POAI 2022'!BF288+'SGTO POAI 2022'!BF289+'SGTO POAI 2022'!BF290+'SGTO POAI 2022'!BF291+'SGTO POAI 2022'!BF292+'SGTO POAI 2022'!BF293+'SGTO POAI 2022'!BF294</f>
        <v>1203044541</v>
      </c>
      <c r="F180" s="434">
        <f t="shared" si="55"/>
        <v>1</v>
      </c>
      <c r="G180" s="97">
        <f>'SGTO POAI 2022'!BG288+'SGTO POAI 2022'!BG289+'SGTO POAI 2022'!BG290+'SGTO POAI 2022'!BG291+'SGTO POAI 2022'!BG292+'SGTO POAI 2022'!BG293+'SGTO POAI 2022'!BG294</f>
        <v>359154362.22000003</v>
      </c>
      <c r="H180" s="230">
        <f t="shared" si="53"/>
        <v>0.29853787617993111</v>
      </c>
      <c r="I180" s="97">
        <f>'SGTO POAI 2022'!BH288+'SGTO POAI 2022'!BH289+'SGTO POAI 2022'!BH290+'SGTO POAI 2022'!BH291+'SGTO POAI 2022'!BH292+'SGTO POAI 2022'!BH293+'SGTO POAI 2022'!BH294</f>
        <v>256919393.13999999</v>
      </c>
      <c r="J180" s="427">
        <f t="shared" si="54"/>
        <v>0.71534532269616147</v>
      </c>
    </row>
    <row r="181" spans="1:10" s="4" customFormat="1" ht="24" customHeight="1" x14ac:dyDescent="0.25">
      <c r="A181" s="211">
        <v>4</v>
      </c>
      <c r="B181" s="212" t="s">
        <v>27</v>
      </c>
      <c r="C181" s="212"/>
      <c r="D181" s="212"/>
      <c r="E181" s="213">
        <f>E182</f>
        <v>50000000</v>
      </c>
      <c r="F181" s="426">
        <f>E181/E181</f>
        <v>1</v>
      </c>
      <c r="G181" s="213">
        <f>G182</f>
        <v>3445000</v>
      </c>
      <c r="H181" s="230">
        <f>G181/E181</f>
        <v>6.8900000000000003E-2</v>
      </c>
      <c r="I181" s="213">
        <f>I182</f>
        <v>0</v>
      </c>
      <c r="J181" s="426">
        <f>I181/G181</f>
        <v>0</v>
      </c>
    </row>
    <row r="182" spans="1:10" s="118" customFormat="1" ht="24" customHeight="1" x14ac:dyDescent="0.2">
      <c r="A182" s="24"/>
      <c r="B182" s="110">
        <v>45</v>
      </c>
      <c r="C182" s="123" t="s">
        <v>28</v>
      </c>
      <c r="D182" s="112"/>
      <c r="E182" s="113">
        <f>E183</f>
        <v>50000000</v>
      </c>
      <c r="F182" s="418">
        <f>E182/E182</f>
        <v>1</v>
      </c>
      <c r="G182" s="113">
        <f>G183</f>
        <v>3445000</v>
      </c>
      <c r="H182" s="230">
        <f>G182/E182</f>
        <v>6.8900000000000003E-2</v>
      </c>
      <c r="I182" s="113">
        <f>I183</f>
        <v>0</v>
      </c>
      <c r="J182" s="418">
        <f>I182/G182</f>
        <v>0</v>
      </c>
    </row>
    <row r="183" spans="1:10" s="34" customFormat="1" ht="99.75" customHeight="1" x14ac:dyDescent="0.25">
      <c r="A183" s="68"/>
      <c r="B183" s="47"/>
      <c r="C183" s="25">
        <v>4599</v>
      </c>
      <c r="D183" s="124" t="s">
        <v>29</v>
      </c>
      <c r="E183" s="58">
        <f>'SGTO POAI 2022'!BF295</f>
        <v>50000000</v>
      </c>
      <c r="F183" s="427">
        <f>E183/E183</f>
        <v>1</v>
      </c>
      <c r="G183" s="58">
        <f>'SGTO POAI 2022'!BG295</f>
        <v>3445000</v>
      </c>
      <c r="H183" s="230">
        <f>G183/E183</f>
        <v>6.8900000000000003E-2</v>
      </c>
      <c r="I183" s="58">
        <f>'SGTO POAI 2022'!BH295</f>
        <v>0</v>
      </c>
      <c r="J183" s="427">
        <f>I183/G183</f>
        <v>0</v>
      </c>
    </row>
    <row r="184" spans="1:10" s="74" customFormat="1" ht="18.75" customHeight="1" x14ac:dyDescent="0.2">
      <c r="A184" s="70"/>
      <c r="B184" s="70"/>
      <c r="C184" s="70"/>
      <c r="D184" s="71"/>
      <c r="E184" s="73"/>
      <c r="F184" s="420"/>
      <c r="G184" s="73"/>
      <c r="I184" s="73"/>
      <c r="J184" s="420"/>
    </row>
    <row r="185" spans="1:10" ht="24" customHeight="1" x14ac:dyDescent="0.2">
      <c r="A185" s="111" t="s">
        <v>1107</v>
      </c>
      <c r="B185" s="120"/>
      <c r="C185" s="120"/>
      <c r="D185" s="121"/>
      <c r="E185" s="122">
        <f>E186</f>
        <v>113516300</v>
      </c>
      <c r="F185" s="418">
        <f t="shared" ref="F185:F188" si="56">E185/E185</f>
        <v>1</v>
      </c>
      <c r="G185" s="122">
        <f t="shared" ref="G185:I187" si="57">G186</f>
        <v>79300000</v>
      </c>
      <c r="H185" s="230">
        <f>G185/E185</f>
        <v>0.69857808966641799</v>
      </c>
      <c r="I185" s="122">
        <f t="shared" si="57"/>
        <v>3750000</v>
      </c>
      <c r="J185" s="418">
        <f>I185/G185</f>
        <v>4.728877679697352E-2</v>
      </c>
    </row>
    <row r="186" spans="1:10" ht="24" customHeight="1" x14ac:dyDescent="0.2">
      <c r="A186" s="211">
        <v>3</v>
      </c>
      <c r="B186" s="212" t="s">
        <v>150</v>
      </c>
      <c r="C186" s="212"/>
      <c r="D186" s="212"/>
      <c r="E186" s="213">
        <f>E187</f>
        <v>113516300</v>
      </c>
      <c r="F186" s="426">
        <f t="shared" si="56"/>
        <v>1</v>
      </c>
      <c r="G186" s="213">
        <f t="shared" si="57"/>
        <v>79300000</v>
      </c>
      <c r="H186" s="230">
        <f>G186/E186</f>
        <v>0.69857808966641799</v>
      </c>
      <c r="I186" s="213">
        <f t="shared" si="57"/>
        <v>3750000</v>
      </c>
      <c r="J186" s="426">
        <f>I186/G186</f>
        <v>4.728877679697352E-2</v>
      </c>
    </row>
    <row r="187" spans="1:10" ht="24" customHeight="1" x14ac:dyDescent="0.2">
      <c r="A187" s="24"/>
      <c r="B187" s="110">
        <v>24</v>
      </c>
      <c r="C187" s="123" t="s">
        <v>151</v>
      </c>
      <c r="D187" s="112"/>
      <c r="E187" s="113">
        <f>E188</f>
        <v>113516300</v>
      </c>
      <c r="F187" s="418">
        <f t="shared" si="56"/>
        <v>1</v>
      </c>
      <c r="G187" s="113">
        <f t="shared" si="57"/>
        <v>79300000</v>
      </c>
      <c r="H187" s="230">
        <f>G187/E187</f>
        <v>0.69857808966641799</v>
      </c>
      <c r="I187" s="113">
        <f t="shared" si="57"/>
        <v>3750000</v>
      </c>
      <c r="J187" s="418">
        <f>I187/G187</f>
        <v>4.728877679697352E-2</v>
      </c>
    </row>
    <row r="188" spans="1:10" s="16" customFormat="1" ht="54" customHeight="1" x14ac:dyDescent="0.2">
      <c r="A188" s="68"/>
      <c r="B188" s="47"/>
      <c r="C188" s="22">
        <v>2409</v>
      </c>
      <c r="D188" s="50" t="s">
        <v>1108</v>
      </c>
      <c r="E188" s="58">
        <f>'SGTO POAI 2022'!BF296+'SGTO POAI 2022'!BF297+'SGTO POAI 2022'!BF298+'SGTO POAI 2022'!BF299</f>
        <v>113516300</v>
      </c>
      <c r="F188" s="427">
        <f t="shared" si="56"/>
        <v>1</v>
      </c>
      <c r="G188" s="58">
        <f>'SGTO POAI 2022'!BG296+'SGTO POAI 2022'!BG297+'SGTO POAI 2022'!BG298+'SGTO POAI 2022'!BG299</f>
        <v>79300000</v>
      </c>
      <c r="H188" s="230">
        <f>G188/E188</f>
        <v>0.69857808966641799</v>
      </c>
      <c r="I188" s="58">
        <f>'SGTO POAI 2022'!BH296+'SGTO POAI 2022'!BH297+'SGTO POAI 2022'!BH298+'SGTO POAI 2022'!BH299</f>
        <v>3750000</v>
      </c>
      <c r="J188" s="427">
        <f>I188/G188</f>
        <v>4.728877679697352E-2</v>
      </c>
    </row>
    <row r="189" spans="1:10" s="74" customFormat="1" ht="23.25" customHeight="1" x14ac:dyDescent="0.2">
      <c r="A189" s="7"/>
      <c r="B189" s="7"/>
      <c r="C189" s="7"/>
      <c r="D189" s="8"/>
      <c r="E189" s="100"/>
      <c r="F189" s="423"/>
      <c r="G189" s="100"/>
      <c r="I189" s="100"/>
      <c r="J189" s="423"/>
    </row>
    <row r="190" spans="1:10" s="101" customFormat="1" ht="30" customHeight="1" x14ac:dyDescent="0.25">
      <c r="A190" s="162" t="s">
        <v>1276</v>
      </c>
      <c r="B190" s="162"/>
      <c r="C190" s="162"/>
      <c r="D190" s="162"/>
      <c r="E190" s="163">
        <f>E185+E170+E164</f>
        <v>10033429290.130001</v>
      </c>
      <c r="F190" s="426">
        <f t="shared" ref="F190" si="58">E190/E190</f>
        <v>1</v>
      </c>
      <c r="G190" s="450">
        <f>G185+G170+G164</f>
        <v>5727236137.9200001</v>
      </c>
      <c r="H190" s="230">
        <f>G190/E190</f>
        <v>0.57081541836886696</v>
      </c>
      <c r="I190" s="451">
        <f>I185+I170+I164</f>
        <v>3764447727.5300002</v>
      </c>
      <c r="J190" s="426">
        <f>I190/G190</f>
        <v>0.65728872302044816</v>
      </c>
    </row>
    <row r="191" spans="1:10" s="101" customFormat="1" ht="16.5" thickBot="1" x14ac:dyDescent="0.3">
      <c r="A191" s="102"/>
      <c r="B191" s="102"/>
      <c r="C191" s="102"/>
      <c r="D191" s="103"/>
      <c r="E191" s="104"/>
      <c r="F191" s="424"/>
      <c r="G191" s="104"/>
      <c r="I191" s="104"/>
      <c r="J191" s="424"/>
    </row>
    <row r="192" spans="1:10" s="101" customFormat="1" ht="30" customHeight="1" thickBot="1" x14ac:dyDescent="0.3">
      <c r="A192" s="158" t="s">
        <v>1124</v>
      </c>
      <c r="B192" s="159"/>
      <c r="C192" s="159"/>
      <c r="D192" s="160"/>
      <c r="E192" s="161">
        <f>E162+E190</f>
        <v>358380943965.87</v>
      </c>
      <c r="F192" s="425">
        <v>1</v>
      </c>
      <c r="G192" s="161">
        <f>G162+G190</f>
        <v>243434804509.23001</v>
      </c>
      <c r="H192" s="448">
        <f>G192/E192</f>
        <v>0.67926269130094497</v>
      </c>
      <c r="I192" s="161">
        <f>I162+I190</f>
        <v>199743346849.69</v>
      </c>
      <c r="J192" s="425">
        <f>I192/G192</f>
        <v>0.82052090806151179</v>
      </c>
    </row>
    <row r="194" spans="5:9" ht="28.5" customHeight="1" x14ac:dyDescent="0.2"/>
    <row r="196" spans="5:9" ht="15.75" thickBot="1" x14ac:dyDescent="0.25">
      <c r="G196" s="8"/>
      <c r="I196" s="8"/>
    </row>
    <row r="197" spans="5:9" ht="15.75" customHeight="1" x14ac:dyDescent="0.2">
      <c r="E197" s="600" t="s">
        <v>1497</v>
      </c>
      <c r="F197" s="601"/>
    </row>
    <row r="198" spans="5:9" ht="15" customHeight="1" x14ac:dyDescent="0.2">
      <c r="E198" s="602" t="s">
        <v>1449</v>
      </c>
      <c r="F198" s="603"/>
    </row>
    <row r="199" spans="5:9" ht="15" customHeight="1" x14ac:dyDescent="0.2">
      <c r="E199" s="604" t="s">
        <v>1451</v>
      </c>
      <c r="F199" s="605"/>
    </row>
    <row r="200" spans="5:9" x14ac:dyDescent="0.2">
      <c r="E200" s="585" t="s">
        <v>1453</v>
      </c>
      <c r="F200" s="586"/>
    </row>
    <row r="201" spans="5:9" x14ac:dyDescent="0.2">
      <c r="E201" s="587" t="s">
        <v>1455</v>
      </c>
      <c r="F201" s="588"/>
    </row>
    <row r="202" spans="5:9" ht="15.75" thickBot="1" x14ac:dyDescent="0.25">
      <c r="E202" s="589" t="s">
        <v>1456</v>
      </c>
      <c r="F202" s="590"/>
    </row>
  </sheetData>
  <mergeCells count="8">
    <mergeCell ref="E200:F200"/>
    <mergeCell ref="E201:F201"/>
    <mergeCell ref="E202:F202"/>
    <mergeCell ref="A1:J4"/>
    <mergeCell ref="C5:D5"/>
    <mergeCell ref="E197:F197"/>
    <mergeCell ref="E198:F198"/>
    <mergeCell ref="E199:F199"/>
  </mergeCells>
  <conditionalFormatting sqref="H6">
    <cfRule type="cellIs" dxfId="404" priority="96" operator="between">
      <formula>0</formula>
      <formula>0.3999</formula>
    </cfRule>
    <cfRule type="cellIs" dxfId="403" priority="97" operator="between">
      <formula>0.4</formula>
      <formula>0.59</formula>
    </cfRule>
    <cfRule type="cellIs" dxfId="402" priority="98" operator="between">
      <formula>0.6</formula>
      <formula>0.69</formula>
    </cfRule>
    <cfRule type="cellIs" dxfId="401" priority="99" operator="between">
      <formula>0.7</formula>
      <formula>0.79</formula>
    </cfRule>
    <cfRule type="cellIs" dxfId="400" priority="100" operator="between">
      <formula>0.8</formula>
      <formula>1</formula>
    </cfRule>
  </conditionalFormatting>
  <conditionalFormatting sqref="H7">
    <cfRule type="cellIs" dxfId="399" priority="91" operator="between">
      <formula>0</formula>
      <formula>0.3999</formula>
    </cfRule>
    <cfRule type="cellIs" dxfId="398" priority="92" operator="between">
      <formula>0.4</formula>
      <formula>0.59</formula>
    </cfRule>
    <cfRule type="cellIs" dxfId="397" priority="93" operator="between">
      <formula>0.6</formula>
      <formula>0.69</formula>
    </cfRule>
    <cfRule type="cellIs" dxfId="396" priority="94" operator="between">
      <formula>0.7</formula>
      <formula>0.79</formula>
    </cfRule>
    <cfRule type="cellIs" dxfId="395" priority="95" operator="between">
      <formula>0.8</formula>
      <formula>1</formula>
    </cfRule>
  </conditionalFormatting>
  <conditionalFormatting sqref="H8:H10">
    <cfRule type="cellIs" dxfId="394" priority="86" operator="between">
      <formula>0</formula>
      <formula>0.3999</formula>
    </cfRule>
    <cfRule type="cellIs" dxfId="393" priority="87" operator="between">
      <formula>0.4</formula>
      <formula>0.59</formula>
    </cfRule>
    <cfRule type="cellIs" dxfId="392" priority="88" operator="between">
      <formula>0.6</formula>
      <formula>0.69</formula>
    </cfRule>
    <cfRule type="cellIs" dxfId="391" priority="89" operator="between">
      <formula>0.695</formula>
      <formula>0.79</formula>
    </cfRule>
    <cfRule type="cellIs" dxfId="390" priority="90" operator="between">
      <formula>0.8</formula>
      <formula>1</formula>
    </cfRule>
  </conditionalFormatting>
  <conditionalFormatting sqref="H12:H16">
    <cfRule type="cellIs" dxfId="389" priority="81" operator="between">
      <formula>0</formula>
      <formula>0.3999</formula>
    </cfRule>
    <cfRule type="cellIs" dxfId="388" priority="82" operator="between">
      <formula>0.4</formula>
      <formula>0.59</formula>
    </cfRule>
    <cfRule type="cellIs" dxfId="387" priority="83" operator="between">
      <formula>0.6</formula>
      <formula>0.69</formula>
    </cfRule>
    <cfRule type="cellIs" dxfId="386" priority="84" operator="between">
      <formula>0.7</formula>
      <formula>0.79</formula>
    </cfRule>
    <cfRule type="cellIs" dxfId="385" priority="85" operator="between">
      <formula>0.795</formula>
      <formula>1</formula>
    </cfRule>
  </conditionalFormatting>
  <conditionalFormatting sqref="H18:H21">
    <cfRule type="cellIs" dxfId="384" priority="76" operator="between">
      <formula>0</formula>
      <formula>0.3999</formula>
    </cfRule>
    <cfRule type="cellIs" dxfId="383" priority="77" operator="between">
      <formula>0.4</formula>
      <formula>0.59</formula>
    </cfRule>
    <cfRule type="cellIs" dxfId="382" priority="78" operator="between">
      <formula>0.6</formula>
      <formula>0.69</formula>
    </cfRule>
    <cfRule type="cellIs" dxfId="381" priority="79" operator="between">
      <formula>0.7</formula>
      <formula>0.79</formula>
    </cfRule>
    <cfRule type="cellIs" dxfId="380" priority="80" operator="between">
      <formula>0.8</formula>
      <formula>1</formula>
    </cfRule>
  </conditionalFormatting>
  <conditionalFormatting sqref="H23:H51">
    <cfRule type="cellIs" dxfId="379" priority="71" operator="between">
      <formula>0</formula>
      <formula>0.3999</formula>
    </cfRule>
    <cfRule type="cellIs" dxfId="378" priority="72" operator="between">
      <formula>0.4</formula>
      <formula>0.59</formula>
    </cfRule>
    <cfRule type="cellIs" dxfId="377" priority="73" operator="between">
      <formula>0.6</formula>
      <formula>0.69</formula>
    </cfRule>
    <cfRule type="cellIs" dxfId="376" priority="74" operator="between">
      <formula>0.7</formula>
      <formula>0.79</formula>
    </cfRule>
    <cfRule type="cellIs" dxfId="375" priority="75" operator="between">
      <formula>0.8</formula>
      <formula>1</formula>
    </cfRule>
  </conditionalFormatting>
  <conditionalFormatting sqref="H53:H73">
    <cfRule type="cellIs" dxfId="374" priority="66" operator="between">
      <formula>0</formula>
      <formula>0.3999</formula>
    </cfRule>
    <cfRule type="cellIs" dxfId="373" priority="67" operator="between">
      <formula>0.4</formula>
      <formula>0.59</formula>
    </cfRule>
    <cfRule type="cellIs" dxfId="372" priority="68" operator="between">
      <formula>0.6</formula>
      <formula>0.69</formula>
    </cfRule>
    <cfRule type="cellIs" dxfId="371" priority="69" operator="between">
      <formula>0.7</formula>
      <formula>0.79</formula>
    </cfRule>
    <cfRule type="cellIs" dxfId="370" priority="70" operator="between">
      <formula>0.8</formula>
      <formula>1</formula>
    </cfRule>
  </conditionalFormatting>
  <conditionalFormatting sqref="H75:H79">
    <cfRule type="cellIs" dxfId="369" priority="61" operator="between">
      <formula>0</formula>
      <formula>0.3999</formula>
    </cfRule>
    <cfRule type="cellIs" dxfId="368" priority="62" operator="between">
      <formula>0.4</formula>
      <formula>0.59</formula>
    </cfRule>
    <cfRule type="cellIs" dxfId="367" priority="63" operator="between">
      <formula>0.6</formula>
      <formula>0.69</formula>
    </cfRule>
    <cfRule type="cellIs" dxfId="366" priority="64" operator="between">
      <formula>0.7</formula>
      <formula>0.79</formula>
    </cfRule>
    <cfRule type="cellIs" dxfId="365" priority="65" operator="between">
      <formula>0.795</formula>
      <formula>1</formula>
    </cfRule>
  </conditionalFormatting>
  <conditionalFormatting sqref="H81:H86">
    <cfRule type="cellIs" dxfId="364" priority="56" operator="between">
      <formula>0</formula>
      <formula>0.3999</formula>
    </cfRule>
    <cfRule type="cellIs" dxfId="363" priority="57" operator="between">
      <formula>0.4</formula>
      <formula>0.59</formula>
    </cfRule>
    <cfRule type="cellIs" dxfId="362" priority="58" operator="between">
      <formula>0.6</formula>
      <formula>0.69</formula>
    </cfRule>
    <cfRule type="cellIs" dxfId="361" priority="59" operator="between">
      <formula>0.7</formula>
      <formula>0.79</formula>
    </cfRule>
    <cfRule type="cellIs" dxfId="360" priority="60" operator="between">
      <formula>0.8</formula>
      <formula>1</formula>
    </cfRule>
  </conditionalFormatting>
  <conditionalFormatting sqref="H88:H106">
    <cfRule type="cellIs" dxfId="359" priority="51" operator="between">
      <formula>0</formula>
      <formula>0.3999</formula>
    </cfRule>
    <cfRule type="cellIs" dxfId="358" priority="52" operator="between">
      <formula>0.4</formula>
      <formula>0.59</formula>
    </cfRule>
    <cfRule type="cellIs" dxfId="357" priority="53" operator="between">
      <formula>0.6</formula>
      <formula>0.69</formula>
    </cfRule>
    <cfRule type="cellIs" dxfId="356" priority="54" operator="between">
      <formula>0.7</formula>
      <formula>0.79</formula>
    </cfRule>
    <cfRule type="cellIs" dxfId="355" priority="55" operator="between">
      <formula>0.8</formula>
      <formula>1</formula>
    </cfRule>
  </conditionalFormatting>
  <conditionalFormatting sqref="H108:H112 H114:H121 H123:H140">
    <cfRule type="cellIs" dxfId="354" priority="46" operator="between">
      <formula>0</formula>
      <formula>0.3999</formula>
    </cfRule>
    <cfRule type="cellIs" dxfId="353" priority="47" operator="between">
      <formula>0.4</formula>
      <formula>0.59</formula>
    </cfRule>
    <cfRule type="cellIs" dxfId="352" priority="48" operator="between">
      <formula>0.6</formula>
      <formula>0.69</formula>
    </cfRule>
    <cfRule type="cellIs" dxfId="351" priority="49" operator="between">
      <formula>0.695</formula>
      <formula>0.79</formula>
    </cfRule>
    <cfRule type="cellIs" dxfId="350" priority="50" operator="between">
      <formula>0.8</formula>
      <formula>1</formula>
    </cfRule>
  </conditionalFormatting>
  <conditionalFormatting sqref="H142:H147">
    <cfRule type="cellIs" dxfId="349" priority="41" operator="between">
      <formula>0</formula>
      <formula>0.3999</formula>
    </cfRule>
    <cfRule type="cellIs" dxfId="348" priority="42" operator="between">
      <formula>0.4</formula>
      <formula>0.59</formula>
    </cfRule>
    <cfRule type="cellIs" dxfId="347" priority="43" operator="between">
      <formula>0.6</formula>
      <formula>0.69</formula>
    </cfRule>
    <cfRule type="cellIs" dxfId="346" priority="44" operator="between">
      <formula>0.695</formula>
      <formula>0.7949</formula>
    </cfRule>
    <cfRule type="cellIs" dxfId="345" priority="45" operator="between">
      <formula>0.8</formula>
      <formula>1</formula>
    </cfRule>
  </conditionalFormatting>
  <conditionalFormatting sqref="H149:H160">
    <cfRule type="cellIs" dxfId="344" priority="36" operator="between">
      <formula>0</formula>
      <formula>0.3999</formula>
    </cfRule>
    <cfRule type="cellIs" dxfId="343" priority="37" operator="between">
      <formula>0.4</formula>
      <formula>0.59</formula>
    </cfRule>
    <cfRule type="cellIs" dxfId="342" priority="38" operator="between">
      <formula>0.6</formula>
      <formula>0.69</formula>
    </cfRule>
    <cfRule type="cellIs" dxfId="341" priority="39" operator="between">
      <formula>0.7</formula>
      <formula>0.79</formula>
    </cfRule>
    <cfRule type="cellIs" dxfId="340" priority="40" operator="between">
      <formula>0.8</formula>
      <formula>1</formula>
    </cfRule>
  </conditionalFormatting>
  <conditionalFormatting sqref="H162">
    <cfRule type="cellIs" dxfId="339" priority="31" operator="between">
      <formula>0</formula>
      <formula>0.3999</formula>
    </cfRule>
    <cfRule type="cellIs" dxfId="338" priority="32" operator="between">
      <formula>0.4</formula>
      <formula>0.59</formula>
    </cfRule>
    <cfRule type="cellIs" dxfId="337" priority="33" operator="between">
      <formula>0.6</formula>
      <formula>0.69</formula>
    </cfRule>
    <cfRule type="cellIs" dxfId="336" priority="34" operator="between">
      <formula>0.7</formula>
      <formula>0.79</formula>
    </cfRule>
    <cfRule type="cellIs" dxfId="335" priority="35" operator="between">
      <formula>0.8</formula>
      <formula>1</formula>
    </cfRule>
  </conditionalFormatting>
  <conditionalFormatting sqref="H164:H168">
    <cfRule type="cellIs" dxfId="334" priority="26" operator="between">
      <formula>0</formula>
      <formula>0.3999</formula>
    </cfRule>
    <cfRule type="cellIs" dxfId="333" priority="27" operator="between">
      <formula>0.4</formula>
      <formula>0.59</formula>
    </cfRule>
    <cfRule type="cellIs" dxfId="332" priority="28" operator="between">
      <formula>0.6</formula>
      <formula>0.69</formula>
    </cfRule>
    <cfRule type="cellIs" dxfId="331" priority="29" operator="between">
      <formula>0.7</formula>
      <formula>0.79</formula>
    </cfRule>
    <cfRule type="cellIs" dxfId="330" priority="30" operator="between">
      <formula>0.8</formula>
      <formula>1</formula>
    </cfRule>
  </conditionalFormatting>
  <conditionalFormatting sqref="H170:H180">
    <cfRule type="cellIs" dxfId="329" priority="21" operator="between">
      <formula>0</formula>
      <formula>0.3999</formula>
    </cfRule>
    <cfRule type="cellIs" dxfId="328" priority="22" operator="between">
      <formula>0.4</formula>
      <formula>0.59</formula>
    </cfRule>
    <cfRule type="cellIs" dxfId="327" priority="23" operator="between">
      <formula>0.6</formula>
      <formula>0.69</formula>
    </cfRule>
    <cfRule type="cellIs" dxfId="326" priority="24" operator="between">
      <formula>0.7</formula>
      <formula>0.79</formula>
    </cfRule>
    <cfRule type="cellIs" dxfId="325" priority="25" operator="between">
      <formula>0.8</formula>
      <formula>1</formula>
    </cfRule>
  </conditionalFormatting>
  <conditionalFormatting sqref="H185:H188">
    <cfRule type="cellIs" dxfId="324" priority="16" operator="between">
      <formula>0</formula>
      <formula>0.3999</formula>
    </cfRule>
    <cfRule type="cellIs" dxfId="323" priority="17" operator="between">
      <formula>0.4</formula>
      <formula>0.59</formula>
    </cfRule>
    <cfRule type="cellIs" dxfId="322" priority="18" operator="between">
      <formula>0.6</formula>
      <formula>0.69</formula>
    </cfRule>
    <cfRule type="cellIs" dxfId="321" priority="19" operator="between">
      <formula>0.695</formula>
      <formula>0.7949</formula>
    </cfRule>
    <cfRule type="cellIs" dxfId="320" priority="20" operator="between">
      <formula>0.8</formula>
      <formula>1</formula>
    </cfRule>
  </conditionalFormatting>
  <conditionalFormatting sqref="H190">
    <cfRule type="cellIs" dxfId="319" priority="11" operator="between">
      <formula>0</formula>
      <formula>0.3999</formula>
    </cfRule>
    <cfRule type="cellIs" dxfId="318" priority="12" operator="between">
      <formula>0.4</formula>
      <formula>0.59</formula>
    </cfRule>
    <cfRule type="cellIs" dxfId="317" priority="13" operator="between">
      <formula>0.6</formula>
      <formula>0.69</formula>
    </cfRule>
    <cfRule type="cellIs" dxfId="316" priority="14" operator="between">
      <formula>0.7</formula>
      <formula>0.79</formula>
    </cfRule>
    <cfRule type="cellIs" dxfId="315" priority="15" operator="between">
      <formula>0.8</formula>
      <formula>1</formula>
    </cfRule>
  </conditionalFormatting>
  <conditionalFormatting sqref="H192">
    <cfRule type="cellIs" dxfId="314" priority="6" operator="between">
      <formula>0</formula>
      <formula>0.3999</formula>
    </cfRule>
    <cfRule type="cellIs" dxfId="313" priority="7" operator="between">
      <formula>0.4</formula>
      <formula>0.59</formula>
    </cfRule>
    <cfRule type="cellIs" dxfId="312" priority="8" operator="between">
      <formula>0.6</formula>
      <formula>0.69</formula>
    </cfRule>
    <cfRule type="cellIs" dxfId="311" priority="9" operator="between">
      <formula>0.7</formula>
      <formula>0.79</formula>
    </cfRule>
    <cfRule type="cellIs" dxfId="310" priority="10" operator="between">
      <formula>0.8</formula>
      <formula>1</formula>
    </cfRule>
  </conditionalFormatting>
  <conditionalFormatting sqref="H181:H183">
    <cfRule type="cellIs" dxfId="309" priority="1" operator="between">
      <formula>0</formula>
      <formula>0.3999</formula>
    </cfRule>
    <cfRule type="cellIs" dxfId="308" priority="2" operator="between">
      <formula>0.4</formula>
      <formula>0.59</formula>
    </cfRule>
    <cfRule type="cellIs" dxfId="307" priority="3" operator="between">
      <formula>0.6</formula>
      <formula>0.69</formula>
    </cfRule>
    <cfRule type="cellIs" dxfId="306" priority="4" operator="between">
      <formula>0.7</formula>
      <formula>0.79</formula>
    </cfRule>
    <cfRule type="cellIs" dxfId="305" priority="5" operator="between">
      <formula>0.8</formula>
      <formula>1</formula>
    </cfRule>
  </conditionalFormatting>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H91"/>
  <sheetViews>
    <sheetView showGridLines="0" topLeftCell="A25" zoomScale="60" zoomScaleNormal="60" workbookViewId="0">
      <selection activeCell="A41" sqref="A41"/>
    </sheetView>
  </sheetViews>
  <sheetFormatPr baseColWidth="10" defaultColWidth="11.42578125" defaultRowHeight="15" x14ac:dyDescent="0.2"/>
  <cols>
    <col min="1" max="1" width="15.28515625" style="7" customWidth="1"/>
    <col min="2" max="2" width="49" style="8" customWidth="1"/>
    <col min="3" max="3" width="34.42578125" style="8" customWidth="1"/>
    <col min="4" max="4" width="19.42578125" style="8" customWidth="1"/>
    <col min="5" max="5" width="31.42578125" style="2" customWidth="1"/>
    <col min="6" max="6" width="20.42578125" style="118" customWidth="1"/>
    <col min="7" max="7" width="33.42578125" style="2" customWidth="1"/>
    <col min="8" max="8" width="22" style="201" customWidth="1"/>
    <col min="9" max="10" width="27.7109375" style="118" bestFit="1" customWidth="1"/>
    <col min="11" max="11" width="27.28515625" style="118" bestFit="1" customWidth="1"/>
    <col min="12" max="16384" width="11.42578125" style="118"/>
  </cols>
  <sheetData>
    <row r="1" spans="1:8" ht="21" customHeight="1" x14ac:dyDescent="0.2">
      <c r="A1" s="591" t="s">
        <v>1492</v>
      </c>
      <c r="B1" s="592"/>
      <c r="C1" s="592"/>
      <c r="D1" s="592"/>
      <c r="E1" s="592"/>
      <c r="F1" s="592"/>
      <c r="G1" s="592"/>
      <c r="H1" s="593"/>
    </row>
    <row r="2" spans="1:8" ht="21" customHeight="1" x14ac:dyDescent="0.2">
      <c r="A2" s="594"/>
      <c r="B2" s="595"/>
      <c r="C2" s="595"/>
      <c r="D2" s="595"/>
      <c r="E2" s="595"/>
      <c r="F2" s="595"/>
      <c r="G2" s="595"/>
      <c r="H2" s="596"/>
    </row>
    <row r="3" spans="1:8" ht="21" customHeight="1" x14ac:dyDescent="0.2">
      <c r="A3" s="594"/>
      <c r="B3" s="595"/>
      <c r="C3" s="595"/>
      <c r="D3" s="595"/>
      <c r="E3" s="595"/>
      <c r="F3" s="595"/>
      <c r="G3" s="595"/>
      <c r="H3" s="596"/>
    </row>
    <row r="4" spans="1:8" ht="24.75" customHeight="1" x14ac:dyDescent="0.2">
      <c r="A4" s="597"/>
      <c r="B4" s="598"/>
      <c r="C4" s="598"/>
      <c r="D4" s="598"/>
      <c r="E4" s="598"/>
      <c r="F4" s="598"/>
      <c r="G4" s="598"/>
      <c r="H4" s="599"/>
    </row>
    <row r="5" spans="1:8" s="3" customFormat="1" ht="44.25" customHeight="1" x14ac:dyDescent="0.25">
      <c r="A5" s="176" t="s">
        <v>1398</v>
      </c>
      <c r="B5" s="416" t="s">
        <v>1399</v>
      </c>
      <c r="C5" s="178" t="s">
        <v>1333</v>
      </c>
      <c r="D5" s="178" t="s">
        <v>1498</v>
      </c>
      <c r="E5" s="178" t="s">
        <v>1426</v>
      </c>
      <c r="F5" s="480" t="s">
        <v>1499</v>
      </c>
      <c r="G5" s="178" t="s">
        <v>1460</v>
      </c>
      <c r="H5" s="178" t="s">
        <v>1500</v>
      </c>
    </row>
    <row r="6" spans="1:8" s="4" customFormat="1" ht="30" customHeight="1" x14ac:dyDescent="0.25">
      <c r="A6" s="123" t="s">
        <v>1298</v>
      </c>
      <c r="B6" s="119"/>
      <c r="C6" s="475">
        <f>C7</f>
        <v>374828802</v>
      </c>
      <c r="D6" s="476">
        <f>C6/C6</f>
        <v>1</v>
      </c>
      <c r="E6" s="475">
        <f>E7</f>
        <v>252026664</v>
      </c>
      <c r="F6" s="477">
        <f>E6/C6</f>
        <v>0.67237806341253359</v>
      </c>
      <c r="G6" s="478">
        <f>G7</f>
        <v>157965000</v>
      </c>
      <c r="H6" s="479">
        <f>G6/E6</f>
        <v>0.62677891891629367</v>
      </c>
    </row>
    <row r="7" spans="1:8" ht="30" customHeight="1" x14ac:dyDescent="0.2">
      <c r="A7" s="207"/>
      <c r="B7" s="209" t="s">
        <v>1400</v>
      </c>
      <c r="C7" s="58">
        <f>'SGTO POAI 2022'!AT8+'SGTO POAI 2022'!AT9+'SGTO POAI 2022'!AT10+'SGTO POAI 2022'!AT11</f>
        <v>374828802</v>
      </c>
      <c r="D7" s="427">
        <f>C7/C7</f>
        <v>1</v>
      </c>
      <c r="E7" s="58">
        <f>'SGTO POAI 2022'!AU8+'SGTO POAI 2022'!AU9+'SGTO POAI 2022'!AU10+'SGTO POAI 2022'!AU11</f>
        <v>252026664</v>
      </c>
      <c r="F7" s="230">
        <f>E7/C7</f>
        <v>0.67237806341253359</v>
      </c>
      <c r="G7" s="58">
        <f>'SGTO POAI 2022'!AV8+'SGTO POAI 2022'!AV9+'SGTO POAI 2022'!AV10+'SGTO POAI 2022'!AV11</f>
        <v>157965000</v>
      </c>
      <c r="H7" s="449">
        <f>G7/E7</f>
        <v>0.62677891891629367</v>
      </c>
    </row>
    <row r="8" spans="1:8" s="32" customFormat="1" ht="30" customHeight="1" x14ac:dyDescent="0.2">
      <c r="A8" s="36"/>
      <c r="B8" s="64"/>
      <c r="C8" s="64"/>
      <c r="D8" s="429"/>
      <c r="E8" s="64"/>
      <c r="G8" s="64"/>
      <c r="H8" s="429"/>
    </row>
    <row r="9" spans="1:8" s="4" customFormat="1" ht="30" customHeight="1" x14ac:dyDescent="0.25">
      <c r="A9" s="148" t="s">
        <v>55</v>
      </c>
      <c r="B9" s="150"/>
      <c r="C9" s="151">
        <f>C10</f>
        <v>1234282859</v>
      </c>
      <c r="D9" s="419">
        <f t="shared" ref="D9:D74" si="0">C9/C9</f>
        <v>1</v>
      </c>
      <c r="E9" s="151">
        <f>E10</f>
        <v>989023739</v>
      </c>
      <c r="F9" s="230">
        <f>E9/C9</f>
        <v>0.80129423477637385</v>
      </c>
      <c r="G9" s="151">
        <f>G10</f>
        <v>614796643</v>
      </c>
      <c r="H9" s="419">
        <f t="shared" ref="H9:H10" si="1">G9/E9</f>
        <v>0.62161970310401216</v>
      </c>
    </row>
    <row r="10" spans="1:8" s="16" customFormat="1" ht="30" customHeight="1" x14ac:dyDescent="0.2">
      <c r="A10" s="29"/>
      <c r="B10" s="209" t="s">
        <v>1400</v>
      </c>
      <c r="C10" s="58">
        <f>'SGTO POAI 2022'!AT12+'SGTO POAI 2022'!AT13+'SGTO POAI 2022'!AT14+'SGTO POAI 2022'!AT15+'SGTO POAI 2022'!AT16+'SGTO POAI 2022'!AT17+'SGTO POAI 2022'!AT18+'SGTO POAI 2022'!AT19+'SGTO POAI 2022'!AT20+'SGTO POAI 2022'!AT21+'SGTO POAI 2022'!AT22+'SGTO POAI 2022'!AT23</f>
        <v>1234282859</v>
      </c>
      <c r="D10" s="427">
        <f t="shared" si="0"/>
        <v>1</v>
      </c>
      <c r="E10" s="58">
        <f>'SGTO POAI 2022'!AU12+'SGTO POAI 2022'!AU13+'SGTO POAI 2022'!AU14+'SGTO POAI 2022'!AU15+'SGTO POAI 2022'!AU16+'SGTO POAI 2022'!AU17+'SGTO POAI 2022'!AU18+'SGTO POAI 2022'!AU19+'SGTO POAI 2022'!AU20+'SGTO POAI 2022'!AU21+'SGTO POAI 2022'!AU22+'SGTO POAI 2022'!AU23</f>
        <v>989023739</v>
      </c>
      <c r="F10" s="230">
        <f>E10/C10</f>
        <v>0.80129423477637385</v>
      </c>
      <c r="G10" s="58">
        <f>'SGTO POAI 2022'!AV12+'SGTO POAI 2022'!AV13+'SGTO POAI 2022'!AV14+'SGTO POAI 2022'!AV15+'SGTO POAI 2022'!AV16+'SGTO POAI 2022'!AV17+'SGTO POAI 2022'!AV18+'SGTO POAI 2022'!AV19+'SGTO POAI 2022'!AV20+'SGTO POAI 2022'!AV21+'SGTO POAI 2022'!AV22+'SGTO POAI 2022'!AV23</f>
        <v>614796643</v>
      </c>
      <c r="H10" s="427">
        <f t="shared" si="1"/>
        <v>0.62161970310401216</v>
      </c>
    </row>
    <row r="11" spans="1:8" ht="30" customHeight="1" x14ac:dyDescent="0.2">
      <c r="A11" s="70"/>
      <c r="B11" s="71"/>
      <c r="C11" s="71"/>
      <c r="D11" s="420"/>
      <c r="E11" s="71"/>
      <c r="G11" s="71"/>
      <c r="H11" s="452"/>
    </row>
    <row r="12" spans="1:8" ht="30" customHeight="1" x14ac:dyDescent="0.2">
      <c r="A12" s="148" t="s">
        <v>1210</v>
      </c>
      <c r="B12" s="150"/>
      <c r="C12" s="151">
        <f>SUM(C13:C14)</f>
        <v>3838356174.1599998</v>
      </c>
      <c r="D12" s="419">
        <f t="shared" si="0"/>
        <v>1</v>
      </c>
      <c r="E12" s="151">
        <f>SUM(E13:E14)</f>
        <v>3353173510</v>
      </c>
      <c r="F12" s="230">
        <f>E12/C12</f>
        <v>0.8735962369969017</v>
      </c>
      <c r="G12" s="151">
        <f>SUM(G13:G14)</f>
        <v>1911945730.5</v>
      </c>
      <c r="H12" s="419">
        <f t="shared" ref="H12:H14" si="2">G12/E12</f>
        <v>0.57018991853481504</v>
      </c>
    </row>
    <row r="13" spans="1:8" ht="30" customHeight="1" x14ac:dyDescent="0.2">
      <c r="A13" s="60"/>
      <c r="B13" s="208" t="s">
        <v>1400</v>
      </c>
      <c r="C13" s="58">
        <f>'SGTO POAI 2022'!AT24+'SGTO POAI 2022'!AT25</f>
        <v>3246439760</v>
      </c>
      <c r="D13" s="427">
        <f t="shared" si="0"/>
        <v>1</v>
      </c>
      <c r="E13" s="58">
        <f>'SGTO POAI 2022'!AU24+'SGTO POAI 2022'!AU25</f>
        <v>2912932743</v>
      </c>
      <c r="F13" s="230">
        <f>E13/C13</f>
        <v>0.89726991977205206</v>
      </c>
      <c r="G13" s="58">
        <f>'SGTO POAI 2022'!AV24+'SGTO POAI 2022'!AV25</f>
        <v>1640754435.5</v>
      </c>
      <c r="H13" s="427">
        <f t="shared" si="2"/>
        <v>0.56326547169441465</v>
      </c>
    </row>
    <row r="14" spans="1:8" s="74" customFormat="1" ht="30" customHeight="1" x14ac:dyDescent="0.2">
      <c r="A14" s="60"/>
      <c r="B14" s="124" t="s">
        <v>1416</v>
      </c>
      <c r="C14" s="58">
        <f>'SGTO POAI 2022'!BC24</f>
        <v>591916414.15999997</v>
      </c>
      <c r="D14" s="427">
        <f t="shared" si="0"/>
        <v>1</v>
      </c>
      <c r="E14" s="58">
        <f>'SGTO POAI 2022'!BD24</f>
        <v>440240767</v>
      </c>
      <c r="F14" s="230">
        <f>E14/C14</f>
        <v>0.7437549567277234</v>
      </c>
      <c r="G14" s="58">
        <f>'SGTO POAI 2022'!BE24</f>
        <v>271191295</v>
      </c>
      <c r="H14" s="427">
        <f t="shared" si="2"/>
        <v>0.61600677476559096</v>
      </c>
    </row>
    <row r="15" spans="1:8" ht="30" customHeight="1" x14ac:dyDescent="0.2">
      <c r="A15" s="70"/>
      <c r="B15" s="71"/>
      <c r="C15" s="73"/>
      <c r="D15" s="420"/>
      <c r="E15" s="73"/>
      <c r="G15" s="73"/>
      <c r="H15" s="452"/>
    </row>
    <row r="16" spans="1:8" ht="30" customHeight="1" x14ac:dyDescent="0.2">
      <c r="A16" s="123" t="s">
        <v>111</v>
      </c>
      <c r="B16" s="121"/>
      <c r="C16" s="122">
        <f>SUM(C17:C21)</f>
        <v>35755534437.400002</v>
      </c>
      <c r="D16" s="418">
        <f t="shared" si="0"/>
        <v>1</v>
      </c>
      <c r="E16" s="122">
        <f>SUM(E17:E21)</f>
        <v>17188762698.550003</v>
      </c>
      <c r="F16" s="230">
        <f t="shared" ref="F16:F21" si="3">E16/C16</f>
        <v>0.48073012944733656</v>
      </c>
      <c r="G16" s="122">
        <f>SUM(G17:G21)</f>
        <v>8027601401.5999994</v>
      </c>
      <c r="H16" s="418">
        <f t="shared" ref="H16:H21" si="4">G16/E16</f>
        <v>0.46702613459648179</v>
      </c>
    </row>
    <row r="17" spans="1:8" ht="30" customHeight="1" x14ac:dyDescent="0.2">
      <c r="A17" s="207"/>
      <c r="B17" s="38" t="s">
        <v>1401</v>
      </c>
      <c r="C17" s="58">
        <f>'SGTO POAI 2022'!AB28+'SGTO POAI 2022'!AB31+'SGTO POAI 2022'!AB39+'SGTO POAI 2022'!AB42</f>
        <v>9539710946.8800011</v>
      </c>
      <c r="D17" s="427">
        <f t="shared" si="0"/>
        <v>1</v>
      </c>
      <c r="E17" s="58">
        <f>'SGTO POAI 2022'!AC28+'SGTO POAI 2022'!AC31+'SGTO POAI 2022'!AC39+'SGTO POAI 2022'!AC42</f>
        <v>3005405501.1100001</v>
      </c>
      <c r="F17" s="230">
        <f t="shared" si="3"/>
        <v>0.31504156864343247</v>
      </c>
      <c r="G17" s="58">
        <f>'SGTO POAI 2022'!AD28+'SGTO POAI 2022'!AD31+'SGTO POAI 2022'!AD39+'SGTO POAI 2022'!AD42</f>
        <v>1834956658</v>
      </c>
      <c r="H17" s="427">
        <f t="shared" si="4"/>
        <v>0.61055210597115339</v>
      </c>
    </row>
    <row r="18" spans="1:8" ht="30" customHeight="1" x14ac:dyDescent="0.2">
      <c r="A18" s="207"/>
      <c r="B18" s="38" t="s">
        <v>1402</v>
      </c>
      <c r="C18" s="58">
        <f>'SGTO POAI 2022'!AQ40+'SGTO POAI 2022'!AQ41+'SGTO POAI 2022'!AQ42+'SGTO POAI 2022'!AQ43+'SGTO POAI 2022'!AQ44+'SGTO POAI 2022'!AQ45</f>
        <v>2867588397.8000002</v>
      </c>
      <c r="D18" s="427">
        <f t="shared" si="0"/>
        <v>1</v>
      </c>
      <c r="E18" s="58">
        <f>'SGTO POAI 2022'!AR40+'SGTO POAI 2022'!AR41+'SGTO POAI 2022'!AR42+'SGTO POAI 2022'!AR43+'SGTO POAI 2022'!AR44+'SGTO POAI 2022'!AR45</f>
        <v>2866923608</v>
      </c>
      <c r="F18" s="230">
        <f t="shared" si="3"/>
        <v>0.99976817112228855</v>
      </c>
      <c r="G18" s="58">
        <f>'SGTO POAI 2022'!AS40+'SGTO POAI 2022'!AS41+'SGTO POAI 2022'!AS42+'SGTO POAI 2022'!AS43+'SGTO POAI 2022'!AS44+'SGTO POAI 2022'!AS45</f>
        <v>1907335905</v>
      </c>
      <c r="H18" s="427">
        <f t="shared" si="4"/>
        <v>0.66529010388615839</v>
      </c>
    </row>
    <row r="19" spans="1:8" ht="30" customHeight="1" x14ac:dyDescent="0.2">
      <c r="A19" s="207"/>
      <c r="B19" s="209" t="s">
        <v>1400</v>
      </c>
      <c r="C19" s="58">
        <f>'SGTO POAI 2022'!AT26+'SGTO POAI 2022'!AT27+'SGTO POAI 2022'!AT29+'SGTO POAI 2022'!AT30+'SGTO POAI 2022'!AT32+'SGTO POAI 2022'!AT33+'SGTO POAI 2022'!AT34+'SGTO POAI 2022'!AT35+'SGTO POAI 2022'!AT36+'SGTO POAI 2022'!AT37+'SGTO POAI 2022'!AT38+'SGTO POAI 2022'!AT39+'SGTO POAI 2022'!AT46+'SGTO POAI 2022'!AT47</f>
        <v>3574887969.7200003</v>
      </c>
      <c r="D19" s="427">
        <f t="shared" si="0"/>
        <v>1</v>
      </c>
      <c r="E19" s="58">
        <f>'SGTO POAI 2022'!AU26+'SGTO POAI 2022'!AU27+'SGTO POAI 2022'!AU29+'SGTO POAI 2022'!AU30+'SGTO POAI 2022'!AU32+'SGTO POAI 2022'!AU33+'SGTO POAI 2022'!AU34+'SGTO POAI 2022'!AU35+'SGTO POAI 2022'!AU36+'SGTO POAI 2022'!AU37+'SGTO POAI 2022'!AU38+'SGTO POAI 2022'!AU39+'SGTO POAI 2022'!AU46+'SGTO POAI 2022'!AU47</f>
        <v>1957149463.4400001</v>
      </c>
      <c r="F19" s="230">
        <f t="shared" si="3"/>
        <v>0.54747155156117855</v>
      </c>
      <c r="G19" s="58">
        <f>'SGTO POAI 2022'!AV26+'SGTO POAI 2022'!AV27+'SGTO POAI 2022'!AV29+'SGTO POAI 2022'!AV30+'SGTO POAI 2022'!AV32+'SGTO POAI 2022'!AV33+'SGTO POAI 2022'!AV34+'SGTO POAI 2022'!AV35+'SGTO POAI 2022'!AV36+'SGTO POAI 2022'!AV37+'SGTO POAI 2022'!AV38+'SGTO POAI 2022'!AV39+'SGTO POAI 2022'!AV46+'SGTO POAI 2022'!AV47</f>
        <v>1053178460.5599999</v>
      </c>
      <c r="H19" s="427">
        <f t="shared" si="4"/>
        <v>0.53811856489941856</v>
      </c>
    </row>
    <row r="20" spans="1:8" ht="30" customHeight="1" x14ac:dyDescent="0.2">
      <c r="A20" s="207"/>
      <c r="B20" s="38" t="s">
        <v>1403</v>
      </c>
      <c r="C20" s="58">
        <f>'SGTO POAI 2022'!AW34+'SGTO POAI 2022'!AW35+'SGTO POAI 2022'!AW37+'SGTO POAI 2022'!AW38</f>
        <v>2019430273</v>
      </c>
      <c r="D20" s="427">
        <f t="shared" si="0"/>
        <v>1</v>
      </c>
      <c r="E20" s="58">
        <f>'SGTO POAI 2022'!AX34+'SGTO POAI 2022'!AX35+'SGTO POAI 2022'!AX37+'SGTO POAI 2022'!AX38</f>
        <v>906400000</v>
      </c>
      <c r="F20" s="230">
        <f t="shared" si="3"/>
        <v>0.4488394633469972</v>
      </c>
      <c r="G20" s="58">
        <f>'SGTO POAI 2022'!AY34+'SGTO POAI 2022'!AY35+'SGTO POAI 2022'!AY37+'SGTO POAI 2022'!AY38</f>
        <v>494115947.05000001</v>
      </c>
      <c r="H20" s="427">
        <f t="shared" si="4"/>
        <v>0.54514115958737863</v>
      </c>
    </row>
    <row r="21" spans="1:8" ht="30" customHeight="1" x14ac:dyDescent="0.2">
      <c r="A21" s="207"/>
      <c r="B21" s="38" t="s">
        <v>1404</v>
      </c>
      <c r="C21" s="58">
        <f>'SGTO POAI 2022'!BC35</f>
        <v>17753916850</v>
      </c>
      <c r="D21" s="427">
        <f t="shared" si="0"/>
        <v>1</v>
      </c>
      <c r="E21" s="58">
        <f>'SGTO POAI 2022'!BD35</f>
        <v>8452884126</v>
      </c>
      <c r="F21" s="230">
        <f t="shared" si="3"/>
        <v>0.47611376111632514</v>
      </c>
      <c r="G21" s="58">
        <f>'SGTO POAI 2022'!BE35</f>
        <v>2738014430.9899998</v>
      </c>
      <c r="H21" s="427">
        <f t="shared" si="4"/>
        <v>0.32391481891585555</v>
      </c>
    </row>
    <row r="22" spans="1:8" ht="30" customHeight="1" x14ac:dyDescent="0.2">
      <c r="A22" s="70"/>
      <c r="B22" s="71"/>
      <c r="C22" s="73"/>
      <c r="D22" s="420"/>
      <c r="E22" s="73"/>
      <c r="G22" s="73"/>
      <c r="H22" s="452"/>
    </row>
    <row r="23" spans="1:8" ht="30" customHeight="1" x14ac:dyDescent="0.2">
      <c r="A23" s="204" t="s">
        <v>217</v>
      </c>
      <c r="B23" s="205"/>
      <c r="C23" s="206">
        <f>SUM(C24:C25)</f>
        <v>6500727034.2399998</v>
      </c>
      <c r="D23" s="435">
        <f t="shared" si="0"/>
        <v>1</v>
      </c>
      <c r="E23" s="206">
        <f>SUM(E24:E25)</f>
        <v>3295154559.8699999</v>
      </c>
      <c r="F23" s="230">
        <f>E23/C23</f>
        <v>0.50689015897976963</v>
      </c>
      <c r="G23" s="206">
        <f>SUM(G24:G25)</f>
        <v>1272076857.8400002</v>
      </c>
      <c r="H23" s="435">
        <f t="shared" ref="H23:H25" si="5">G23/E23</f>
        <v>0.38604467096383666</v>
      </c>
    </row>
    <row r="24" spans="1:8" ht="30" customHeight="1" x14ac:dyDescent="0.2">
      <c r="A24" s="207"/>
      <c r="B24" s="208" t="s">
        <v>1400</v>
      </c>
      <c r="C24" s="203">
        <f>'SGTO POAI 2022'!AT48+'SGTO POAI 2022'!AT49+'SGTO POAI 2022'!AT50+'SGTO POAI 2022'!AT51+'SGTO POAI 2022'!AT52+'SGTO POAI 2022'!AT53+'SGTO POAI 2022'!AT54+'SGTO POAI 2022'!AT55+'SGTO POAI 2022'!AT56+'SGTO POAI 2022'!AT57+'SGTO POAI 2022'!AT59+'SGTO POAI 2022'!AT60+'SGTO POAI 2022'!AT61+'SGTO POAI 2022'!AT62+'SGTO POAI 2022'!AT63+'SGTO POAI 2022'!AT64+'SGTO POAI 2022'!AT65+'SGTO POAI 2022'!AT66+'SGTO POAI 2022'!AT67+'SGTO POAI 2022'!AT68</f>
        <v>1686121125.0899999</v>
      </c>
      <c r="D24" s="436">
        <f t="shared" si="0"/>
        <v>1</v>
      </c>
      <c r="E24" s="203">
        <f>'SGTO POAI 2022'!AU48+'SGTO POAI 2022'!AU49+'SGTO POAI 2022'!AU50+'SGTO POAI 2022'!AU51+'SGTO POAI 2022'!AU52+'SGTO POAI 2022'!AU53+'SGTO POAI 2022'!AU54+'SGTO POAI 2022'!AU55+'SGTO POAI 2022'!AU56+'SGTO POAI 2022'!AU57+'SGTO POAI 2022'!AU59+'SGTO POAI 2022'!AU60+'SGTO POAI 2022'!AU61+'SGTO POAI 2022'!AU62+'SGTO POAI 2022'!AU63+'SGTO POAI 2022'!AU64+'SGTO POAI 2022'!AU65+'SGTO POAI 2022'!AU66+'SGTO POAI 2022'!AU67+'SGTO POAI 2022'!AU68</f>
        <v>1359846974.8699999</v>
      </c>
      <c r="F24" s="230">
        <f>E24/C24</f>
        <v>0.80649423972872381</v>
      </c>
      <c r="G24" s="203">
        <f>'SGTO POAI 2022'!AV48+'SGTO POAI 2022'!AV49+'SGTO POAI 2022'!AV50+'SGTO POAI 2022'!AV51+'SGTO POAI 2022'!AV52+'SGTO POAI 2022'!AV53+'SGTO POAI 2022'!AV54+'SGTO POAI 2022'!AV55+'SGTO POAI 2022'!AV56+'SGTO POAI 2022'!AV57+'SGTO POAI 2022'!AV59+'SGTO POAI 2022'!AV60+'SGTO POAI 2022'!AV61+'SGTO POAI 2022'!AV62+'SGTO POAI 2022'!AV63+'SGTO POAI 2022'!AV64+'SGTO POAI 2022'!AV65+'SGTO POAI 2022'!AV66+'SGTO POAI 2022'!AV67+'SGTO POAI 2022'!AV68</f>
        <v>865415739</v>
      </c>
      <c r="H24" s="436">
        <f t="shared" si="5"/>
        <v>0.63640670972021163</v>
      </c>
    </row>
    <row r="25" spans="1:8" ht="30" customHeight="1" x14ac:dyDescent="0.2">
      <c r="A25" s="207"/>
      <c r="B25" s="38" t="s">
        <v>1405</v>
      </c>
      <c r="C25" s="58">
        <f>'SGTO POAI 2022'!AW58</f>
        <v>4814605909.1499996</v>
      </c>
      <c r="D25" s="427">
        <f t="shared" si="0"/>
        <v>1</v>
      </c>
      <c r="E25" s="58">
        <f>'SGTO POAI 2022'!AX58</f>
        <v>1935307585</v>
      </c>
      <c r="F25" s="230">
        <f>E25/C25</f>
        <v>0.40196593896127858</v>
      </c>
      <c r="G25" s="58">
        <f>'SGTO POAI 2022'!AY58</f>
        <v>406661118.84000003</v>
      </c>
      <c r="H25" s="427">
        <f t="shared" si="5"/>
        <v>0.21012738336371478</v>
      </c>
    </row>
    <row r="26" spans="1:8" ht="30" customHeight="1" x14ac:dyDescent="0.2">
      <c r="A26" s="70"/>
      <c r="B26" s="71"/>
      <c r="C26" s="73"/>
      <c r="D26" s="420"/>
      <c r="E26" s="73"/>
      <c r="G26" s="73"/>
      <c r="H26" s="452"/>
    </row>
    <row r="27" spans="1:8" ht="30" customHeight="1" x14ac:dyDescent="0.2">
      <c r="A27" s="123" t="s">
        <v>300</v>
      </c>
      <c r="B27" s="121"/>
      <c r="C27" s="122">
        <f>SUM(C28:C30)</f>
        <v>3469324679.8800001</v>
      </c>
      <c r="D27" s="418">
        <f t="shared" si="0"/>
        <v>1</v>
      </c>
      <c r="E27" s="122">
        <f>SUM(E28:E30)</f>
        <v>2770998627.04</v>
      </c>
      <c r="F27" s="230">
        <f>E27/C27</f>
        <v>0.79871412529075991</v>
      </c>
      <c r="G27" s="122">
        <f>SUM(G28:G30)</f>
        <v>1724548323.0700002</v>
      </c>
      <c r="H27" s="418">
        <f t="shared" ref="H27:H30" si="6">G27/E27</f>
        <v>0.6223562531722272</v>
      </c>
    </row>
    <row r="28" spans="1:8" s="16" customFormat="1" ht="30" customHeight="1" x14ac:dyDescent="0.2">
      <c r="A28" s="29"/>
      <c r="B28" s="38" t="s">
        <v>1406</v>
      </c>
      <c r="C28" s="58">
        <f>'SGTO POAI 2022'!AB70+'SGTO POAI 2022'!AB74+'SGTO POAI 2022'!AB75+'SGTO POAI 2022'!AB76</f>
        <v>1840072116.5799999</v>
      </c>
      <c r="D28" s="427">
        <f t="shared" si="0"/>
        <v>1</v>
      </c>
      <c r="E28" s="58">
        <f>'SGTO POAI 2022'!AC70+'SGTO POAI 2022'!AC74+'SGTO POAI 2022'!AC75+'SGTO POAI 2022'!AC76</f>
        <v>1292805538.04</v>
      </c>
      <c r="F28" s="230">
        <f>E28/C28</f>
        <v>0.70258416851771976</v>
      </c>
      <c r="G28" s="58">
        <f>'SGTO POAI 2022'!AD70+'SGTO POAI 2022'!AD74+'SGTO POAI 2022'!AD75+'SGTO POAI 2022'!AD76</f>
        <v>833105500.07000005</v>
      </c>
      <c r="H28" s="427">
        <f t="shared" si="6"/>
        <v>0.6444167166340089</v>
      </c>
    </row>
    <row r="29" spans="1:8" s="16" customFormat="1" ht="30" customHeight="1" x14ac:dyDescent="0.2">
      <c r="A29" s="29"/>
      <c r="B29" s="209" t="s">
        <v>1400</v>
      </c>
      <c r="C29" s="58">
        <f>'SGTO POAI 2022'!AT69+'SGTO POAI 2022'!AT70+'SGTO POAI 2022'!AT71+'SGTO POAI 2022'!AT72+'SGTO POAI 2022'!AT73+'SGTO POAI 2022'!AT74+'SGTO POAI 2022'!AT75+'SGTO POAI 2022'!AT76+'SGTO POAI 2022'!AT77+'SGTO POAI 2022'!AT78</f>
        <v>1525358708</v>
      </c>
      <c r="D29" s="427">
        <f t="shared" si="0"/>
        <v>1</v>
      </c>
      <c r="E29" s="58">
        <f>'SGTO POAI 2022'!AU69+'SGTO POAI 2022'!AU70+'SGTO POAI 2022'!AU71+'SGTO POAI 2022'!AU72+'SGTO POAI 2022'!AU73+'SGTO POAI 2022'!AU74+'SGTO POAI 2022'!AU75+'SGTO POAI 2022'!AU76+'SGTO POAI 2022'!AU77+'SGTO POAI 2022'!AU78</f>
        <v>1382983667</v>
      </c>
      <c r="F29" s="230">
        <f>E29/C29</f>
        <v>0.90666127235955041</v>
      </c>
      <c r="G29" s="58">
        <f>'SGTO POAI 2022'!AV69+'SGTO POAI 2022'!AV70+'SGTO POAI 2022'!AV71+'SGTO POAI 2022'!AV72+'SGTO POAI 2022'!AV73+'SGTO POAI 2022'!AV74+'SGTO POAI 2022'!AV75+'SGTO POAI 2022'!AV76+'SGTO POAI 2022'!AV77+'SGTO POAI 2022'!AV78</f>
        <v>891442823</v>
      </c>
      <c r="H29" s="427">
        <f t="shared" si="6"/>
        <v>0.64457942944021762</v>
      </c>
    </row>
    <row r="30" spans="1:8" s="74" customFormat="1" ht="30" customHeight="1" x14ac:dyDescent="0.2">
      <c r="A30" s="29"/>
      <c r="B30" s="38" t="s">
        <v>1407</v>
      </c>
      <c r="C30" s="46">
        <f>'SGTO POAI 2022'!AW78</f>
        <v>103893855.30000001</v>
      </c>
      <c r="D30" s="427">
        <f t="shared" si="0"/>
        <v>1</v>
      </c>
      <c r="E30" s="46">
        <f>'SGTO POAI 2022'!AX78</f>
        <v>95209422</v>
      </c>
      <c r="F30" s="230">
        <f>E30/C30</f>
        <v>0.91641052038233473</v>
      </c>
      <c r="G30" s="46">
        <f>'SGTO POAI 2022'!AY78</f>
        <v>0</v>
      </c>
      <c r="H30" s="427">
        <f t="shared" si="6"/>
        <v>0</v>
      </c>
    </row>
    <row r="31" spans="1:8" ht="30" customHeight="1" x14ac:dyDescent="0.2">
      <c r="A31" s="70"/>
      <c r="B31" s="71"/>
      <c r="C31" s="73"/>
      <c r="D31" s="420"/>
      <c r="E31" s="73"/>
      <c r="G31" s="73"/>
      <c r="H31" s="452"/>
    </row>
    <row r="32" spans="1:8" ht="30" customHeight="1" x14ac:dyDescent="0.2">
      <c r="A32" s="123" t="s">
        <v>332</v>
      </c>
      <c r="B32" s="121"/>
      <c r="C32" s="122">
        <f>SUM(C33:C34)</f>
        <v>2822271735.1100001</v>
      </c>
      <c r="D32" s="418">
        <f t="shared" si="0"/>
        <v>1</v>
      </c>
      <c r="E32" s="122">
        <f>SUM(E33:E34)</f>
        <v>1931766138</v>
      </c>
      <c r="F32" s="230">
        <f>E32/C32</f>
        <v>0.68447205631129915</v>
      </c>
      <c r="G32" s="122">
        <f>SUM(G33:G34)</f>
        <v>1095148341.8</v>
      </c>
      <c r="H32" s="418">
        <f t="shared" ref="H32:H34" si="7">G32/E32</f>
        <v>0.56691559100100553</v>
      </c>
    </row>
    <row r="33" spans="1:8" ht="30" customHeight="1" x14ac:dyDescent="0.2">
      <c r="A33" s="29"/>
      <c r="B33" s="209" t="s">
        <v>1400</v>
      </c>
      <c r="C33" s="58">
        <f>'SGTO POAI 2022'!AT79+'SGTO POAI 2022'!AT80+'SGTO POAI 2022'!AT81+'SGTO POAI 2022'!AT82+'SGTO POAI 2022'!AT83+'SGTO POAI 2022'!AT84+'SGTO POAI 2022'!AT85+'SGTO POAI 2022'!AT86+'SGTO POAI 2022'!AT87+'SGTO POAI 2022'!AT88</f>
        <v>1422566000</v>
      </c>
      <c r="D33" s="427">
        <f t="shared" si="0"/>
        <v>1</v>
      </c>
      <c r="E33" s="58">
        <f>'SGTO POAI 2022'!AU79+'SGTO POAI 2022'!AU80+'SGTO POAI 2022'!AU81+'SGTO POAI 2022'!AU82+'SGTO POAI 2022'!AU83+'SGTO POAI 2022'!AU84+'SGTO POAI 2022'!AU85+'SGTO POAI 2022'!AU86+'SGTO POAI 2022'!AU87+'SGTO POAI 2022'!AU88</f>
        <v>905729294</v>
      </c>
      <c r="F33" s="230">
        <f>E33/C33</f>
        <v>0.63668701065539313</v>
      </c>
      <c r="G33" s="58">
        <f>'SGTO POAI 2022'!AV79+'SGTO POAI 2022'!AV80+'SGTO POAI 2022'!AV81+'SGTO POAI 2022'!AV82+'SGTO POAI 2022'!AV83+'SGTO POAI 2022'!AV84+'SGTO POAI 2022'!AV85+'SGTO POAI 2022'!AV86+'SGTO POAI 2022'!AV87+'SGTO POAI 2022'!AV88</f>
        <v>470140000</v>
      </c>
      <c r="H33" s="427">
        <f t="shared" si="7"/>
        <v>0.5190734175370505</v>
      </c>
    </row>
    <row r="34" spans="1:8" s="74" customFormat="1" ht="30" customHeight="1" x14ac:dyDescent="0.2">
      <c r="A34" s="29"/>
      <c r="B34" s="38" t="s">
        <v>1408</v>
      </c>
      <c r="C34" s="58">
        <f>'SGTO POAI 2022'!AW84</f>
        <v>1399705735.1100001</v>
      </c>
      <c r="D34" s="427">
        <f t="shared" si="0"/>
        <v>1</v>
      </c>
      <c r="E34" s="58">
        <f>'SGTO POAI 2022'!AX84</f>
        <v>1026036844</v>
      </c>
      <c r="F34" s="230">
        <f>E34/C34</f>
        <v>0.73303753657861936</v>
      </c>
      <c r="G34" s="58">
        <f>'SGTO POAI 2022'!AY84</f>
        <v>625008341.79999995</v>
      </c>
      <c r="H34" s="427">
        <f t="shared" si="7"/>
        <v>0.60914804907337217</v>
      </c>
    </row>
    <row r="35" spans="1:8" ht="30" customHeight="1" x14ac:dyDescent="0.2">
      <c r="A35" s="70"/>
      <c r="B35" s="71"/>
      <c r="C35" s="73"/>
      <c r="D35" s="420"/>
      <c r="E35" s="73"/>
      <c r="G35" s="73"/>
      <c r="H35" s="452"/>
    </row>
    <row r="36" spans="1:8" ht="30" customHeight="1" x14ac:dyDescent="0.2">
      <c r="A36" s="123" t="s">
        <v>374</v>
      </c>
      <c r="B36" s="121"/>
      <c r="C36" s="122">
        <f>C37+C38</f>
        <v>4664234480.8400002</v>
      </c>
      <c r="D36" s="418">
        <f t="shared" si="0"/>
        <v>1</v>
      </c>
      <c r="E36" s="122">
        <f>E37+E38</f>
        <v>2692714330</v>
      </c>
      <c r="F36" s="230">
        <f>E36/C36</f>
        <v>0.57731109811508841</v>
      </c>
      <c r="G36" s="122">
        <f>G37+G38</f>
        <v>1562382499.0000002</v>
      </c>
      <c r="H36" s="418">
        <f t="shared" ref="H36:H38" si="8">G36/E36</f>
        <v>0.58022586413761912</v>
      </c>
    </row>
    <row r="37" spans="1:8" ht="30" customHeight="1" x14ac:dyDescent="0.2">
      <c r="A37" s="207"/>
      <c r="B37" s="209" t="s">
        <v>1400</v>
      </c>
      <c r="C37" s="58">
        <f>'SGTO POAI 2022'!AT89+'SGTO POAI 2022'!AT90+'SGTO POAI 2022'!AT91+'SGTO POAI 2022'!AT92+'SGTO POAI 2022'!AT93+'SGTO POAI 2022'!AT94+'SGTO POAI 2022'!AT95+'SGTO POAI 2022'!AT96+'SGTO POAI 2022'!AT97+'SGTO POAI 2022'!AT98+'SGTO POAI 2022'!AT99+'SGTO POAI 2022'!AT100+'SGTO POAI 2022'!AT101+'SGTO POAI 2022'!AT102+'SGTO POAI 2022'!AT103+'SGTO POAI 2022'!AT104+'SGTO POAI 2022'!AT105+'SGTO POAI 2022'!AT106+'SGTO POAI 2022'!AT107+'SGTO POAI 2022'!AT108+'SGTO POAI 2022'!AT109+'SGTO POAI 2022'!AT110+'SGTO POAI 2022'!AT111+'SGTO POAI 2022'!AT112+'SGTO POAI 2022'!AT113+'SGTO POAI 2022'!AT114+'SGTO POAI 2022'!AT115+'SGTO POAI 2022'!AT116+'SGTO POAI 2022'!AT117+'SGTO POAI 2022'!AT118+'SGTO POAI 2022'!AT119+'SGTO POAI 2022'!AT120+'SGTO POAI 2022'!AT121+'SGTO POAI 2022'!AT122+'SGTO POAI 2022'!AT123+'SGTO POAI 2022'!AT124+'SGTO POAI 2022'!AT125</f>
        <v>4558627895.1800003</v>
      </c>
      <c r="D37" s="427">
        <f t="shared" si="0"/>
        <v>1</v>
      </c>
      <c r="E37" s="58">
        <f>'SGTO POAI 2022'!AU89+'SGTO POAI 2022'!AU90+'SGTO POAI 2022'!AU91+'SGTO POAI 2022'!AU92+'SGTO POAI 2022'!AU93+'SGTO POAI 2022'!AU94+'SGTO POAI 2022'!AU95+'SGTO POAI 2022'!AU96+'SGTO POAI 2022'!AU97+'SGTO POAI 2022'!AU98+'SGTO POAI 2022'!AU99+'SGTO POAI 2022'!AU100+'SGTO POAI 2022'!AU101+'SGTO POAI 2022'!AU102+'SGTO POAI 2022'!AU103+'SGTO POAI 2022'!AU104+'SGTO POAI 2022'!AU105+'SGTO POAI 2022'!AU106+'SGTO POAI 2022'!AU107+'SGTO POAI 2022'!AU108+'SGTO POAI 2022'!AU109+'SGTO POAI 2022'!AU110+'SGTO POAI 2022'!AU111+'SGTO POAI 2022'!AU112+'SGTO POAI 2022'!AU113+'SGTO POAI 2022'!AU114+'SGTO POAI 2022'!AU115+'SGTO POAI 2022'!AU116+'SGTO POAI 2022'!AU117+'SGTO POAI 2022'!AU118+'SGTO POAI 2022'!AU119+'SGTO POAI 2022'!AU120+'SGTO POAI 2022'!AU121+'SGTO POAI 2022'!AU122+'SGTO POAI 2022'!AU123+'SGTO POAI 2022'!AU124+'SGTO POAI 2022'!AU125</f>
        <v>2587107744.3400002</v>
      </c>
      <c r="F37" s="230">
        <f>E37/C37</f>
        <v>0.56751895610419123</v>
      </c>
      <c r="G37" s="58">
        <f>'SGTO POAI 2022'!AV89+'SGTO POAI 2022'!AV90+'SGTO POAI 2022'!AV91+'SGTO POAI 2022'!AV92+'SGTO POAI 2022'!AV93+'SGTO POAI 2022'!AV94+'SGTO POAI 2022'!AV95+'SGTO POAI 2022'!AV96+'SGTO POAI 2022'!AV97+'SGTO POAI 2022'!AV98+'SGTO POAI 2022'!AV99+'SGTO POAI 2022'!AV100+'SGTO POAI 2022'!AV101+'SGTO POAI 2022'!AV102+'SGTO POAI 2022'!AV103+'SGTO POAI 2022'!AV104+'SGTO POAI 2022'!AV105+'SGTO POAI 2022'!AV106+'SGTO POAI 2022'!AV107+'SGTO POAI 2022'!AV108+'SGTO POAI 2022'!AV109+'SGTO POAI 2022'!AV110+'SGTO POAI 2022'!AV111+'SGTO POAI 2022'!AV112+'SGTO POAI 2022'!AV113+'SGTO POAI 2022'!AV114+'SGTO POAI 2022'!AV115+'SGTO POAI 2022'!AV116+'SGTO POAI 2022'!AV117+'SGTO POAI 2022'!AV118+'SGTO POAI 2022'!AV119+'SGTO POAI 2022'!AV120+'SGTO POAI 2022'!AV121+'SGTO POAI 2022'!AV122+'SGTO POAI 2022'!AV123+'SGTO POAI 2022'!AV124+'SGTO POAI 2022'!AV125</f>
        <v>1456775913.3400002</v>
      </c>
      <c r="H37" s="427">
        <f t="shared" si="8"/>
        <v>0.56309054639378375</v>
      </c>
    </row>
    <row r="38" spans="1:8" ht="30" customHeight="1" x14ac:dyDescent="0.2">
      <c r="A38" s="207"/>
      <c r="B38" s="209" t="s">
        <v>1464</v>
      </c>
      <c r="C38" s="58">
        <f>'SGTO POAI 2022'!AZ96</f>
        <v>105606585.66</v>
      </c>
      <c r="D38" s="427">
        <f t="shared" si="0"/>
        <v>1</v>
      </c>
      <c r="E38" s="58">
        <f>'SGTO POAI 2022'!BA96</f>
        <v>105606585.66</v>
      </c>
      <c r="F38" s="230">
        <f>E38/C38</f>
        <v>1</v>
      </c>
      <c r="G38" s="58">
        <f>'SGTO POAI 2022'!BB96</f>
        <v>105606585.66</v>
      </c>
      <c r="H38" s="427">
        <f t="shared" si="8"/>
        <v>1</v>
      </c>
    </row>
    <row r="39" spans="1:8" ht="30" customHeight="1" x14ac:dyDescent="0.2">
      <c r="A39" s="70"/>
      <c r="B39" s="71"/>
      <c r="C39" s="73"/>
      <c r="D39" s="420"/>
      <c r="E39" s="73"/>
      <c r="G39" s="73"/>
      <c r="H39" s="452"/>
    </row>
    <row r="40" spans="1:8" ht="30" customHeight="1" x14ac:dyDescent="0.2">
      <c r="A40" s="123" t="s">
        <v>1513</v>
      </c>
      <c r="B40" s="121"/>
      <c r="C40" s="122">
        <f>C41</f>
        <v>2272052800</v>
      </c>
      <c r="D40" s="418">
        <f t="shared" si="0"/>
        <v>1</v>
      </c>
      <c r="E40" s="122">
        <f>E41</f>
        <v>1635737537</v>
      </c>
      <c r="F40" s="230">
        <f>E40/C40</f>
        <v>0.71993817089109902</v>
      </c>
      <c r="G40" s="122">
        <f>G41</f>
        <v>985433386</v>
      </c>
      <c r="H40" s="418">
        <f t="shared" ref="H40:H41" si="9">G40/E40</f>
        <v>0.60243979471628395</v>
      </c>
    </row>
    <row r="41" spans="1:8" s="16" customFormat="1" ht="30" customHeight="1" x14ac:dyDescent="0.2">
      <c r="A41" s="29"/>
      <c r="B41" s="209" t="s">
        <v>1400</v>
      </c>
      <c r="C41" s="58">
        <f>'SGTO POAI 2022'!AT126+'SGTO POAI 2022'!AT127+'SGTO POAI 2022'!AT128</f>
        <v>2272052800</v>
      </c>
      <c r="D41" s="427">
        <f t="shared" si="0"/>
        <v>1</v>
      </c>
      <c r="E41" s="58">
        <f>'SGTO POAI 2022'!AU126+'SGTO POAI 2022'!AU127+'SGTO POAI 2022'!AU128</f>
        <v>1635737537</v>
      </c>
      <c r="F41" s="230">
        <f>E41/C41</f>
        <v>0.71993817089109902</v>
      </c>
      <c r="G41" s="58">
        <f>'SGTO POAI 2022'!AV126+'SGTO POAI 2022'!AV127+'SGTO POAI 2022'!AV128</f>
        <v>985433386</v>
      </c>
      <c r="H41" s="427">
        <f t="shared" si="9"/>
        <v>0.60243979471628395</v>
      </c>
    </row>
    <row r="42" spans="1:8" ht="30" customHeight="1" x14ac:dyDescent="0.2">
      <c r="A42" s="70"/>
      <c r="B42" s="116"/>
      <c r="C42" s="117"/>
      <c r="D42" s="421"/>
      <c r="E42" s="117"/>
      <c r="G42" s="117"/>
      <c r="H42" s="453"/>
    </row>
    <row r="43" spans="1:8" ht="30" customHeight="1" x14ac:dyDescent="0.2">
      <c r="A43" s="123" t="s">
        <v>542</v>
      </c>
      <c r="B43" s="121"/>
      <c r="C43" s="122">
        <f>SUM(C44:C49)</f>
        <v>209016995039.20999</v>
      </c>
      <c r="D43" s="418">
        <f t="shared" si="0"/>
        <v>1</v>
      </c>
      <c r="E43" s="122">
        <f t="shared" ref="E43:G43" si="10">SUM(E44:E49)</f>
        <v>143507674122.94</v>
      </c>
      <c r="F43" s="230">
        <f t="shared" ref="F43:F49" si="11">E43/C43</f>
        <v>0.68658375887577494</v>
      </c>
      <c r="G43" s="122">
        <f t="shared" si="10"/>
        <v>131392622465.19</v>
      </c>
      <c r="H43" s="418">
        <f t="shared" ref="H43:H49" si="12">G43/E43</f>
        <v>0.91557906758790275</v>
      </c>
    </row>
    <row r="44" spans="1:8" s="16" customFormat="1" ht="30" customHeight="1" x14ac:dyDescent="0.2">
      <c r="A44" s="29"/>
      <c r="B44" s="38" t="s">
        <v>1409</v>
      </c>
      <c r="C44" s="46">
        <f>'SGTO POAI 2022'!AE135+'SGTO POAI 2022'!AE138+'SGTO POAI 2022'!AE154+'SGTO POAI 2022'!AE163+'SGTO POAI 2022'!AE164</f>
        <v>2673420939</v>
      </c>
      <c r="D44" s="427">
        <f t="shared" si="0"/>
        <v>1</v>
      </c>
      <c r="E44" s="46">
        <f>'SGTO POAI 2022'!AF135+'SGTO POAI 2022'!AF138+'SGTO POAI 2022'!AF154+'SGTO POAI 2022'!AF163+'SGTO POAI 2022'!AF164</f>
        <v>2543409585</v>
      </c>
      <c r="F44" s="230">
        <f t="shared" si="11"/>
        <v>0.95136891759042219</v>
      </c>
      <c r="G44" s="46">
        <f>'SGTO POAI 2022'!AG135+'SGTO POAI 2022'!AG138+'SGTO POAI 2022'!AG154+'SGTO POAI 2022'!AG163+'SGTO POAI 2022'!AG164</f>
        <v>2543409585</v>
      </c>
      <c r="H44" s="427">
        <f t="shared" si="12"/>
        <v>1</v>
      </c>
    </row>
    <row r="45" spans="1:8" ht="30" customHeight="1" x14ac:dyDescent="0.2">
      <c r="A45" s="29"/>
      <c r="B45" s="38" t="s">
        <v>1410</v>
      </c>
      <c r="C45" s="58">
        <f>'SGTO POAI 2022'!AN129+'SGTO POAI 2022'!AN132+'SGTO POAI 2022'!AN134+'SGTO POAI 2022'!AN138+'SGTO POAI 2022'!AN154+'SGTO POAI 2022'!AN156</f>
        <v>180736973259.51999</v>
      </c>
      <c r="D45" s="427">
        <f t="shared" si="0"/>
        <v>1</v>
      </c>
      <c r="E45" s="58">
        <f>'SGTO POAI 2022'!AO129+'SGTO POAI 2022'!AO132+'SGTO POAI 2022'!AO134+'SGTO POAI 2022'!AO138+'SGTO POAI 2022'!AO154+'SGTO POAI 2022'!AO156</f>
        <v>120294083927.25999</v>
      </c>
      <c r="F45" s="230">
        <f t="shared" si="11"/>
        <v>0.66557540362552092</v>
      </c>
      <c r="G45" s="58">
        <f>'SGTO POAI 2022'!AP129+'SGTO POAI 2022'!AP132+'SGTO POAI 2022'!AP134+'SGTO POAI 2022'!AP138+'SGTO POAI 2022'!AP154+'SGTO POAI 2022'!AP156</f>
        <v>118356754020</v>
      </c>
      <c r="H45" s="427">
        <f t="shared" si="12"/>
        <v>0.98389505249126408</v>
      </c>
    </row>
    <row r="46" spans="1:8" s="16" customFormat="1" ht="30" customHeight="1" x14ac:dyDescent="0.2">
      <c r="A46" s="293"/>
      <c r="B46" s="208" t="s">
        <v>1400</v>
      </c>
      <c r="C46" s="46">
        <f>'SGTO POAI 2022'!AT130+'SGTO POAI 2022'!AT131+'SGTO POAI 2022'!AT133+'SGTO POAI 2022'!AT134+'SGTO POAI 2022'!AT135+'SGTO POAI 2022'!AT136+'SGTO POAI 2022'!AT137+'SGTO POAI 2022'!AT138+'SGTO POAI 2022'!AT139+'SGTO POAI 2022'!AT140+'SGTO POAI 2022'!AT141+'SGTO POAI 2022'!AT142+'SGTO POAI 2022'!AT143+'SGTO POAI 2022'!AT144+'SGTO POAI 2022'!AT145+'SGTO POAI 2022'!AT146+'SGTO POAI 2022'!AT147+'SGTO POAI 2022'!AT148+'SGTO POAI 2022'!AT149+'SGTO POAI 2022'!AT150+'SGTO POAI 2022'!AT151+'SGTO POAI 2022'!AT152+'SGTO POAI 2022'!AT153+'SGTO POAI 2022'!AT154+'SGTO POAI 2022'!AT155+'SGTO POAI 2022'!AT157+'SGTO POAI 2022'!AT158+'SGTO POAI 2022'!AT159+'SGTO POAI 2022'!AT160+'SGTO POAI 2022'!AT161+'SGTO POAI 2022'!AT162+'SGTO POAI 2022'!AT163+'SGTO POAI 2022'!AT164</f>
        <v>14421659902.200001</v>
      </c>
      <c r="D46" s="427">
        <f t="shared" si="0"/>
        <v>1</v>
      </c>
      <c r="E46" s="46">
        <f>'SGTO POAI 2022'!AU130+'SGTO POAI 2022'!AU131+'SGTO POAI 2022'!AU133+'SGTO POAI 2022'!AU134+'SGTO POAI 2022'!AU135+'SGTO POAI 2022'!AU136+'SGTO POAI 2022'!AU137+'SGTO POAI 2022'!AU138+'SGTO POAI 2022'!AU139+'SGTO POAI 2022'!AU140+'SGTO POAI 2022'!AU141+'SGTO POAI 2022'!AU142+'SGTO POAI 2022'!AU143+'SGTO POAI 2022'!AU144+'SGTO POAI 2022'!AU145+'SGTO POAI 2022'!AU146+'SGTO POAI 2022'!AU147+'SGTO POAI 2022'!AU148+'SGTO POAI 2022'!AU149+'SGTO POAI 2022'!AU150+'SGTO POAI 2022'!AU151+'SGTO POAI 2022'!AU152+'SGTO POAI 2022'!AU153+'SGTO POAI 2022'!AU154+'SGTO POAI 2022'!AU155+'SGTO POAI 2022'!AU157+'SGTO POAI 2022'!AU158+'SGTO POAI 2022'!AU159+'SGTO POAI 2022'!AU160+'SGTO POAI 2022'!AU161+'SGTO POAI 2022'!AU162+'SGTO POAI 2022'!AU163+'SGTO POAI 2022'!AU164</f>
        <v>9817048869.6800003</v>
      </c>
      <c r="F46" s="230">
        <f t="shared" si="11"/>
        <v>0.68071559974746221</v>
      </c>
      <c r="G46" s="46">
        <f>'SGTO POAI 2022'!AV130+'SGTO POAI 2022'!AV131+'SGTO POAI 2022'!AV133+'SGTO POAI 2022'!AV134+'SGTO POAI 2022'!AV135+'SGTO POAI 2022'!AV136+'SGTO POAI 2022'!AV137+'SGTO POAI 2022'!AV138+'SGTO POAI 2022'!AV139+'SGTO POAI 2022'!AV140+'SGTO POAI 2022'!AV141+'SGTO POAI 2022'!AV142+'SGTO POAI 2022'!AV143+'SGTO POAI 2022'!AV144+'SGTO POAI 2022'!AV145+'SGTO POAI 2022'!AV146+'SGTO POAI 2022'!AV147+'SGTO POAI 2022'!AV148+'SGTO POAI 2022'!AV149+'SGTO POAI 2022'!AV150+'SGTO POAI 2022'!AV151+'SGTO POAI 2022'!AV152+'SGTO POAI 2022'!AV153+'SGTO POAI 2022'!AV154+'SGTO POAI 2022'!AV155+'SGTO POAI 2022'!AV157+'SGTO POAI 2022'!AV158+'SGTO POAI 2022'!AV159+'SGTO POAI 2022'!AV160+'SGTO POAI 2022'!AV161+'SGTO POAI 2022'!AV162+'SGTO POAI 2022'!AV163+'SGTO POAI 2022'!AV164</f>
        <v>4999137074.1399994</v>
      </c>
      <c r="H46" s="427">
        <f t="shared" si="12"/>
        <v>0.50923013020540797</v>
      </c>
    </row>
    <row r="47" spans="1:8" s="16" customFormat="1" ht="30" customHeight="1" x14ac:dyDescent="0.2">
      <c r="A47" s="411"/>
      <c r="B47" s="412" t="s">
        <v>1412</v>
      </c>
      <c r="C47" s="46">
        <f>'SGTO POAI 2022'!BC134</f>
        <v>10865798512.929998</v>
      </c>
      <c r="D47" s="427">
        <f t="shared" si="0"/>
        <v>1</v>
      </c>
      <c r="E47" s="46">
        <f>'SGTO POAI 2022'!BD134</f>
        <v>10534139821</v>
      </c>
      <c r="F47" s="230">
        <f t="shared" si="11"/>
        <v>0.96947682293801662</v>
      </c>
      <c r="G47" s="46">
        <f>'SGTO POAI 2022'!BE134</f>
        <v>5182387287.0500002</v>
      </c>
      <c r="H47" s="427">
        <f t="shared" si="12"/>
        <v>0.49196112593064473</v>
      </c>
    </row>
    <row r="48" spans="1:8" s="16" customFormat="1" ht="30" customHeight="1" x14ac:dyDescent="0.2">
      <c r="A48" s="29"/>
      <c r="B48" s="413" t="s">
        <v>1490</v>
      </c>
      <c r="C48" s="409">
        <f>'SGTO POAI 2022'!AW154+'SGTO POAI 2022'!AW134</f>
        <v>150081.03</v>
      </c>
      <c r="D48" s="437">
        <f t="shared" si="0"/>
        <v>1</v>
      </c>
      <c r="E48" s="409">
        <f>'SGTO POAI 2022'!AX154+'SGTO POAI 2022'!AX134</f>
        <v>0</v>
      </c>
      <c r="F48" s="230">
        <f t="shared" si="11"/>
        <v>0</v>
      </c>
      <c r="G48" s="409">
        <f>'SGTO POAI 2022'!AY154+'SGTO POAI 2022'!AY134</f>
        <v>0</v>
      </c>
      <c r="H48" s="437">
        <v>0</v>
      </c>
    </row>
    <row r="49" spans="1:8" s="74" customFormat="1" ht="30" customHeight="1" x14ac:dyDescent="0.2">
      <c r="A49" s="29"/>
      <c r="B49" s="30" t="s">
        <v>1411</v>
      </c>
      <c r="C49" s="410">
        <f>'SGTO POAI 2022'!BC154</f>
        <v>318992344.52999997</v>
      </c>
      <c r="D49" s="437">
        <f t="shared" si="0"/>
        <v>1</v>
      </c>
      <c r="E49" s="410">
        <f>'SGTO POAI 2022'!BD154</f>
        <v>318991920</v>
      </c>
      <c r="F49" s="230">
        <f t="shared" si="11"/>
        <v>0.99999866915301494</v>
      </c>
      <c r="G49" s="410">
        <f>'SGTO POAI 2022'!BE154</f>
        <v>310934499</v>
      </c>
      <c r="H49" s="437">
        <f t="shared" si="12"/>
        <v>0.97474098716983171</v>
      </c>
    </row>
    <row r="50" spans="1:8" s="74" customFormat="1" ht="30" customHeight="1" x14ac:dyDescent="0.2">
      <c r="A50" s="70"/>
      <c r="B50" s="71"/>
      <c r="C50" s="73"/>
      <c r="D50" s="420"/>
      <c r="E50" s="73"/>
      <c r="G50" s="73"/>
      <c r="H50" s="452"/>
    </row>
    <row r="51" spans="1:8" s="74" customFormat="1" ht="30" customHeight="1" x14ac:dyDescent="0.2">
      <c r="A51" s="123" t="s">
        <v>649</v>
      </c>
      <c r="B51" s="121"/>
      <c r="C51" s="122">
        <f>SUM(C52:C53)</f>
        <v>8435877609.1800003</v>
      </c>
      <c r="D51" s="418">
        <f t="shared" si="0"/>
        <v>1</v>
      </c>
      <c r="E51" s="122">
        <f>SUM(E52:E53)</f>
        <v>4557572989.25</v>
      </c>
      <c r="F51" s="230">
        <f>E51/C51</f>
        <v>0.54026068186318954</v>
      </c>
      <c r="G51" s="122">
        <f>SUM(G52:G53)</f>
        <v>3932919407.8499999</v>
      </c>
      <c r="H51" s="418">
        <f t="shared" ref="H51:H53" si="13">G51/E51</f>
        <v>0.862941617638735</v>
      </c>
    </row>
    <row r="52" spans="1:8" s="87" customFormat="1" ht="30" customHeight="1" x14ac:dyDescent="0.2">
      <c r="A52" s="29"/>
      <c r="B52" s="38" t="s">
        <v>1413</v>
      </c>
      <c r="C52" s="58">
        <f>'SGTO POAI 2022'!AB188</f>
        <v>6044277761.5699997</v>
      </c>
      <c r="D52" s="427">
        <f t="shared" si="0"/>
        <v>1</v>
      </c>
      <c r="E52" s="58">
        <f>'SGTO POAI 2022'!AC188</f>
        <v>2810174485.25</v>
      </c>
      <c r="F52" s="230">
        <f>E52/C52</f>
        <v>0.46493139397353866</v>
      </c>
      <c r="G52" s="58">
        <f>'SGTO POAI 2022'!AD188</f>
        <v>2810174485.25</v>
      </c>
      <c r="H52" s="427">
        <f t="shared" si="13"/>
        <v>1</v>
      </c>
    </row>
    <row r="53" spans="1:8" s="87" customFormat="1" ht="30" customHeight="1" x14ac:dyDescent="0.2">
      <c r="A53" s="29"/>
      <c r="B53" s="209" t="s">
        <v>1400</v>
      </c>
      <c r="C53" s="58">
        <f>'SGTO POAI 2022'!AT165+'SGTO POAI 2022'!AT166+'SGTO POAI 2022'!AT167+'SGTO POAI 2022'!AT168+'SGTO POAI 2022'!AT169+'SGTO POAI 2022'!AT170+'SGTO POAI 2022'!AT171+'SGTO POAI 2022'!AT172+'SGTO POAI 2022'!AT173+'SGTO POAI 2022'!AT174+'SGTO POAI 2022'!AT175+'SGTO POAI 2022'!AT176+'SGTO POAI 2022'!AT177+'SGTO POAI 2022'!AT178+'SGTO POAI 2022'!AT179+'SGTO POAI 2022'!AT180+'SGTO POAI 2022'!AT181+'SGTO POAI 2022'!AT182+'SGTO POAI 2022'!AT183+'SGTO POAI 2022'!AT184+'SGTO POAI 2022'!AT185+'SGTO POAI 2022'!AT186+'SGTO POAI 2022'!AT187+'SGTO POAI 2022'!AT189+'SGTO POAI 2022'!AT190+'SGTO POAI 2022'!AT191+'SGTO POAI 2022'!AT192+'SGTO POAI 2022'!AT193+'SGTO POAI 2022'!AT194+'SGTO POAI 2022'!AT195</f>
        <v>2391599847.6100001</v>
      </c>
      <c r="D53" s="427">
        <f t="shared" si="0"/>
        <v>1</v>
      </c>
      <c r="E53" s="58">
        <f>'SGTO POAI 2022'!AU165+'SGTO POAI 2022'!AU166+'SGTO POAI 2022'!AU167+'SGTO POAI 2022'!AU168+'SGTO POAI 2022'!AU169+'SGTO POAI 2022'!AU170+'SGTO POAI 2022'!AU171+'SGTO POAI 2022'!AU172+'SGTO POAI 2022'!AU173+'SGTO POAI 2022'!AU174+'SGTO POAI 2022'!AU175+'SGTO POAI 2022'!AU176+'SGTO POAI 2022'!AU177+'SGTO POAI 2022'!AU178+'SGTO POAI 2022'!AU179+'SGTO POAI 2022'!AU180+'SGTO POAI 2022'!AU181+'SGTO POAI 2022'!AU182+'SGTO POAI 2022'!AU183+'SGTO POAI 2022'!AU184+'SGTO POAI 2022'!AU185+'SGTO POAI 2022'!AU186+'SGTO POAI 2022'!AU187+'SGTO POAI 2022'!AU189+'SGTO POAI 2022'!AU190+'SGTO POAI 2022'!AU191+'SGTO POAI 2022'!AU192+'SGTO POAI 2022'!AU193+'SGTO POAI 2022'!AU194+'SGTO POAI 2022'!AU195</f>
        <v>1747398504</v>
      </c>
      <c r="F53" s="230">
        <f>E53/C53</f>
        <v>0.73063999637992516</v>
      </c>
      <c r="G53" s="58">
        <f>'SGTO POAI 2022'!AV165+'SGTO POAI 2022'!AV166+'SGTO POAI 2022'!AV167+'SGTO POAI 2022'!AV168+'SGTO POAI 2022'!AV169+'SGTO POAI 2022'!AV170+'SGTO POAI 2022'!AV171+'SGTO POAI 2022'!AV172+'SGTO POAI 2022'!AV173+'SGTO POAI 2022'!AV174+'SGTO POAI 2022'!AV175+'SGTO POAI 2022'!AV176+'SGTO POAI 2022'!AV177+'SGTO POAI 2022'!AV178+'SGTO POAI 2022'!AV179+'SGTO POAI 2022'!AV180+'SGTO POAI 2022'!AV181+'SGTO POAI 2022'!AV182+'SGTO POAI 2022'!AV183+'SGTO POAI 2022'!AV184+'SGTO POAI 2022'!AV185+'SGTO POAI 2022'!AV186+'SGTO POAI 2022'!AV187+'SGTO POAI 2022'!AV189+'SGTO POAI 2022'!AV190+'SGTO POAI 2022'!AV191+'SGTO POAI 2022'!AV192+'SGTO POAI 2022'!AV193+'SGTO POAI 2022'!AV194+'SGTO POAI 2022'!AV195</f>
        <v>1122744922.5999999</v>
      </c>
      <c r="H53" s="427">
        <f t="shared" si="13"/>
        <v>0.64252368308082286</v>
      </c>
    </row>
    <row r="54" spans="1:8" ht="30" customHeight="1" x14ac:dyDescent="0.2">
      <c r="A54" s="70"/>
      <c r="B54" s="71"/>
      <c r="C54" s="73"/>
      <c r="D54" s="420"/>
      <c r="E54" s="73"/>
      <c r="G54" s="73"/>
      <c r="H54" s="452"/>
    </row>
    <row r="55" spans="1:8" ht="30" customHeight="1" x14ac:dyDescent="0.2">
      <c r="A55" s="123" t="s">
        <v>804</v>
      </c>
      <c r="B55" s="121"/>
      <c r="C55" s="122">
        <f>SUM(C56:C60)</f>
        <v>68331963024.720001</v>
      </c>
      <c r="D55" s="418">
        <f t="shared" si="0"/>
        <v>1</v>
      </c>
      <c r="E55" s="122">
        <f t="shared" ref="E55:G55" si="14">SUM(E56:E60)</f>
        <v>54128632817.660004</v>
      </c>
      <c r="F55" s="230">
        <f t="shared" ref="F55:F60" si="15">E55/C55</f>
        <v>0.79214221897998516</v>
      </c>
      <c r="G55" s="122">
        <f t="shared" si="14"/>
        <v>42344072000.309998</v>
      </c>
      <c r="H55" s="418">
        <f t="shared" ref="H55:H60" si="16">G55/E55</f>
        <v>0.78228600642754131</v>
      </c>
    </row>
    <row r="56" spans="1:8" s="16" customFormat="1" ht="30" customHeight="1" x14ac:dyDescent="0.2">
      <c r="A56" s="29"/>
      <c r="B56" s="38" t="s">
        <v>1409</v>
      </c>
      <c r="C56" s="58">
        <f>SUM('SGTO POAI 2022'!AE196:AE254)</f>
        <v>659888430.18000007</v>
      </c>
      <c r="D56" s="427">
        <f t="shared" si="0"/>
        <v>1</v>
      </c>
      <c r="E56" s="58">
        <f>SUM('SGTO POAI 2022'!AF196:AF254)</f>
        <v>0</v>
      </c>
      <c r="F56" s="230">
        <f t="shared" si="15"/>
        <v>0</v>
      </c>
      <c r="G56" s="58">
        <f>SUM('SGTO POAI 2022'!AG196:AG254)</f>
        <v>0</v>
      </c>
      <c r="H56" s="427">
        <v>0</v>
      </c>
    </row>
    <row r="57" spans="1:8" s="16" customFormat="1" ht="30" customHeight="1" x14ac:dyDescent="0.2">
      <c r="A57" s="29"/>
      <c r="B57" s="38" t="s">
        <v>1414</v>
      </c>
      <c r="C57" s="58">
        <f>SUM('SGTO POAI 2022'!AH196:AH254)</f>
        <v>8527824913.7800007</v>
      </c>
      <c r="D57" s="427">
        <f t="shared" si="0"/>
        <v>1</v>
      </c>
      <c r="E57" s="58">
        <f>SUM('SGTO POAI 2022'!AI196:AI254)</f>
        <v>6049762001.96</v>
      </c>
      <c r="F57" s="230">
        <f t="shared" si="15"/>
        <v>0.70941442432574675</v>
      </c>
      <c r="G57" s="58">
        <f>SUM('SGTO POAI 2022'!AJ196:AJ254)</f>
        <v>3409762966</v>
      </c>
      <c r="H57" s="427">
        <f t="shared" si="16"/>
        <v>0.56361935641357563</v>
      </c>
    </row>
    <row r="58" spans="1:8" s="16" customFormat="1" ht="30" customHeight="1" x14ac:dyDescent="0.2">
      <c r="A58" s="29"/>
      <c r="B58" s="38" t="s">
        <v>1415</v>
      </c>
      <c r="C58" s="58">
        <f>SUM('SGTO POAI 2022'!AK196:AK254)</f>
        <v>45436328386.419998</v>
      </c>
      <c r="D58" s="427">
        <f t="shared" si="0"/>
        <v>1</v>
      </c>
      <c r="E58" s="58">
        <f>SUM('SGTO POAI 2022'!AL196:AL254)</f>
        <v>36936758830.700005</v>
      </c>
      <c r="F58" s="230">
        <f t="shared" si="15"/>
        <v>0.8129344985044975</v>
      </c>
      <c r="G58" s="58">
        <f>SUM('SGTO POAI 2022'!AM196:AM254)</f>
        <v>29454957589.309998</v>
      </c>
      <c r="H58" s="427">
        <f t="shared" si="16"/>
        <v>0.79744294090115175</v>
      </c>
    </row>
    <row r="59" spans="1:8" s="16" customFormat="1" ht="30" customHeight="1" x14ac:dyDescent="0.2">
      <c r="A59" s="29"/>
      <c r="B59" s="38" t="s">
        <v>1400</v>
      </c>
      <c r="C59" s="58">
        <f>SUM('SGTO POAI 2022'!AT196:AT254)</f>
        <v>1927364800</v>
      </c>
      <c r="D59" s="427">
        <f t="shared" si="0"/>
        <v>1</v>
      </c>
      <c r="E59" s="58">
        <f>SUM('SGTO POAI 2022'!AU196:AU254)</f>
        <v>1393314427</v>
      </c>
      <c r="F59" s="230">
        <f t="shared" si="15"/>
        <v>0.72291162887274896</v>
      </c>
      <c r="G59" s="58">
        <f>SUM('SGTO POAI 2022'!AV196:AV254)</f>
        <v>885809021</v>
      </c>
      <c r="H59" s="427">
        <f t="shared" si="16"/>
        <v>0.63575672786742776</v>
      </c>
    </row>
    <row r="60" spans="1:8" s="16" customFormat="1" ht="30" customHeight="1" x14ac:dyDescent="0.2">
      <c r="A60" s="29"/>
      <c r="B60" s="38" t="s">
        <v>1496</v>
      </c>
      <c r="C60" s="58">
        <f>SUM('SGTO POAI 2022'!BC196:BC254)+SUM('SGTO POAI 2022'!AW222:AW254)</f>
        <v>11780556494.34</v>
      </c>
      <c r="D60" s="427">
        <f t="shared" si="0"/>
        <v>1</v>
      </c>
      <c r="E60" s="58">
        <f>SUM('SGTO POAI 2022'!BD196:BD254)+SUM('SGTO POAI 2022'!AX222:AX254)</f>
        <v>9748797558</v>
      </c>
      <c r="F60" s="230">
        <f t="shared" si="15"/>
        <v>0.82753285574275171</v>
      </c>
      <c r="G60" s="58">
        <f>SUM('SGTO POAI 2022'!BE196:BE254)+SUM('SGTO POAI 2022'!AY222:AY254)</f>
        <v>8593542424</v>
      </c>
      <c r="H60" s="427">
        <f t="shared" si="16"/>
        <v>0.8814976793674435</v>
      </c>
    </row>
    <row r="61" spans="1:8" s="4" customFormat="1" ht="30" customHeight="1" x14ac:dyDescent="0.2">
      <c r="A61" s="70"/>
      <c r="B61" s="71"/>
      <c r="C61" s="73"/>
      <c r="D61" s="420"/>
      <c r="E61" s="73"/>
      <c r="G61" s="73"/>
      <c r="H61" s="452"/>
    </row>
    <row r="62" spans="1:8" s="4" customFormat="1" ht="30" customHeight="1" x14ac:dyDescent="0.25">
      <c r="A62" s="111" t="s">
        <v>1417</v>
      </c>
      <c r="B62" s="121"/>
      <c r="C62" s="122">
        <f>C63</f>
        <v>1631066000</v>
      </c>
      <c r="D62" s="418">
        <f t="shared" si="0"/>
        <v>1</v>
      </c>
      <c r="E62" s="122">
        <f>E63</f>
        <v>1404330638</v>
      </c>
      <c r="F62" s="230">
        <f>E62/C62</f>
        <v>0.86098946210637706</v>
      </c>
      <c r="G62" s="122">
        <f>G63</f>
        <v>957387066</v>
      </c>
      <c r="H62" s="418">
        <f t="shared" ref="H62:H63" si="17">G62/E62</f>
        <v>0.6817390720489287</v>
      </c>
    </row>
    <row r="63" spans="1:8" s="4" customFormat="1" ht="30" customHeight="1" x14ac:dyDescent="0.25">
      <c r="A63" s="68"/>
      <c r="B63" s="124" t="s">
        <v>1400</v>
      </c>
      <c r="C63" s="58">
        <f>'SGTO POAI 2022'!AT255+'SGTO POAI 2022'!AT256+'SGTO POAI 2022'!AT257+'SGTO POAI 2022'!AT258+'SGTO POAI 2022'!AT259+'SGTO POAI 2022'!AT260+'SGTO POAI 2022'!AT261+'SGTO POAI 2022'!AT262+'SGTO POAI 2022'!AT263+'SGTO POAI 2022'!AT264+'SGTO POAI 2022'!AT265+'SGTO POAI 2022'!AT266+'SGTO POAI 2022'!AT267+'SGTO POAI 2022'!AT268+'SGTO POAI 2022'!AT269+'SGTO POAI 2022'!AT270+'SGTO POAI 2022'!AT271+'SGTO POAI 2022'!AT272+'SGTO POAI 2022'!AT273+'SGTO POAI 2022'!AT274+'SGTO POAI 2022'!AT275+'SGTO POAI 2022'!AT276+'SGTO POAI 2022'!AT277+'SGTO POAI 2022'!AT278</f>
        <v>1631066000</v>
      </c>
      <c r="D63" s="427">
        <f t="shared" si="0"/>
        <v>1</v>
      </c>
      <c r="E63" s="58">
        <f>'SGTO POAI 2022'!AU255+'SGTO POAI 2022'!AU256+'SGTO POAI 2022'!AU257+'SGTO POAI 2022'!AU258+'SGTO POAI 2022'!AU259+'SGTO POAI 2022'!AU260+'SGTO POAI 2022'!AU261+'SGTO POAI 2022'!AU262+'SGTO POAI 2022'!AU263+'SGTO POAI 2022'!AU264+'SGTO POAI 2022'!AU265+'SGTO POAI 2022'!AU266+'SGTO POAI 2022'!AU267+'SGTO POAI 2022'!AU268+'SGTO POAI 2022'!AU269+'SGTO POAI 2022'!AU270+'SGTO POAI 2022'!AU271+'SGTO POAI 2022'!AU272+'SGTO POAI 2022'!AU273+'SGTO POAI 2022'!AU274+'SGTO POAI 2022'!AU275+'SGTO POAI 2022'!AU276+'SGTO POAI 2022'!AU277+'SGTO POAI 2022'!AU278</f>
        <v>1404330638</v>
      </c>
      <c r="F63" s="230">
        <f>E63/C63</f>
        <v>0.86098946210637706</v>
      </c>
      <c r="G63" s="58">
        <f>'SGTO POAI 2022'!AV255+'SGTO POAI 2022'!AV256+'SGTO POAI 2022'!AV257+'SGTO POAI 2022'!AV258+'SGTO POAI 2022'!AV259+'SGTO POAI 2022'!AV260+'SGTO POAI 2022'!AV261+'SGTO POAI 2022'!AV262+'SGTO POAI 2022'!AV263+'SGTO POAI 2022'!AV264+'SGTO POAI 2022'!AV265+'SGTO POAI 2022'!AV266+'SGTO POAI 2022'!AV267+'SGTO POAI 2022'!AV268+'SGTO POAI 2022'!AV269+'SGTO POAI 2022'!AV270+'SGTO POAI 2022'!AV271+'SGTO POAI 2022'!AV272+'SGTO POAI 2022'!AV273+'SGTO POAI 2022'!AV274+'SGTO POAI 2022'!AV275+'SGTO POAI 2022'!AV276+'SGTO POAI 2022'!AV277+'SGTO POAI 2022'!AV278</f>
        <v>957387066</v>
      </c>
      <c r="H63" s="427">
        <f t="shared" si="17"/>
        <v>0.6817390720489287</v>
      </c>
    </row>
    <row r="64" spans="1:8" s="13" customFormat="1" ht="30" customHeight="1" x14ac:dyDescent="0.25">
      <c r="A64" s="70"/>
      <c r="B64" s="71"/>
      <c r="C64" s="73"/>
      <c r="D64" s="420"/>
      <c r="E64" s="73"/>
      <c r="G64" s="73"/>
      <c r="H64" s="452"/>
    </row>
    <row r="65" spans="1:8" s="74" customFormat="1" ht="30" customHeight="1" x14ac:dyDescent="0.2">
      <c r="A65" s="162" t="s">
        <v>1053</v>
      </c>
      <c r="B65" s="165"/>
      <c r="C65" s="166">
        <f>C6+C9+C12+C16+C23+C27+C32+C36+C40+C43+C51+C55+C62</f>
        <v>348347514675.73999</v>
      </c>
      <c r="D65" s="433">
        <f t="shared" si="0"/>
        <v>1</v>
      </c>
      <c r="E65" s="166">
        <f>E6+E9+E12+E16+E23+E27+E32+E36+E40+E43+E51+E55+E62</f>
        <v>237707568371.31</v>
      </c>
      <c r="F65" s="230">
        <f>E65/C65</f>
        <v>0.68238629057704225</v>
      </c>
      <c r="G65" s="166">
        <f>G6+G9+G12+G16+G23+G27+G32+G36+G40+G43+G51+G55+G62</f>
        <v>195978899122.16</v>
      </c>
      <c r="H65" s="433">
        <f>G65/E65</f>
        <v>0.82445376251559677</v>
      </c>
    </row>
    <row r="66" spans="1:8" ht="30" customHeight="1" x14ac:dyDescent="0.2">
      <c r="A66" s="70"/>
      <c r="B66" s="71"/>
      <c r="C66" s="73"/>
      <c r="D66" s="420"/>
      <c r="E66" s="73"/>
      <c r="G66" s="73"/>
      <c r="H66" s="452"/>
    </row>
    <row r="67" spans="1:8" ht="30" customHeight="1" x14ac:dyDescent="0.2">
      <c r="A67" s="123" t="s">
        <v>1054</v>
      </c>
      <c r="B67" s="121"/>
      <c r="C67" s="122">
        <f>SUM(C68:C72)</f>
        <v>6744858478.1300001</v>
      </c>
      <c r="D67" s="418">
        <f t="shared" si="0"/>
        <v>1</v>
      </c>
      <c r="E67" s="122">
        <f t="shared" ref="E67:G67" si="18">SUM(E68:E72)</f>
        <v>4539711210.1300001</v>
      </c>
      <c r="F67" s="230">
        <f t="shared" ref="F67:F72" si="19">E67/C67</f>
        <v>0.67306248527672996</v>
      </c>
      <c r="G67" s="122">
        <f t="shared" si="18"/>
        <v>3000763754.1300001</v>
      </c>
      <c r="H67" s="418">
        <f t="shared" ref="H67:H72" si="20">G67/E67</f>
        <v>0.661003225807412</v>
      </c>
    </row>
    <row r="68" spans="1:8" s="16" customFormat="1" ht="30" customHeight="1" x14ac:dyDescent="0.2">
      <c r="A68" s="29"/>
      <c r="B68" s="294" t="s">
        <v>1501</v>
      </c>
      <c r="C68" s="58">
        <f>'SGTO POAI 2022'!AB279+'SGTO POAI 2022'!AB281+'SGTO POAI 2022'!AB283</f>
        <v>3406610565.3299999</v>
      </c>
      <c r="D68" s="427">
        <f t="shared" si="0"/>
        <v>1</v>
      </c>
      <c r="E68" s="58">
        <f>'SGTO POAI 2022'!AC279+'SGTO POAI 2022'!AC281+'SGTO POAI 2022'!AC283</f>
        <v>2050729888</v>
      </c>
      <c r="F68" s="230">
        <f t="shared" si="19"/>
        <v>0.6019854188414826</v>
      </c>
      <c r="G68" s="58">
        <f>'SGTO POAI 2022'!AD279+'SGTO POAI 2022'!AD281+'SGTO POAI 2022'!AD283</f>
        <v>1204488194</v>
      </c>
      <c r="H68" s="427">
        <f t="shared" si="20"/>
        <v>0.58734609616222655</v>
      </c>
    </row>
    <row r="69" spans="1:8" s="16" customFormat="1" ht="30" customHeight="1" x14ac:dyDescent="0.2">
      <c r="A69" s="29"/>
      <c r="B69" s="294" t="s">
        <v>1418</v>
      </c>
      <c r="C69" s="58">
        <f>'SGTO POAI 2022'!AE279+'SGTO POAI 2022'!AE280+'SGTO POAI 2022'!AE281+'SGTO POAI 2022'!AE282+'SGTO POAI 2022'!AE283</f>
        <v>910154836</v>
      </c>
      <c r="D69" s="427">
        <f t="shared" si="0"/>
        <v>1</v>
      </c>
      <c r="E69" s="58">
        <f>'SGTO POAI 2022'!AF279+'SGTO POAI 2022'!AF280+'SGTO POAI 2022'!AF281+'SGTO POAI 2022'!AF282+'SGTO POAI 2022'!AF283</f>
        <v>650238234.01999998</v>
      </c>
      <c r="F69" s="230">
        <f t="shared" si="19"/>
        <v>0.71442595072911308</v>
      </c>
      <c r="G69" s="58">
        <f>'SGTO POAI 2022'!AG279+'SGTO POAI 2022'!AG280+'SGTO POAI 2022'!AG281+'SGTO POAI 2022'!AG282+'SGTO POAI 2022'!AG283</f>
        <v>494605379.01999998</v>
      </c>
      <c r="H69" s="427">
        <f t="shared" si="20"/>
        <v>0.7606525626187447</v>
      </c>
    </row>
    <row r="70" spans="1:8" s="16" customFormat="1" ht="30" customHeight="1" x14ac:dyDescent="0.2">
      <c r="A70" s="29"/>
      <c r="B70" s="294" t="s">
        <v>1488</v>
      </c>
      <c r="C70" s="58">
        <f>'SGTO POAI 2022'!AK281+'SGTO POAI 2022'!AK282+'SGTO POAI 2022'!AK283+'SGTO POAI 2022'!AK284</f>
        <v>394592792</v>
      </c>
      <c r="D70" s="427">
        <f t="shared" si="0"/>
        <v>1</v>
      </c>
      <c r="E70" s="58">
        <f>'SGTO POAI 2022'!AL281+'SGTO POAI 2022'!AL282+'SGTO POAI 2022'!AL283+'SGTO POAI 2022'!AL284</f>
        <v>226439310</v>
      </c>
      <c r="F70" s="230">
        <f t="shared" si="19"/>
        <v>0.57385566738887617</v>
      </c>
      <c r="G70" s="58">
        <f>'SGTO POAI 2022'!AM281+'SGTO POAI 2022'!AM282+'SGTO POAI 2022'!AM283+'SGTO POAI 2022'!AM284</f>
        <v>165344010</v>
      </c>
      <c r="H70" s="427">
        <f t="shared" si="20"/>
        <v>0.73019128171694214</v>
      </c>
    </row>
    <row r="71" spans="1:8" s="16" customFormat="1" ht="30" customHeight="1" x14ac:dyDescent="0.2">
      <c r="A71" s="29"/>
      <c r="B71" s="294" t="s">
        <v>1400</v>
      </c>
      <c r="C71" s="58">
        <f>'SGTO POAI 2022'!AT281+'SGTO POAI 2022'!AT283+'SGTO POAI 2022'!AT284</f>
        <v>1047366655.1800001</v>
      </c>
      <c r="D71" s="427">
        <f t="shared" si="0"/>
        <v>1</v>
      </c>
      <c r="E71" s="58">
        <f>'SGTO POAI 2022'!AU281+'SGTO POAI 2022'!AU283+'SGTO POAI 2022'!AU284</f>
        <v>913943024</v>
      </c>
      <c r="F71" s="230">
        <f t="shared" si="19"/>
        <v>0.87261038861594276</v>
      </c>
      <c r="G71" s="58">
        <f>'SGTO POAI 2022'!AV281+'SGTO POAI 2022'!AV283+'SGTO POAI 2022'!AV284</f>
        <v>596217917</v>
      </c>
      <c r="H71" s="427">
        <f t="shared" si="20"/>
        <v>0.65235786186163836</v>
      </c>
    </row>
    <row r="72" spans="1:8" s="16" customFormat="1" ht="30" customHeight="1" x14ac:dyDescent="0.2">
      <c r="A72" s="29"/>
      <c r="B72" s="294" t="s">
        <v>1489</v>
      </c>
      <c r="C72" s="58">
        <f>'SGTO POAI 2022'!AW279+'SGTO POAI 2022'!AW280+'SGTO POAI 2022'!AW281+'SGTO POAI 2022'!AW282+'SGTO POAI 2022'!AW283+'SGTO POAI 2022'!AW284</f>
        <v>986133629.62</v>
      </c>
      <c r="D72" s="427">
        <f t="shared" si="0"/>
        <v>1</v>
      </c>
      <c r="E72" s="58">
        <f>'SGTO POAI 2022'!AX279+'SGTO POAI 2022'!AX280+'SGTO POAI 2022'!AX281+'SGTO POAI 2022'!AX282+'SGTO POAI 2022'!AX283+'SGTO POAI 2022'!AX284</f>
        <v>698360754.11000001</v>
      </c>
      <c r="F72" s="230">
        <f t="shared" si="19"/>
        <v>0.70818064928899005</v>
      </c>
      <c r="G72" s="58">
        <f>'SGTO POAI 2022'!AY279+'SGTO POAI 2022'!AY280+'SGTO POAI 2022'!AY281+'SGTO POAI 2022'!AY282+'SGTO POAI 2022'!AY283+'SGTO POAI 2022'!AY284</f>
        <v>540108254.11000001</v>
      </c>
      <c r="H72" s="427">
        <f t="shared" si="20"/>
        <v>0.77339433943180402</v>
      </c>
    </row>
    <row r="73" spans="1:8" s="74" customFormat="1" ht="30" customHeight="1" x14ac:dyDescent="0.2">
      <c r="A73" s="70"/>
      <c r="B73" s="71"/>
      <c r="C73" s="73"/>
      <c r="D73" s="420"/>
      <c r="E73" s="73"/>
      <c r="G73" s="73"/>
      <c r="H73" s="452"/>
    </row>
    <row r="74" spans="1:8" s="74" customFormat="1" ht="30" customHeight="1" x14ac:dyDescent="0.2">
      <c r="A74" s="123" t="s">
        <v>1295</v>
      </c>
      <c r="B74" s="121"/>
      <c r="C74" s="122">
        <f>SUM(C75:C76)</f>
        <v>3175054512</v>
      </c>
      <c r="D74" s="418">
        <f t="shared" si="0"/>
        <v>1</v>
      </c>
      <c r="E74" s="122">
        <f>SUM(E75:E76)</f>
        <v>1108224927.79</v>
      </c>
      <c r="F74" s="230">
        <f>E74/C74</f>
        <v>0.34904122861560494</v>
      </c>
      <c r="G74" s="122">
        <f>SUM(G75:G76)</f>
        <v>759933973.39999998</v>
      </c>
      <c r="H74" s="418">
        <f t="shared" ref="H74:H76" si="21">G74/E74</f>
        <v>0.68572178295560016</v>
      </c>
    </row>
    <row r="75" spans="1:8" ht="30" customHeight="1" x14ac:dyDescent="0.2">
      <c r="A75" s="90"/>
      <c r="B75" s="38" t="s">
        <v>1419</v>
      </c>
      <c r="C75" s="58">
        <f>SUM('SGTO POAI 2022'!AB285:AB295)</f>
        <v>2117009971</v>
      </c>
      <c r="D75" s="427">
        <f t="shared" ref="D75:D76" si="22">C75/C75</f>
        <v>1</v>
      </c>
      <c r="E75" s="58">
        <f>SUM('SGTO POAI 2022'!AC285:AC295)</f>
        <v>459961142.54000002</v>
      </c>
      <c r="F75" s="230">
        <f>E75/C75</f>
        <v>0.21726923767049183</v>
      </c>
      <c r="G75" s="58">
        <f>SUM('SGTO POAI 2022'!AD285:AD295)</f>
        <v>279940656.64999998</v>
      </c>
      <c r="H75" s="427">
        <f t="shared" si="21"/>
        <v>0.60861805652562317</v>
      </c>
    </row>
    <row r="76" spans="1:8" s="74" customFormat="1" ht="30" customHeight="1" x14ac:dyDescent="0.2">
      <c r="A76" s="90"/>
      <c r="B76" s="38" t="s">
        <v>1420</v>
      </c>
      <c r="C76" s="58">
        <f>SUM('SGTO POAI 2022'!AW285:AW295)</f>
        <v>1058044541.0000001</v>
      </c>
      <c r="D76" s="427">
        <f t="shared" si="22"/>
        <v>1</v>
      </c>
      <c r="E76" s="58">
        <f>SUM('SGTO POAI 2022'!AX285:AX295)</f>
        <v>648263785.25</v>
      </c>
      <c r="F76" s="230">
        <f>E76/C76</f>
        <v>0.61269990074075709</v>
      </c>
      <c r="G76" s="58">
        <f>SUM('SGTO POAI 2022'!AY285:AY295)</f>
        <v>479993316.75</v>
      </c>
      <c r="H76" s="427">
        <f t="shared" si="21"/>
        <v>0.74042901619884993</v>
      </c>
    </row>
    <row r="77" spans="1:8" ht="30" customHeight="1" x14ac:dyDescent="0.2">
      <c r="A77" s="70"/>
      <c r="B77" s="71"/>
      <c r="C77" s="73"/>
      <c r="D77" s="420"/>
      <c r="E77" s="73"/>
      <c r="G77" s="73"/>
      <c r="H77" s="452"/>
    </row>
    <row r="78" spans="1:8" ht="30" customHeight="1" x14ac:dyDescent="0.2">
      <c r="A78" s="111" t="s">
        <v>1107</v>
      </c>
      <c r="B78" s="121"/>
      <c r="C78" s="122">
        <f>C79</f>
        <v>113516300</v>
      </c>
      <c r="D78" s="418">
        <f t="shared" ref="D78:D79" si="23">C78/C78</f>
        <v>1</v>
      </c>
      <c r="E78" s="122">
        <f>E79</f>
        <v>79300000</v>
      </c>
      <c r="F78" s="230">
        <f>E78/C78</f>
        <v>0.69857808966641799</v>
      </c>
      <c r="G78" s="122">
        <f>G79</f>
        <v>3750000</v>
      </c>
      <c r="H78" s="418" t="e">
        <v>#DIV/0!</v>
      </c>
    </row>
    <row r="79" spans="1:8" s="74" customFormat="1" ht="30" customHeight="1" x14ac:dyDescent="0.2">
      <c r="A79" s="68"/>
      <c r="B79" s="124" t="s">
        <v>1421</v>
      </c>
      <c r="C79" s="58">
        <f>'SGTO POAI 2022'!AW296+'SGTO POAI 2022'!AW297+'SGTO POAI 2022'!AW298+'SGTO POAI 2022'!AW299</f>
        <v>113516300</v>
      </c>
      <c r="D79" s="427">
        <f t="shared" si="23"/>
        <v>1</v>
      </c>
      <c r="E79" s="58">
        <f>'SGTO POAI 2022'!AX296+'SGTO POAI 2022'!AX297+'SGTO POAI 2022'!AX298+'SGTO POAI 2022'!AX299</f>
        <v>79300000</v>
      </c>
      <c r="F79" s="230">
        <f>E79/C79</f>
        <v>0.69857808966641799</v>
      </c>
      <c r="G79" s="58">
        <f>'SGTO POAI 2022'!AY296+'SGTO POAI 2022'!AY297+'SGTO POAI 2022'!AY298+'SGTO POAI 2022'!AY299</f>
        <v>3750000</v>
      </c>
      <c r="H79" s="427">
        <f>G79/E79</f>
        <v>4.728877679697352E-2</v>
      </c>
    </row>
    <row r="80" spans="1:8" s="101" customFormat="1" ht="30" customHeight="1" x14ac:dyDescent="0.25">
      <c r="A80" s="7"/>
      <c r="B80" s="8"/>
      <c r="C80" s="100"/>
      <c r="D80" s="423"/>
      <c r="E80" s="100"/>
      <c r="G80" s="100"/>
      <c r="H80" s="454"/>
    </row>
    <row r="81" spans="1:8" s="101" customFormat="1" ht="30" customHeight="1" x14ac:dyDescent="0.25">
      <c r="A81" s="162" t="s">
        <v>1276</v>
      </c>
      <c r="B81" s="162"/>
      <c r="C81" s="163">
        <f>C78+C74+C67</f>
        <v>10033429290.130001</v>
      </c>
      <c r="D81" s="426">
        <f t="shared" ref="D81" si="24">C81/C81</f>
        <v>1</v>
      </c>
      <c r="E81" s="163">
        <f>E78+E74+E67</f>
        <v>5727236137.9200001</v>
      </c>
      <c r="F81" s="230">
        <f>E81/C81</f>
        <v>0.57081541836886696</v>
      </c>
      <c r="G81" s="163">
        <f>G78+G74+G67</f>
        <v>3764447727.5300002</v>
      </c>
      <c r="H81" s="426">
        <f>G81/E81</f>
        <v>0.65728872302044816</v>
      </c>
    </row>
    <row r="82" spans="1:8" s="101" customFormat="1" ht="30" customHeight="1" thickBot="1" x14ac:dyDescent="0.3">
      <c r="A82" s="102"/>
      <c r="B82" s="103"/>
      <c r="C82" s="104"/>
      <c r="D82" s="424"/>
      <c r="E82" s="104"/>
      <c r="G82" s="104"/>
      <c r="H82" s="455"/>
    </row>
    <row r="83" spans="1:8" ht="30" customHeight="1" thickBot="1" x14ac:dyDescent="0.3">
      <c r="A83" s="158" t="s">
        <v>1124</v>
      </c>
      <c r="B83" s="160"/>
      <c r="C83" s="161">
        <f>C65+C81</f>
        <v>358380943965.87</v>
      </c>
      <c r="D83" s="425">
        <v>1</v>
      </c>
      <c r="E83" s="161">
        <f>E65+E81</f>
        <v>243434804509.23001</v>
      </c>
      <c r="F83" s="448">
        <f>E83/C83</f>
        <v>0.67926269130094497</v>
      </c>
      <c r="G83" s="161">
        <f>G65+G81</f>
        <v>199743346849.69</v>
      </c>
      <c r="H83" s="425">
        <f>G83/E83</f>
        <v>0.82052090806151179</v>
      </c>
    </row>
    <row r="84" spans="1:8" ht="28.5" customHeight="1" x14ac:dyDescent="0.2"/>
    <row r="85" spans="1:8" ht="15.75" thickBot="1" x14ac:dyDescent="0.25"/>
    <row r="86" spans="1:8" ht="15.75" customHeight="1" x14ac:dyDescent="0.2">
      <c r="C86" s="600" t="s">
        <v>1497</v>
      </c>
      <c r="D86" s="601"/>
      <c r="E86" s="118"/>
      <c r="G86" s="8"/>
    </row>
    <row r="87" spans="1:8" ht="15" customHeight="1" x14ac:dyDescent="0.2">
      <c r="C87" s="438" t="s">
        <v>1449</v>
      </c>
      <c r="D87" s="442"/>
      <c r="E87" s="118"/>
    </row>
    <row r="88" spans="1:8" x14ac:dyDescent="0.2">
      <c r="C88" s="439" t="s">
        <v>1451</v>
      </c>
      <c r="D88" s="443"/>
      <c r="E88" s="118"/>
      <c r="G88" s="8"/>
    </row>
    <row r="89" spans="1:8" x14ac:dyDescent="0.2">
      <c r="C89" s="440" t="s">
        <v>1453</v>
      </c>
      <c r="D89" s="444"/>
      <c r="E89" s="118"/>
    </row>
    <row r="90" spans="1:8" x14ac:dyDescent="0.2">
      <c r="C90" s="441" t="s">
        <v>1455</v>
      </c>
      <c r="D90" s="445"/>
      <c r="E90" s="118"/>
    </row>
    <row r="91" spans="1:8" ht="15.75" thickBot="1" x14ac:dyDescent="0.25">
      <c r="C91" s="446" t="s">
        <v>1456</v>
      </c>
      <c r="D91" s="447"/>
      <c r="E91" s="118"/>
    </row>
  </sheetData>
  <mergeCells count="2">
    <mergeCell ref="A1:H4"/>
    <mergeCell ref="C86:D86"/>
  </mergeCells>
  <conditionalFormatting sqref="F6">
    <cfRule type="cellIs" dxfId="304" priority="151" operator="between">
      <formula>0</formula>
      <formula>0.3999</formula>
    </cfRule>
    <cfRule type="cellIs" dxfId="303" priority="152" operator="between">
      <formula>0.4</formula>
      <formula>0.59</formula>
    </cfRule>
    <cfRule type="cellIs" dxfId="302" priority="153" operator="between">
      <formula>0.6</formula>
      <formula>0.69</formula>
    </cfRule>
    <cfRule type="cellIs" dxfId="301" priority="154" operator="between">
      <formula>0.7</formula>
      <formula>0.79</formula>
    </cfRule>
    <cfRule type="cellIs" dxfId="300" priority="155" operator="between">
      <formula>0.8</formula>
      <formula>1</formula>
    </cfRule>
  </conditionalFormatting>
  <conditionalFormatting sqref="F7">
    <cfRule type="cellIs" dxfId="299" priority="111" operator="between">
      <formula>0</formula>
      <formula>0.3999</formula>
    </cfRule>
    <cfRule type="cellIs" dxfId="298" priority="112" operator="between">
      <formula>0.4</formula>
      <formula>0.59</formula>
    </cfRule>
    <cfRule type="cellIs" dxfId="297" priority="113" operator="between">
      <formula>0.6</formula>
      <formula>0.69</formula>
    </cfRule>
    <cfRule type="cellIs" dxfId="296" priority="114" operator="between">
      <formula>0.7</formula>
      <formula>0.79</formula>
    </cfRule>
    <cfRule type="cellIs" dxfId="295" priority="115" operator="between">
      <formula>0.8</formula>
      <formula>1</formula>
    </cfRule>
  </conditionalFormatting>
  <conditionalFormatting sqref="F9:F10">
    <cfRule type="cellIs" dxfId="294" priority="106" operator="between">
      <formula>0</formula>
      <formula>0.3999</formula>
    </cfRule>
    <cfRule type="cellIs" dxfId="293" priority="107" operator="between">
      <formula>0.4</formula>
      <formula>0.59</formula>
    </cfRule>
    <cfRule type="cellIs" dxfId="292" priority="108" operator="between">
      <formula>0.6</formula>
      <formula>0.69</formula>
    </cfRule>
    <cfRule type="cellIs" dxfId="291" priority="109" operator="between">
      <formula>0.7</formula>
      <formula>0.79</formula>
    </cfRule>
    <cfRule type="cellIs" dxfId="290" priority="110" operator="between">
      <formula>0.8</formula>
      <formula>1</formula>
    </cfRule>
  </conditionalFormatting>
  <conditionalFormatting sqref="F12:F14">
    <cfRule type="cellIs" dxfId="289" priority="101" operator="between">
      <formula>0</formula>
      <formula>0.3999</formula>
    </cfRule>
    <cfRule type="cellIs" dxfId="288" priority="102" operator="between">
      <formula>0.4</formula>
      <formula>0.59</formula>
    </cfRule>
    <cfRule type="cellIs" dxfId="287" priority="103" operator="between">
      <formula>0.6</formula>
      <formula>0.69</formula>
    </cfRule>
    <cfRule type="cellIs" dxfId="286" priority="104" operator="between">
      <formula>0.7</formula>
      <formula>0.79</formula>
    </cfRule>
    <cfRule type="cellIs" dxfId="285" priority="105" operator="between">
      <formula>0.8</formula>
      <formula>1</formula>
    </cfRule>
  </conditionalFormatting>
  <conditionalFormatting sqref="F16:F21">
    <cfRule type="cellIs" dxfId="284" priority="96" operator="between">
      <formula>0</formula>
      <formula>0.3999</formula>
    </cfRule>
    <cfRule type="cellIs" dxfId="283" priority="97" operator="between">
      <formula>0.4</formula>
      <formula>0.59</formula>
    </cfRule>
    <cfRule type="cellIs" dxfId="282" priority="98" operator="between">
      <formula>0.6</formula>
      <formula>0.69</formula>
    </cfRule>
    <cfRule type="cellIs" dxfId="281" priority="99" operator="between">
      <formula>0.7</formula>
      <formula>0.79</formula>
    </cfRule>
    <cfRule type="cellIs" dxfId="280" priority="100" operator="between">
      <formula>0.8</formula>
      <formula>1</formula>
    </cfRule>
  </conditionalFormatting>
  <conditionalFormatting sqref="F23:F25">
    <cfRule type="cellIs" dxfId="279" priority="91" operator="between">
      <formula>0</formula>
      <formula>0.3999</formula>
    </cfRule>
    <cfRule type="cellIs" dxfId="278" priority="92" operator="between">
      <formula>0.4</formula>
      <formula>0.59</formula>
    </cfRule>
    <cfRule type="cellIs" dxfId="277" priority="93" operator="between">
      <formula>0.6</formula>
      <formula>0.69</formula>
    </cfRule>
    <cfRule type="cellIs" dxfId="276" priority="94" operator="between">
      <formula>0.7</formula>
      <formula>0.79</formula>
    </cfRule>
    <cfRule type="cellIs" dxfId="275" priority="95" operator="between">
      <formula>0.8</formula>
      <formula>1</formula>
    </cfRule>
  </conditionalFormatting>
  <conditionalFormatting sqref="F27:F30">
    <cfRule type="cellIs" dxfId="274" priority="86" operator="between">
      <formula>0</formula>
      <formula>0.3999</formula>
    </cfRule>
    <cfRule type="cellIs" dxfId="273" priority="87" operator="between">
      <formula>0.4</formula>
      <formula>0.59</formula>
    </cfRule>
    <cfRule type="cellIs" dxfId="272" priority="88" operator="between">
      <formula>0.6</formula>
      <formula>0.69</formula>
    </cfRule>
    <cfRule type="cellIs" dxfId="271" priority="89" operator="between">
      <formula>0.7</formula>
      <formula>0.79</formula>
    </cfRule>
    <cfRule type="cellIs" dxfId="270" priority="90" operator="between">
      <formula>0.795</formula>
      <formula>1</formula>
    </cfRule>
  </conditionalFormatting>
  <conditionalFormatting sqref="F32">
    <cfRule type="cellIs" dxfId="269" priority="81" operator="between">
      <formula>0</formula>
      <formula>0.3999</formula>
    </cfRule>
    <cfRule type="cellIs" dxfId="268" priority="82" operator="between">
      <formula>0.4</formula>
      <formula>0.59</formula>
    </cfRule>
    <cfRule type="cellIs" dxfId="267" priority="83" operator="between">
      <formula>0.6</formula>
      <formula>0.69</formula>
    </cfRule>
    <cfRule type="cellIs" dxfId="266" priority="84" operator="between">
      <formula>0.7</formula>
      <formula>0.79</formula>
    </cfRule>
    <cfRule type="cellIs" dxfId="265" priority="85" operator="between">
      <formula>0.8</formula>
      <formula>1</formula>
    </cfRule>
  </conditionalFormatting>
  <conditionalFormatting sqref="F33:F34">
    <cfRule type="cellIs" dxfId="264" priority="76" operator="between">
      <formula>0</formula>
      <formula>0.3999</formula>
    </cfRule>
    <cfRule type="cellIs" dxfId="263" priority="77" operator="between">
      <formula>0.4</formula>
      <formula>0.59</formula>
    </cfRule>
    <cfRule type="cellIs" dxfId="262" priority="78" operator="between">
      <formula>0.6</formula>
      <formula>0.69</formula>
    </cfRule>
    <cfRule type="cellIs" dxfId="261" priority="79" operator="between">
      <formula>0.7</formula>
      <formula>0.79</formula>
    </cfRule>
    <cfRule type="cellIs" dxfId="260" priority="80" operator="between">
      <formula>0.8</formula>
      <formula>1</formula>
    </cfRule>
  </conditionalFormatting>
  <conditionalFormatting sqref="F36:F38">
    <cfRule type="cellIs" dxfId="259" priority="71" operator="between">
      <formula>0</formula>
      <formula>0.3999</formula>
    </cfRule>
    <cfRule type="cellIs" dxfId="258" priority="72" operator="between">
      <formula>0.4</formula>
      <formula>0.59</formula>
    </cfRule>
    <cfRule type="cellIs" dxfId="257" priority="73" operator="between">
      <formula>0.6</formula>
      <formula>0.69</formula>
    </cfRule>
    <cfRule type="cellIs" dxfId="256" priority="74" operator="between">
      <formula>0.7</formula>
      <formula>0.79</formula>
    </cfRule>
    <cfRule type="cellIs" dxfId="255" priority="75" operator="between">
      <formula>0.8</formula>
      <formula>1</formula>
    </cfRule>
  </conditionalFormatting>
  <conditionalFormatting sqref="F40:F41">
    <cfRule type="cellIs" dxfId="254" priority="66" operator="between">
      <formula>0</formula>
      <formula>0.3999</formula>
    </cfRule>
    <cfRule type="cellIs" dxfId="253" priority="67" operator="between">
      <formula>0.4</formula>
      <formula>0.59</formula>
    </cfRule>
    <cfRule type="cellIs" dxfId="252" priority="68" operator="between">
      <formula>0.6</formula>
      <formula>0.69</formula>
    </cfRule>
    <cfRule type="cellIs" dxfId="251" priority="69" operator="between">
      <formula>0.7</formula>
      <formula>0.79</formula>
    </cfRule>
    <cfRule type="cellIs" dxfId="250" priority="70" operator="between">
      <formula>0.8</formula>
      <formula>1</formula>
    </cfRule>
  </conditionalFormatting>
  <conditionalFormatting sqref="F43:F44">
    <cfRule type="cellIs" dxfId="249" priority="61" operator="between">
      <formula>0</formula>
      <formula>0.3999</formula>
    </cfRule>
    <cfRule type="cellIs" dxfId="248" priority="62" operator="between">
      <formula>0.4</formula>
      <formula>0.59</formula>
    </cfRule>
    <cfRule type="cellIs" dxfId="247" priority="63" operator="between">
      <formula>0.6</formula>
      <formula>0.69</formula>
    </cfRule>
    <cfRule type="cellIs" dxfId="246" priority="64" operator="between">
      <formula>0.7</formula>
      <formula>0.79</formula>
    </cfRule>
    <cfRule type="cellIs" dxfId="245" priority="65" operator="between">
      <formula>0.8</formula>
      <formula>1</formula>
    </cfRule>
  </conditionalFormatting>
  <conditionalFormatting sqref="F45:F46">
    <cfRule type="cellIs" dxfId="244" priority="56" operator="between">
      <formula>0</formula>
      <formula>0.3999</formula>
    </cfRule>
    <cfRule type="cellIs" dxfId="243" priority="57" operator="between">
      <formula>0.4</formula>
      <formula>0.59</formula>
    </cfRule>
    <cfRule type="cellIs" dxfId="242" priority="58" operator="between">
      <formula>0.6</formula>
      <formula>0.69</formula>
    </cfRule>
    <cfRule type="cellIs" dxfId="241" priority="59" operator="between">
      <formula>0.7</formula>
      <formula>0.79</formula>
    </cfRule>
    <cfRule type="cellIs" dxfId="240" priority="60" operator="between">
      <formula>0.8</formula>
      <formula>1</formula>
    </cfRule>
  </conditionalFormatting>
  <conditionalFormatting sqref="F47:F48">
    <cfRule type="cellIs" dxfId="239" priority="51" operator="between">
      <formula>0</formula>
      <formula>0.3999</formula>
    </cfRule>
    <cfRule type="cellIs" dxfId="238" priority="52" operator="between">
      <formula>0.4</formula>
      <formula>0.59</formula>
    </cfRule>
    <cfRule type="cellIs" dxfId="237" priority="53" operator="between">
      <formula>0.6</formula>
      <formula>0.69</formula>
    </cfRule>
    <cfRule type="cellIs" dxfId="236" priority="54" operator="between">
      <formula>0.7</formula>
      <formula>0.79</formula>
    </cfRule>
    <cfRule type="cellIs" dxfId="235" priority="55" operator="between">
      <formula>0.8</formula>
      <formula>1</formula>
    </cfRule>
  </conditionalFormatting>
  <conditionalFormatting sqref="F49">
    <cfRule type="cellIs" dxfId="234" priority="46" operator="between">
      <formula>0</formula>
      <formula>0.3999</formula>
    </cfRule>
    <cfRule type="cellIs" dxfId="233" priority="47" operator="between">
      <formula>0.4</formula>
      <formula>0.59</formula>
    </cfRule>
    <cfRule type="cellIs" dxfId="232" priority="48" operator="between">
      <formula>0.6</formula>
      <formula>0.69</formula>
    </cfRule>
    <cfRule type="cellIs" dxfId="231" priority="49" operator="between">
      <formula>0.7</formula>
      <formula>0.79</formula>
    </cfRule>
    <cfRule type="cellIs" dxfId="230" priority="50" operator="between">
      <formula>0.8</formula>
      <formula>1</formula>
    </cfRule>
  </conditionalFormatting>
  <conditionalFormatting sqref="F51:F53">
    <cfRule type="cellIs" dxfId="229" priority="41" operator="between">
      <formula>0</formula>
      <formula>0.3999</formula>
    </cfRule>
    <cfRule type="cellIs" dxfId="228" priority="42" operator="between">
      <formula>0.4</formula>
      <formula>0.59</formula>
    </cfRule>
    <cfRule type="cellIs" dxfId="227" priority="43" operator="between">
      <formula>0.6</formula>
      <formula>0.69</formula>
    </cfRule>
    <cfRule type="cellIs" dxfId="226" priority="44" operator="between">
      <formula>0.7</formula>
      <formula>0.79</formula>
    </cfRule>
    <cfRule type="cellIs" dxfId="225" priority="45" operator="between">
      <formula>0.8</formula>
      <formula>1</formula>
    </cfRule>
  </conditionalFormatting>
  <conditionalFormatting sqref="F55:F60">
    <cfRule type="cellIs" dxfId="224" priority="36" operator="between">
      <formula>0</formula>
      <formula>0.3999</formula>
    </cfRule>
    <cfRule type="cellIs" dxfId="223" priority="37" operator="between">
      <formula>0.4</formula>
      <formula>0.59</formula>
    </cfRule>
    <cfRule type="cellIs" dxfId="222" priority="38" operator="between">
      <formula>0.6</formula>
      <formula>0.69</formula>
    </cfRule>
    <cfRule type="cellIs" dxfId="221" priority="39" operator="between">
      <formula>0.695</formula>
      <formula>0.7949</formula>
    </cfRule>
    <cfRule type="cellIs" dxfId="220" priority="40" operator="between">
      <formula>0.8</formula>
      <formula>1</formula>
    </cfRule>
  </conditionalFormatting>
  <conditionalFormatting sqref="F62:F63">
    <cfRule type="cellIs" dxfId="219" priority="31" operator="between">
      <formula>0</formula>
      <formula>0.3999</formula>
    </cfRule>
    <cfRule type="cellIs" dxfId="218" priority="32" operator="between">
      <formula>0.4</formula>
      <formula>0.59</formula>
    </cfRule>
    <cfRule type="cellIs" dxfId="217" priority="33" operator="between">
      <formula>0.6</formula>
      <formula>0.69</formula>
    </cfRule>
    <cfRule type="cellIs" dxfId="216" priority="34" operator="between">
      <formula>0.7</formula>
      <formula>0.79</formula>
    </cfRule>
    <cfRule type="cellIs" dxfId="215" priority="35" operator="between">
      <formula>0.8</formula>
      <formula>1</formula>
    </cfRule>
  </conditionalFormatting>
  <conditionalFormatting sqref="F65">
    <cfRule type="cellIs" dxfId="214" priority="26" operator="between">
      <formula>0</formula>
      <formula>0.3999</formula>
    </cfRule>
    <cfRule type="cellIs" dxfId="213" priority="27" operator="between">
      <formula>0.4</formula>
      <formula>0.59</formula>
    </cfRule>
    <cfRule type="cellIs" dxfId="212" priority="28" operator="between">
      <formula>0.6</formula>
      <formula>0.69</formula>
    </cfRule>
    <cfRule type="cellIs" dxfId="211" priority="29" operator="between">
      <formula>0.7</formula>
      <formula>0.79</formula>
    </cfRule>
    <cfRule type="cellIs" dxfId="210" priority="30" operator="between">
      <formula>0.8</formula>
      <formula>1</formula>
    </cfRule>
  </conditionalFormatting>
  <conditionalFormatting sqref="F67:F72">
    <cfRule type="cellIs" dxfId="209" priority="21" operator="between">
      <formula>0</formula>
      <formula>0.3999</formula>
    </cfRule>
    <cfRule type="cellIs" dxfId="208" priority="22" operator="between">
      <formula>0.4</formula>
      <formula>0.59</formula>
    </cfRule>
    <cfRule type="cellIs" dxfId="207" priority="23" operator="between">
      <formula>0.6</formula>
      <formula>0.69</formula>
    </cfRule>
    <cfRule type="cellIs" dxfId="206" priority="24" operator="between">
      <formula>0.7</formula>
      <formula>0.79</formula>
    </cfRule>
    <cfRule type="cellIs" dxfId="205" priority="25" operator="between">
      <formula>0.8</formula>
      <formula>1</formula>
    </cfRule>
  </conditionalFormatting>
  <conditionalFormatting sqref="F74:F76">
    <cfRule type="cellIs" dxfId="204" priority="16" operator="between">
      <formula>0</formula>
      <formula>0.3999</formula>
    </cfRule>
    <cfRule type="cellIs" dxfId="203" priority="17" operator="between">
      <formula>0.4</formula>
      <formula>0.59</formula>
    </cfRule>
    <cfRule type="cellIs" dxfId="202" priority="18" operator="between">
      <formula>0.6</formula>
      <formula>0.69</formula>
    </cfRule>
    <cfRule type="cellIs" dxfId="201" priority="19" operator="between">
      <formula>0.7</formula>
      <formula>0.79</formula>
    </cfRule>
    <cfRule type="cellIs" dxfId="200" priority="20" operator="between">
      <formula>0.8</formula>
      <formula>1</formula>
    </cfRule>
  </conditionalFormatting>
  <conditionalFormatting sqref="F78:F79">
    <cfRule type="cellIs" dxfId="199" priority="11" operator="between">
      <formula>0</formula>
      <formula>0.3999</formula>
    </cfRule>
    <cfRule type="cellIs" dxfId="198" priority="12" operator="between">
      <formula>0.4</formula>
      <formula>0.59</formula>
    </cfRule>
    <cfRule type="cellIs" dxfId="197" priority="13" operator="between">
      <formula>0.6</formula>
      <formula>0.69</formula>
    </cfRule>
    <cfRule type="cellIs" dxfId="196" priority="14" operator="between">
      <formula>0.695</formula>
      <formula>0.7949</formula>
    </cfRule>
    <cfRule type="cellIs" dxfId="195" priority="15" operator="between">
      <formula>0.8</formula>
      <formula>1</formula>
    </cfRule>
  </conditionalFormatting>
  <conditionalFormatting sqref="F81">
    <cfRule type="cellIs" dxfId="194" priority="6" operator="between">
      <formula>0</formula>
      <formula>0.3999</formula>
    </cfRule>
    <cfRule type="cellIs" dxfId="193" priority="7" operator="between">
      <formula>0.4</formula>
      <formula>0.59</formula>
    </cfRule>
    <cfRule type="cellIs" dxfId="192" priority="8" operator="between">
      <formula>0.6</formula>
      <formula>0.69</formula>
    </cfRule>
    <cfRule type="cellIs" dxfId="191" priority="9" operator="between">
      <formula>0.7</formula>
      <formula>0.79</formula>
    </cfRule>
    <cfRule type="cellIs" dxfId="190" priority="10" operator="between">
      <formula>0.8</formula>
      <formula>1</formula>
    </cfRule>
  </conditionalFormatting>
  <conditionalFormatting sqref="F83">
    <cfRule type="cellIs" dxfId="189" priority="1" operator="between">
      <formula>0</formula>
      <formula>0.3999</formula>
    </cfRule>
    <cfRule type="cellIs" dxfId="188" priority="2" operator="between">
      <formula>0.4</formula>
      <formula>0.59</formula>
    </cfRule>
    <cfRule type="cellIs" dxfId="187" priority="3" operator="between">
      <formula>0.6</formula>
      <formula>0.69</formula>
    </cfRule>
    <cfRule type="cellIs" dxfId="186" priority="4" operator="between">
      <formula>0.7</formula>
      <formula>0.79</formula>
    </cfRule>
    <cfRule type="cellIs" dxfId="185" priority="5" operator="between">
      <formula>0.8</formula>
      <formula>1</formula>
    </cfRule>
  </conditionalFormatting>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B1:H19"/>
  <sheetViews>
    <sheetView showGridLines="0" zoomScale="70" zoomScaleNormal="70" workbookViewId="0">
      <selection activeCell="F14" sqref="F14"/>
    </sheetView>
  </sheetViews>
  <sheetFormatPr baseColWidth="10" defaultRowHeight="15" x14ac:dyDescent="0.25"/>
  <cols>
    <col min="2" max="2" width="49.5703125" customWidth="1"/>
    <col min="3" max="3" width="26.5703125" customWidth="1"/>
    <col min="4" max="4" width="17.5703125" customWidth="1"/>
    <col min="5" max="5" width="24.85546875" customWidth="1"/>
    <col min="6" max="6" width="24.7109375" customWidth="1"/>
    <col min="7" max="7" width="22.85546875" customWidth="1"/>
    <col min="8" max="8" width="19.85546875" customWidth="1"/>
  </cols>
  <sheetData>
    <row r="1" spans="2:8" ht="33.75" customHeight="1" x14ac:dyDescent="0.25">
      <c r="B1" s="609" t="s">
        <v>1493</v>
      </c>
      <c r="C1" s="610"/>
      <c r="D1" s="610"/>
      <c r="E1" s="610"/>
      <c r="F1" s="610"/>
      <c r="G1" s="610"/>
      <c r="H1" s="611"/>
    </row>
    <row r="2" spans="2:8" ht="33.75" customHeight="1" x14ac:dyDescent="0.25">
      <c r="B2" s="612"/>
      <c r="C2" s="613"/>
      <c r="D2" s="613"/>
      <c r="E2" s="613"/>
      <c r="F2" s="613"/>
      <c r="G2" s="613"/>
      <c r="H2" s="614"/>
    </row>
    <row r="3" spans="2:8" ht="33.75" customHeight="1" x14ac:dyDescent="0.25">
      <c r="B3" s="615"/>
      <c r="C3" s="616"/>
      <c r="D3" s="616"/>
      <c r="E3" s="616"/>
      <c r="F3" s="616"/>
      <c r="G3" s="616"/>
      <c r="H3" s="617"/>
    </row>
    <row r="4" spans="2:8" s="486" customFormat="1" ht="34.5" customHeight="1" thickBot="1" x14ac:dyDescent="0.25">
      <c r="B4" s="177" t="s">
        <v>5</v>
      </c>
      <c r="C4" s="178" t="s">
        <v>1333</v>
      </c>
      <c r="D4" s="178" t="s">
        <v>1498</v>
      </c>
      <c r="E4" s="178" t="s">
        <v>1426</v>
      </c>
      <c r="F4" s="485" t="s">
        <v>1499</v>
      </c>
      <c r="G4" s="178" t="s">
        <v>1460</v>
      </c>
      <c r="H4" s="178" t="s">
        <v>1500</v>
      </c>
    </row>
    <row r="5" spans="2:8" ht="30.75" customHeight="1" thickBot="1" x14ac:dyDescent="0.3">
      <c r="B5" s="105" t="s">
        <v>1196</v>
      </c>
      <c r="C5" s="551">
        <f>'SGTO POAI 2022'!BF26+'SGTO POAI 2022'!BF27+'SGTO POAI 2022'!BF28+'SGTO POAI 2022'!BF29+'SGTO POAI 2022'!BF30+'SGTO POAI 2022'!BF31+'SGTO POAI 2022'!BF48+'SGTO POAI 2022'!BF49+'SGTO POAI 2022'!BF50+'SGTO POAI 2022'!BF51+'SGTO POAI 2022'!BF52+'SGTO POAI 2022'!BF53+'SGTO POAI 2022'!BF54+'SGTO POAI 2022'!BF55+'SGTO POAI 2022'!BF56+'SGTO POAI 2022'!BF57+'SGTO POAI 2022'!BF58+'SGTO POAI 2022'!BF59+'SGTO POAI 2022'!BF69+'SGTO POAI 2022'!BF70+'SGTO POAI 2022'!BF71+'SGTO POAI 2022'!BF72+'SGTO POAI 2022'!BF73+'SGTO POAI 2022'!BF74+'SGTO POAI 2022'!BF75+'SGTO POAI 2022'!BF76+'SGTO POAI 2022'!BF77+'SGTO POAI 2022'!BF78+'SGTO POAI 2022'!BF129+'SGTO POAI 2022'!BF130+'SGTO POAI 2022'!BF131+'SGTO POAI 2022'!BF132+'SGTO POAI 2022'!BF133+'SGTO POAI 2022'!BF134+'SGTO POAI 2022'!BF135+'SGTO POAI 2022'!BF136+'SGTO POAI 2022'!BF137+'SGTO POAI 2022'!BF138+'SGTO POAI 2022'!BF139+'SGTO POAI 2022'!BF140+'SGTO POAI 2022'!BF141+'SGTO POAI 2022'!BF142+'SGTO POAI 2022'!BF143+'SGTO POAI 2022'!BF144+'SGTO POAI 2022'!BF145+'SGTO POAI 2022'!BF146+'SGTO POAI 2022'!BF147+'SGTO POAI 2022'!BF148+'SGTO POAI 2022'!BF149+'SGTO POAI 2022'!BF150+'SGTO POAI 2022'!BF151+'SGTO POAI 2022'!BF152+'SGTO POAI 2022'!BF153+'SGTO POAI 2022'!BF154+'SGTO POAI 2022'!BF155+'SGTO POAI 2022'!BF156+'SGTO POAI 2022'!BF157+'SGTO POAI 2022'!BF158+'SGTO POAI 2022'!BF159+'SGTO POAI 2022'!BF160+'SGTO POAI 2022'!BF161+'SGTO POAI 2022'!BF162+'SGTO POAI 2022'!BF163+'SGTO POAI 2022'!BF165+'SGTO POAI 2022'!BF166+'SGTO POAI 2022'!BF167+'SGTO POAI 2022'!BF168+'SGTO POAI 2022'!BF169+'SGTO POAI 2022'!BF170+'SGTO POAI 2022'!BF171+'SGTO POAI 2022'!BF172+'SGTO POAI 2022'!BF173+'SGTO POAI 2022'!BF174+'SGTO POAI 2022'!BF175+'SGTO POAI 2022'!BF176+'SGTO POAI 2022'!BF177+'SGTO POAI 2022'!BF178+'SGTO POAI 2022'!BF179+'SGTO POAI 2022'!BF180+'SGTO POAI 2022'!BF181+'SGTO POAI 2022'!BF182+'SGTO POAI 2022'!BF183+'SGTO POAI 2022'!BF184+'SGTO POAI 2022'!BF185+'SGTO POAI 2022'!BF186+'SGTO POAI 2022'!BF187+'SGTO POAI 2022'!BF188+'SGTO POAI 2022'!BF196+'SGTO POAI 2022'!BF197+'SGTO POAI 2022'!BF198+'SGTO POAI 2022'!BF199+'SGTO POAI 2022'!BF200+'SGTO POAI 2022'!BF201+'SGTO POAI 2022'!BF202+'SGTO POAI 2022'!BF203+'SGTO POAI 2022'!BF204+'SGTO POAI 2022'!BF205+'SGTO POAI 2022'!BF206+'SGTO POAI 2022'!BF207+'SGTO POAI 2022'!BF208+'SGTO POAI 2022'!BF209+'SGTO POAI 2022'!BF210+'SGTO POAI 2022'!BF211+'SGTO POAI 2022'!BF212+'SGTO POAI 2022'!BF213+'SGTO POAI 2022'!BF214+'SGTO POAI 2022'!BF215+'SGTO POAI 2022'!BF216+'SGTO POAI 2022'!BF217+'SGTO POAI 2022'!BF218+'SGTO POAI 2022'!BF219+'SGTO POAI 2022'!BF220+'SGTO POAI 2022'!BF221+'SGTO POAI 2022'!BF222+'SGTO POAI 2022'!BF223+'SGTO POAI 2022'!BF224+'SGTO POAI 2022'!BF225+'SGTO POAI 2022'!BF226+'SGTO POAI 2022'!BF227+'SGTO POAI 2022'!BF228+'SGTO POAI 2022'!BF229+'SGTO POAI 2022'!BF230+'SGTO POAI 2022'!BF231+'SGTO POAI 2022'!BF232+'SGTO POAI 2022'!BF233+'SGTO POAI 2022'!BF234+'SGTO POAI 2022'!BF235+'SGTO POAI 2022'!BF236+'SGTO POAI 2022'!BF237+'SGTO POAI 2022'!BF238+'SGTO POAI 2022'!BF239+'SGTO POAI 2022'!BF240+'SGTO POAI 2022'!BF241+'SGTO POAI 2022'!BF242+'SGTO POAI 2022'!BF243+'SGTO POAI 2022'!BF244+'SGTO POAI 2022'!BF245+'SGTO POAI 2022'!BF246+'SGTO POAI 2022'!BF247+'SGTO POAI 2022'!BF248+'SGTO POAI 2022'!BF249+'SGTO POAI 2022'!BF250+'SGTO POAI 2022'!BF251+'SGTO POAI 2022'!BF252+'SGTO POAI 2022'!BF253+'SGTO POAI 2022'!BF254+'SGTO POAI 2022'!BF255+'SGTO POAI 2022'!BF256+'SGTO POAI 2022'!BF257+'SGTO POAI 2022'!BF258+'SGTO POAI 2022'!BF259+'SGTO POAI 2022'!BF260+'SGTO POAI 2022'!BF261+'SGTO POAI 2022'!BF262+'SGTO POAI 2022'!BF263+'SGTO POAI 2022'!BF264+'SGTO POAI 2022'!BF265+'SGTO POAI 2022'!BF266+'SGTO POAI 2022'!BF267+'SGTO POAI 2022'!BF268+'SGTO POAI 2022'!BF279+'SGTO POAI 2022'!BF280+'SGTO POAI 2022'!BF281+'SGTO POAI 2022'!BF282+'SGTO POAI 2022'!BF283+'SGTO POAI 2022'!BF284+'SGTO POAI 2022'!BF285+'SGTO POAI 2022'!BF286</f>
        <v>312289583504.14996</v>
      </c>
      <c r="D5" s="432">
        <f>C5/C5</f>
        <v>1</v>
      </c>
      <c r="E5" s="551">
        <f>'SGTO POAI 2022'!BG26+'SGTO POAI 2022'!BG27+'SGTO POAI 2022'!BG28+'SGTO POAI 2022'!BG29+'SGTO POAI 2022'!BG30+'SGTO POAI 2022'!BG31+'SGTO POAI 2022'!BG48+'SGTO POAI 2022'!BG49+'SGTO POAI 2022'!BG50+'SGTO POAI 2022'!BG51+'SGTO POAI 2022'!BG52+'SGTO POAI 2022'!BG53+'SGTO POAI 2022'!BG54+'SGTO POAI 2022'!BG55+'SGTO POAI 2022'!BG56+'SGTO POAI 2022'!BG57+'SGTO POAI 2022'!BG58+'SGTO POAI 2022'!BG59+'SGTO POAI 2022'!BG69+'SGTO POAI 2022'!BG70+'SGTO POAI 2022'!BG71+'SGTO POAI 2022'!BG72+'SGTO POAI 2022'!BG73+'SGTO POAI 2022'!BG74+'SGTO POAI 2022'!BG75+'SGTO POAI 2022'!BG76+'SGTO POAI 2022'!BG77+'SGTO POAI 2022'!BG78+'SGTO POAI 2022'!BG129+'SGTO POAI 2022'!BG130+'SGTO POAI 2022'!BG131+'SGTO POAI 2022'!BG132+'SGTO POAI 2022'!BG133+'SGTO POAI 2022'!BG134+'SGTO POAI 2022'!BG135+'SGTO POAI 2022'!BG136+'SGTO POAI 2022'!BG137+'SGTO POAI 2022'!BG138+'SGTO POAI 2022'!BG139+'SGTO POAI 2022'!BG140+'SGTO POAI 2022'!BG141+'SGTO POAI 2022'!BG142+'SGTO POAI 2022'!BG143+'SGTO POAI 2022'!BG144+'SGTO POAI 2022'!BG145+'SGTO POAI 2022'!BG146+'SGTO POAI 2022'!BG147+'SGTO POAI 2022'!BG148+'SGTO POAI 2022'!BG149+'SGTO POAI 2022'!BG150+'SGTO POAI 2022'!BG151+'SGTO POAI 2022'!BG152+'SGTO POAI 2022'!BG153+'SGTO POAI 2022'!BG154+'SGTO POAI 2022'!BG155+'SGTO POAI 2022'!BG156+'SGTO POAI 2022'!BG157+'SGTO POAI 2022'!BG158+'SGTO POAI 2022'!BG159+'SGTO POAI 2022'!BG160+'SGTO POAI 2022'!BG161+'SGTO POAI 2022'!BG162+'SGTO POAI 2022'!BG163+'SGTO POAI 2022'!BG165+'SGTO POAI 2022'!BG166+'SGTO POAI 2022'!BG167+'SGTO POAI 2022'!BG168+'SGTO POAI 2022'!BG169+'SGTO POAI 2022'!BG170+'SGTO POAI 2022'!BG171+'SGTO POAI 2022'!BG172+'SGTO POAI 2022'!BG173+'SGTO POAI 2022'!BG174+'SGTO POAI 2022'!BG175+'SGTO POAI 2022'!BG176+'SGTO POAI 2022'!BG177+'SGTO POAI 2022'!BG178+'SGTO POAI 2022'!BG179+'SGTO POAI 2022'!BG180+'SGTO POAI 2022'!BG181+'SGTO POAI 2022'!BG182+'SGTO POAI 2022'!BG183+'SGTO POAI 2022'!BG184+'SGTO POAI 2022'!BG185+'SGTO POAI 2022'!BG186+'SGTO POAI 2022'!BG187+'SGTO POAI 2022'!BG188+'SGTO POAI 2022'!BG196+'SGTO POAI 2022'!BG197+'SGTO POAI 2022'!BG198+'SGTO POAI 2022'!BG199+'SGTO POAI 2022'!BG200+'SGTO POAI 2022'!BG201+'SGTO POAI 2022'!BG202+'SGTO POAI 2022'!BG203+'SGTO POAI 2022'!BG204+'SGTO POAI 2022'!BG205+'SGTO POAI 2022'!BG206+'SGTO POAI 2022'!BG207+'SGTO POAI 2022'!BG208+'SGTO POAI 2022'!BG209+'SGTO POAI 2022'!BG210+'SGTO POAI 2022'!BG211+'SGTO POAI 2022'!BG212+'SGTO POAI 2022'!BG213+'SGTO POAI 2022'!BG214+'SGTO POAI 2022'!BG215+'SGTO POAI 2022'!BG216+'SGTO POAI 2022'!BG217+'SGTO POAI 2022'!BG218+'SGTO POAI 2022'!BG219+'SGTO POAI 2022'!BG220+'SGTO POAI 2022'!BG221+'SGTO POAI 2022'!BG222+'SGTO POAI 2022'!BG223+'SGTO POAI 2022'!BG224+'SGTO POAI 2022'!BG225+'SGTO POAI 2022'!BG226+'SGTO POAI 2022'!BG227+'SGTO POAI 2022'!BG228+'SGTO POAI 2022'!BG229+'SGTO POAI 2022'!BG230+'SGTO POAI 2022'!BG231+'SGTO POAI 2022'!BG232+'SGTO POAI 2022'!BG233+'SGTO POAI 2022'!BG234+'SGTO POAI 2022'!BG235+'SGTO POAI 2022'!BG236+'SGTO POAI 2022'!BG237+'SGTO POAI 2022'!BG238+'SGTO POAI 2022'!BG239+'SGTO POAI 2022'!BG240+'SGTO POAI 2022'!BG241+'SGTO POAI 2022'!BG242+'SGTO POAI 2022'!BG243+'SGTO POAI 2022'!BG244+'SGTO POAI 2022'!BG245+'SGTO POAI 2022'!BG246+'SGTO POAI 2022'!BG247+'SGTO POAI 2022'!BG248+'SGTO POAI 2022'!BG249+'SGTO POAI 2022'!BG250+'SGTO POAI 2022'!BG251+'SGTO POAI 2022'!BG252+'SGTO POAI 2022'!BG253+'SGTO POAI 2022'!BG254+'SGTO POAI 2022'!BG255+'SGTO POAI 2022'!BG256+'SGTO POAI 2022'!BG257+'SGTO POAI 2022'!BG258+'SGTO POAI 2022'!BG259+'SGTO POAI 2022'!BG260+'SGTO POAI 2022'!BG261+'SGTO POAI 2022'!BG262+'SGTO POAI 2022'!BG263+'SGTO POAI 2022'!BG264+'SGTO POAI 2022'!BG265+'SGTO POAI 2022'!BG266+'SGTO POAI 2022'!BG267+'SGTO POAI 2022'!BG268+'SGTO POAI 2022'!BG279+'SGTO POAI 2022'!BG280+'SGTO POAI 2022'!BG281+'SGTO POAI 2022'!BG282+'SGTO POAI 2022'!BG283+'SGTO POAI 2022'!BG284+'SGTO POAI 2022'!BG285+'SGTO POAI 2022'!BG286</f>
        <v>215800266057.34998</v>
      </c>
      <c r="F5" s="414">
        <f>E5/C5</f>
        <v>0.6910261419413698</v>
      </c>
      <c r="G5" s="551">
        <f>'SGTO POAI 2022'!BH26+'SGTO POAI 2022'!BH27+'SGTO POAI 2022'!BH28+'SGTO POAI 2022'!BH29+'SGTO POAI 2022'!BH30+'SGTO POAI 2022'!BH31+'SGTO POAI 2022'!BH48+'SGTO POAI 2022'!BH49+'SGTO POAI 2022'!BH50+'SGTO POAI 2022'!BH51+'SGTO POAI 2022'!BH52+'SGTO POAI 2022'!BH53+'SGTO POAI 2022'!BH54+'SGTO POAI 2022'!BH55+'SGTO POAI 2022'!BH56+'SGTO POAI 2022'!BH57+'SGTO POAI 2022'!BH58+'SGTO POAI 2022'!BH59+'SGTO POAI 2022'!BH69+'SGTO POAI 2022'!BH70+'SGTO POAI 2022'!BH71+'SGTO POAI 2022'!BH72+'SGTO POAI 2022'!BH73+'SGTO POAI 2022'!BH74+'SGTO POAI 2022'!BH75+'SGTO POAI 2022'!BH76+'SGTO POAI 2022'!BH77+'SGTO POAI 2022'!BH78+'SGTO POAI 2022'!BH129+'SGTO POAI 2022'!BH130+'SGTO POAI 2022'!BH131+'SGTO POAI 2022'!BH132+'SGTO POAI 2022'!BH133+'SGTO POAI 2022'!BH134+'SGTO POAI 2022'!BH135+'SGTO POAI 2022'!BH136+'SGTO POAI 2022'!BH137+'SGTO POAI 2022'!BH138+'SGTO POAI 2022'!BH139+'SGTO POAI 2022'!BH140+'SGTO POAI 2022'!BH141+'SGTO POAI 2022'!BH142+'SGTO POAI 2022'!BH143+'SGTO POAI 2022'!BH144+'SGTO POAI 2022'!BH145+'SGTO POAI 2022'!BH146+'SGTO POAI 2022'!BH147+'SGTO POAI 2022'!BH148+'SGTO POAI 2022'!BH149+'SGTO POAI 2022'!BH150+'SGTO POAI 2022'!BH151+'SGTO POAI 2022'!BH152+'SGTO POAI 2022'!BH153+'SGTO POAI 2022'!BH154+'SGTO POAI 2022'!BH155+'SGTO POAI 2022'!BH156+'SGTO POAI 2022'!BH157+'SGTO POAI 2022'!BH158+'SGTO POAI 2022'!BH159+'SGTO POAI 2022'!BH160+'SGTO POAI 2022'!BH161+'SGTO POAI 2022'!BH162+'SGTO POAI 2022'!BH163+'SGTO POAI 2022'!BH165+'SGTO POAI 2022'!BH166+'SGTO POAI 2022'!BH167+'SGTO POAI 2022'!BH168+'SGTO POAI 2022'!BH169+'SGTO POAI 2022'!BH170+'SGTO POAI 2022'!BH171+'SGTO POAI 2022'!BH172+'SGTO POAI 2022'!BH173+'SGTO POAI 2022'!BH174+'SGTO POAI 2022'!BH175+'SGTO POAI 2022'!BH176+'SGTO POAI 2022'!BH177+'SGTO POAI 2022'!BH178+'SGTO POAI 2022'!BH179+'SGTO POAI 2022'!BH180+'SGTO POAI 2022'!BH181+'SGTO POAI 2022'!BH182+'SGTO POAI 2022'!BH183+'SGTO POAI 2022'!BH184+'SGTO POAI 2022'!BH185+'SGTO POAI 2022'!BH186+'SGTO POAI 2022'!BH187+'SGTO POAI 2022'!BH188+'SGTO POAI 2022'!BH196+'SGTO POAI 2022'!BH197+'SGTO POAI 2022'!BH198+'SGTO POAI 2022'!BH199+'SGTO POAI 2022'!BH200+'SGTO POAI 2022'!BH201+'SGTO POAI 2022'!BH202+'SGTO POAI 2022'!BH203+'SGTO POAI 2022'!BH204+'SGTO POAI 2022'!BH205+'SGTO POAI 2022'!BH206+'SGTO POAI 2022'!BH207+'SGTO POAI 2022'!BH208+'SGTO POAI 2022'!BH209+'SGTO POAI 2022'!BH210+'SGTO POAI 2022'!BH211+'SGTO POAI 2022'!BH212+'SGTO POAI 2022'!BH213+'SGTO POAI 2022'!BH214+'SGTO POAI 2022'!BH215+'SGTO POAI 2022'!BH216+'SGTO POAI 2022'!BH217+'SGTO POAI 2022'!BH218+'SGTO POAI 2022'!BH219+'SGTO POAI 2022'!BH220+'SGTO POAI 2022'!BH221+'SGTO POAI 2022'!BH222+'SGTO POAI 2022'!BH223+'SGTO POAI 2022'!BH224+'SGTO POAI 2022'!BH225+'SGTO POAI 2022'!BH226+'SGTO POAI 2022'!BH227+'SGTO POAI 2022'!BH228+'SGTO POAI 2022'!BH229+'SGTO POAI 2022'!BH230+'SGTO POAI 2022'!BH231+'SGTO POAI 2022'!BH232+'SGTO POAI 2022'!BH233+'SGTO POAI 2022'!BH234+'SGTO POAI 2022'!BH235+'SGTO POAI 2022'!BH236+'SGTO POAI 2022'!BH237+'SGTO POAI 2022'!BH238+'SGTO POAI 2022'!BH239+'SGTO POAI 2022'!BH240+'SGTO POAI 2022'!BH241+'SGTO POAI 2022'!BH242+'SGTO POAI 2022'!BH243+'SGTO POAI 2022'!BH244+'SGTO POAI 2022'!BH245+'SGTO POAI 2022'!BH246+'SGTO POAI 2022'!BH247+'SGTO POAI 2022'!BH248+'SGTO POAI 2022'!BH249+'SGTO POAI 2022'!BH250+'SGTO POAI 2022'!BH251+'SGTO POAI 2022'!BH252+'SGTO POAI 2022'!BH253+'SGTO POAI 2022'!BH254+'SGTO POAI 2022'!BH255+'SGTO POAI 2022'!BH256+'SGTO POAI 2022'!BH257+'SGTO POAI 2022'!BH258+'SGTO POAI 2022'!BH259+'SGTO POAI 2022'!BH260+'SGTO POAI 2022'!BH261+'SGTO POAI 2022'!BH262+'SGTO POAI 2022'!BH263+'SGTO POAI 2022'!BH264+'SGTO POAI 2022'!BH265+'SGTO POAI 2022'!BH266+'SGTO POAI 2022'!BH267+'SGTO POAI 2022'!BH268+'SGTO POAI 2022'!BH279+'SGTO POAI 2022'!BH280+'SGTO POAI 2022'!BH281+'SGTO POAI 2022'!BH282+'SGTO POAI 2022'!BH283+'SGTO POAI 2022'!BH284+'SGTO POAI 2022'!BH285+'SGTO POAI 2022'!BH286</f>
        <v>185415349279.08002</v>
      </c>
      <c r="H5" s="422">
        <f>G5/E5</f>
        <v>0.85919889102363289</v>
      </c>
    </row>
    <row r="6" spans="2:8" ht="30.75" customHeight="1" thickBot="1" x14ac:dyDescent="0.3">
      <c r="B6" s="105" t="s">
        <v>1197</v>
      </c>
      <c r="C6" s="552">
        <f>'SGTO POAI 2022'!BF32+'SGTO POAI 2022'!BF33+'SGTO POAI 2022'!BF79+'SGTO POAI 2022'!BF80+'SGTO POAI 2022'!BF81+'SGTO POAI 2022'!BF82+'SGTO POAI 2022'!BF83+'SGTO POAI 2022'!BF84+'SGTO POAI 2022'!BF85+'SGTO POAI 2022'!BF86+'SGTO POAI 2022'!BF87+'SGTO POAI 2022'!BF88+'SGTO POAI 2022'!BF89+'SGTO POAI 2022'!BF90+'SGTO POAI 2022'!BF91+'SGTO POAI 2022'!BF92+'SGTO POAI 2022'!BF93+'SGTO POAI 2022'!BF94+'SGTO POAI 2022'!BF95+'SGTO POAI 2022'!BF96+'SGTO POAI 2022'!BF97+'SGTO POAI 2022'!BF98+'SGTO POAI 2022'!BF99+'SGTO POAI 2022'!BF100+'SGTO POAI 2022'!BF101+'SGTO POAI 2022'!BF102+'SGTO POAI 2022'!BF103+'SGTO POAI 2022'!BF104+'SGTO POAI 2022'!BF105+'SGTO POAI 2022'!BF106+'SGTO POAI 2022'!BF107+'SGTO POAI 2022'!BF108+'SGTO POAI 2022'!BF109+'SGTO POAI 2022'!BF110+'SGTO POAI 2022'!BF111+'SGTO POAI 2022'!BF164+'SGTO POAI 2022'!BF189+'SGTO POAI 2022'!BF190+'SGTO POAI 2022'!BF269+'SGTO POAI 2022'!BF270+'SGTO POAI 2022'!BF271+'SGTO POAI 2022'!BF272</f>
        <v>5185824413.1099997</v>
      </c>
      <c r="D6" s="432">
        <f t="shared" ref="D6:D8" si="0">C6/C6</f>
        <v>1</v>
      </c>
      <c r="E6" s="552">
        <f>'SGTO POAI 2022'!BG32+'SGTO POAI 2022'!BG33+'SGTO POAI 2022'!BG79+'SGTO POAI 2022'!BG80+'SGTO POAI 2022'!BG81+'SGTO POAI 2022'!BG82+'SGTO POAI 2022'!BG83+'SGTO POAI 2022'!BG84+'SGTO POAI 2022'!BG85+'SGTO POAI 2022'!BG86+'SGTO POAI 2022'!BG87+'SGTO POAI 2022'!BG88+'SGTO POAI 2022'!BG89+'SGTO POAI 2022'!BG90+'SGTO POAI 2022'!BG91+'SGTO POAI 2022'!BG92+'SGTO POAI 2022'!BG93+'SGTO POAI 2022'!BG94+'SGTO POAI 2022'!BG95+'SGTO POAI 2022'!BG96+'SGTO POAI 2022'!BG97+'SGTO POAI 2022'!BG98+'SGTO POAI 2022'!BG99+'SGTO POAI 2022'!BG100+'SGTO POAI 2022'!BG101+'SGTO POAI 2022'!BG102+'SGTO POAI 2022'!BG103+'SGTO POAI 2022'!BG104+'SGTO POAI 2022'!BG105+'SGTO POAI 2022'!BG106+'SGTO POAI 2022'!BG107+'SGTO POAI 2022'!BG108+'SGTO POAI 2022'!BG109+'SGTO POAI 2022'!BG110+'SGTO POAI 2022'!BG111+'SGTO POAI 2022'!BG164+'SGTO POAI 2022'!BG189+'SGTO POAI 2022'!BG190+'SGTO POAI 2022'!BG269+'SGTO POAI 2022'!BG270+'SGTO POAI 2022'!BG271+'SGTO POAI 2022'!BG272</f>
        <v>3903113848.96</v>
      </c>
      <c r="F6" s="414">
        <f>E6/C6</f>
        <v>0.75265059863823214</v>
      </c>
      <c r="G6" s="552">
        <f>'SGTO POAI 2022'!BH32+'SGTO POAI 2022'!BH33+'SGTO POAI 2022'!BH79+'SGTO POAI 2022'!BH80+'SGTO POAI 2022'!BH81+'SGTO POAI 2022'!BH82+'SGTO POAI 2022'!BH83+'SGTO POAI 2022'!BH84+'SGTO POAI 2022'!BH85+'SGTO POAI 2022'!BH86+'SGTO POAI 2022'!BH87+'SGTO POAI 2022'!BH88+'SGTO POAI 2022'!BH89+'SGTO POAI 2022'!BH90+'SGTO POAI 2022'!BH91+'SGTO POAI 2022'!BH92+'SGTO POAI 2022'!BH93+'SGTO POAI 2022'!BH94+'SGTO POAI 2022'!BH95+'SGTO POAI 2022'!BH96+'SGTO POAI 2022'!BH97+'SGTO POAI 2022'!BH98+'SGTO POAI 2022'!BH99+'SGTO POAI 2022'!BH100+'SGTO POAI 2022'!BH101+'SGTO POAI 2022'!BH102+'SGTO POAI 2022'!BH103+'SGTO POAI 2022'!BH104+'SGTO POAI 2022'!BH105+'SGTO POAI 2022'!BH106+'SGTO POAI 2022'!BH107+'SGTO POAI 2022'!BH108+'SGTO POAI 2022'!BH109+'SGTO POAI 2022'!BH110+'SGTO POAI 2022'!BH111+'SGTO POAI 2022'!BH164+'SGTO POAI 2022'!BH189+'SGTO POAI 2022'!BH190+'SGTO POAI 2022'!BH269+'SGTO POAI 2022'!BH270+'SGTO POAI 2022'!BH271+'SGTO POAI 2022'!BH272</f>
        <v>2253931888.7600002</v>
      </c>
      <c r="H6" s="459">
        <f t="shared" ref="H6:H9" si="1">G6/E6</f>
        <v>0.57747018815773699</v>
      </c>
    </row>
    <row r="7" spans="2:8" ht="30.75" customHeight="1" thickBot="1" x14ac:dyDescent="0.3">
      <c r="B7" s="105" t="s">
        <v>1198</v>
      </c>
      <c r="C7" s="552">
        <f>'SGTO POAI 2022'!BF34+'SGTO POAI 2022'!BF35+'SGTO POAI 2022'!BF36+'SGTO POAI 2022'!BF37+'SGTO POAI 2022'!BF38+'SGTO POAI 2022'!BF39+'SGTO POAI 2022'!BF40+'SGTO POAI 2022'!BF41+'SGTO POAI 2022'!BF42+'SGTO POAI 2022'!BF43+'SGTO POAI 2022'!BF44+'SGTO POAI 2022'!BF45+'SGTO POAI 2022'!BF60+'SGTO POAI 2022'!BF61+'SGTO POAI 2022'!BF62+'SGTO POAI 2022'!BF63+'SGTO POAI 2022'!BF112+'SGTO POAI 2022'!BF113+'SGTO POAI 2022'!BF114+'SGTO POAI 2022'!BF115+'SGTO POAI 2022'!BF116+'SGTO POAI 2022'!BF117+'SGTO POAI 2022'!BF118+'SGTO POAI 2022'!BF119+'SGTO POAI 2022'!BF120+'SGTO POAI 2022'!BF121+'SGTO POAI 2022'!BF122+'SGTO POAI 2022'!BF123+'SGTO POAI 2022'!BF124+'SGTO POAI 2022'!BF125+'SGTO POAI 2022'!BF287+'SGTO POAI 2022'!BF288+'SGTO POAI 2022'!BF289+'SGTO POAI 2022'!BF290+'SGTO POAI 2022'!BF291+'SGTO POAI 2022'!BF292+'SGTO POAI 2022'!BF293+'SGTO POAI 2022'!BF294+'SGTO POAI 2022'!BF296+'SGTO POAI 2022'!BF297+'SGTO POAI 2022'!BF298+'SGTO POAI 2022'!BF299</f>
        <v>31778962868.299999</v>
      </c>
      <c r="D7" s="432">
        <f t="shared" si="0"/>
        <v>1</v>
      </c>
      <c r="E7" s="552">
        <f>'SGTO POAI 2022'!BG34+'SGTO POAI 2022'!BG35+'SGTO POAI 2022'!BG36+'SGTO POAI 2022'!BG37+'SGTO POAI 2022'!BG38+'SGTO POAI 2022'!BG39+'SGTO POAI 2022'!BG40+'SGTO POAI 2022'!BG41+'SGTO POAI 2022'!BG42+'SGTO POAI 2022'!BG43+'SGTO POAI 2022'!BG44+'SGTO POAI 2022'!BG45+'SGTO POAI 2022'!BG60+'SGTO POAI 2022'!BG61+'SGTO POAI 2022'!BG62+'SGTO POAI 2022'!BG63+'SGTO POAI 2022'!BG112+'SGTO POAI 2022'!BG113+'SGTO POAI 2022'!BG114+'SGTO POAI 2022'!BG115+'SGTO POAI 2022'!BG116+'SGTO POAI 2022'!BG117+'SGTO POAI 2022'!BG118+'SGTO POAI 2022'!BG119+'SGTO POAI 2022'!BG120+'SGTO POAI 2022'!BG121+'SGTO POAI 2022'!BG122+'SGTO POAI 2022'!BG123+'SGTO POAI 2022'!BG124+'SGTO POAI 2022'!BG125+'SGTO POAI 2022'!BG287+'SGTO POAI 2022'!BG288+'SGTO POAI 2022'!BG289+'SGTO POAI 2022'!BG290+'SGTO POAI 2022'!BG291+'SGTO POAI 2022'!BG292+'SGTO POAI 2022'!BG293+'SGTO POAI 2022'!BG294+'SGTO POAI 2022'!BG296+'SGTO POAI 2022'!BG297+'SGTO POAI 2022'!BG298+'SGTO POAI 2022'!BG299</f>
        <v>16382832957.920002</v>
      </c>
      <c r="F7" s="414">
        <f>E7/C7</f>
        <v>0.51552446899587556</v>
      </c>
      <c r="G7" s="552">
        <f>'SGTO POAI 2022'!BH34+'SGTO POAI 2022'!BH35+'SGTO POAI 2022'!BH36+'SGTO POAI 2022'!BH37+'SGTO POAI 2022'!BH38+'SGTO POAI 2022'!BH39+'SGTO POAI 2022'!BH40+'SGTO POAI 2022'!BH41+'SGTO POAI 2022'!BH42+'SGTO POAI 2022'!BH43+'SGTO POAI 2022'!BH44+'SGTO POAI 2022'!BH45+'SGTO POAI 2022'!BH60+'SGTO POAI 2022'!BH61+'SGTO POAI 2022'!BH62+'SGTO POAI 2022'!BH63+'SGTO POAI 2022'!BH112+'SGTO POAI 2022'!BH113+'SGTO POAI 2022'!BH114+'SGTO POAI 2022'!BH115+'SGTO POAI 2022'!BH116+'SGTO POAI 2022'!BH117+'SGTO POAI 2022'!BH118+'SGTO POAI 2022'!BH119+'SGTO POAI 2022'!BH120+'SGTO POAI 2022'!BH121+'SGTO POAI 2022'!BH122+'SGTO POAI 2022'!BH123+'SGTO POAI 2022'!BH124+'SGTO POAI 2022'!BH125+'SGTO POAI 2022'!BH287+'SGTO POAI 2022'!BH288+'SGTO POAI 2022'!BH289+'SGTO POAI 2022'!BH290+'SGTO POAI 2022'!BH291+'SGTO POAI 2022'!BH292+'SGTO POAI 2022'!BH293+'SGTO POAI 2022'!BH294+'SGTO POAI 2022'!BH296+'SGTO POAI 2022'!BH297+'SGTO POAI 2022'!BH298+'SGTO POAI 2022'!BH299</f>
        <v>7771576800.3500004</v>
      </c>
      <c r="H7" s="459">
        <f t="shared" si="1"/>
        <v>0.47437319420344598</v>
      </c>
    </row>
    <row r="8" spans="2:8" ht="30.75" customHeight="1" thickBot="1" x14ac:dyDescent="0.3">
      <c r="B8" s="105" t="s">
        <v>1192</v>
      </c>
      <c r="C8" s="552">
        <f>'SGTO POAI 2022'!BF8+'SGTO POAI 2022'!BF9+'SGTO POAI 2022'!BF10+'SGTO POAI 2022'!BF11+'SGTO POAI 2022'!BF12+'SGTO POAI 2022'!BF13+'SGTO POAI 2022'!BF14+'SGTO POAI 2022'!BF15+'SGTO POAI 2022'!BF16+'SGTO POAI 2022'!BF17+'SGTO POAI 2022'!BF18+'SGTO POAI 2022'!BF19+'SGTO POAI 2022'!BF20+'SGTO POAI 2022'!BF21+'SGTO POAI 2022'!BF22+'SGTO POAI 2022'!BF23+'SGTO POAI 2022'!BF24+'SGTO POAI 2022'!BF25+'SGTO POAI 2022'!BF46+'SGTO POAI 2022'!BF47+'SGTO POAI 2022'!BF64+'SGTO POAI 2022'!BF65+'SGTO POAI 2022'!BF66+'SGTO POAI 2022'!BF67+'SGTO POAI 2022'!BF68+'SGTO POAI 2022'!BF126+'SGTO POAI 2022'!BF127+'SGTO POAI 2022'!BF128+'SGTO POAI 2022'!BF191+'SGTO POAI 2022'!BF192+'SGTO POAI 2022'!BF193+'SGTO POAI 2022'!BF194+'SGTO POAI 2022'!BF195+'SGTO POAI 2022'!BF273+'SGTO POAI 2022'!BF274+'SGTO POAI 2022'!BF275+'SGTO POAI 2022'!BF276+'SGTO POAI 2022'!BF277+'SGTO POAI 2022'!BF278</f>
        <v>9076573180.3100014</v>
      </c>
      <c r="D8" s="432">
        <f t="shared" si="0"/>
        <v>1</v>
      </c>
      <c r="E8" s="552">
        <f>'SGTO POAI 2022'!BG8+'SGTO POAI 2022'!BG9+'SGTO POAI 2022'!BG10+'SGTO POAI 2022'!BG11+'SGTO POAI 2022'!BG12+'SGTO POAI 2022'!BG13+'SGTO POAI 2022'!BG14+'SGTO POAI 2022'!BG15+'SGTO POAI 2022'!BG16+'SGTO POAI 2022'!BG17+'SGTO POAI 2022'!BG18+'SGTO POAI 2022'!BG19+'SGTO POAI 2022'!BG20+'SGTO POAI 2022'!BG21+'SGTO POAI 2022'!BG22+'SGTO POAI 2022'!BG23+'SGTO POAI 2022'!BG24+'SGTO POAI 2022'!BG25+'SGTO POAI 2022'!BG46+'SGTO POAI 2022'!BG47+'SGTO POAI 2022'!BG64+'SGTO POAI 2022'!BG65+'SGTO POAI 2022'!BG66+'SGTO POAI 2022'!BG67+'SGTO POAI 2022'!BG68+'SGTO POAI 2022'!BG126+'SGTO POAI 2022'!BG127+'SGTO POAI 2022'!BG128+'SGTO POAI 2022'!BG191+'SGTO POAI 2022'!BG192+'SGTO POAI 2022'!BG193+'SGTO POAI 2022'!BG194+'SGTO POAI 2022'!BG195+'SGTO POAI 2022'!BG273+'SGTO POAI 2022'!BG274+'SGTO POAI 2022'!BG275+'SGTO POAI 2022'!BG276+'SGTO POAI 2022'!BG277+'SGTO POAI 2022'!BG278</f>
        <v>7345146645</v>
      </c>
      <c r="F8" s="414">
        <f>E8/C8</f>
        <v>0.80924226567510948</v>
      </c>
      <c r="G8" s="552">
        <f>'SGTO POAI 2022'!BH8+'SGTO POAI 2022'!BH9+'SGTO POAI 2022'!BH10+'SGTO POAI 2022'!BH11+'SGTO POAI 2022'!BH12+'SGTO POAI 2022'!BH13+'SGTO POAI 2022'!BH14+'SGTO POAI 2022'!BH15+'SGTO POAI 2022'!BH16+'SGTO POAI 2022'!BH17+'SGTO POAI 2022'!BH18+'SGTO POAI 2022'!BH19+'SGTO POAI 2022'!BH20+'SGTO POAI 2022'!BH21+'SGTO POAI 2022'!BH22+'SGTO POAI 2022'!BH23+'SGTO POAI 2022'!BH24+'SGTO POAI 2022'!BH25+'SGTO POAI 2022'!BH46+'SGTO POAI 2022'!BH47+'SGTO POAI 2022'!BH64+'SGTO POAI 2022'!BH65+'SGTO POAI 2022'!BH66+'SGTO POAI 2022'!BH67+'SGTO POAI 2022'!BH68+'SGTO POAI 2022'!BH126+'SGTO POAI 2022'!BH127+'SGTO POAI 2022'!BH128+'SGTO POAI 2022'!BH191+'SGTO POAI 2022'!BH192+'SGTO POAI 2022'!BH193+'SGTO POAI 2022'!BH194+'SGTO POAI 2022'!BH195+'SGTO POAI 2022'!BH273+'SGTO POAI 2022'!BH274+'SGTO POAI 2022'!BH275+'SGTO POAI 2022'!BH276+'SGTO POAI 2022'!BH277+'SGTO POAI 2022'!BH278</f>
        <v>4302488881.5</v>
      </c>
      <c r="H8" s="459">
        <f t="shared" si="1"/>
        <v>0.58575942584193297</v>
      </c>
    </row>
    <row r="9" spans="2:8" s="147" customFormat="1" ht="30.75" customHeight="1" x14ac:dyDescent="0.25">
      <c r="B9" s="456" t="s">
        <v>1278</v>
      </c>
      <c r="C9" s="553">
        <f>SUM(C5:C8)</f>
        <v>358330943965.86993</v>
      </c>
      <c r="D9" s="458">
        <f>C9/C9</f>
        <v>1</v>
      </c>
      <c r="E9" s="553">
        <f>SUM(E5:E8)</f>
        <v>243431359509.22998</v>
      </c>
      <c r="F9" s="457">
        <f>E9/C9</f>
        <v>0.67934785875600001</v>
      </c>
      <c r="G9" s="553">
        <f>SUM(G5:G8)</f>
        <v>199743346849.69003</v>
      </c>
      <c r="H9" s="458">
        <f t="shared" si="1"/>
        <v>0.8205325199365554</v>
      </c>
    </row>
    <row r="13" spans="2:8" ht="15.75" thickBot="1" x14ac:dyDescent="0.3"/>
    <row r="14" spans="2:8" ht="35.25" customHeight="1" x14ac:dyDescent="0.25">
      <c r="C14" s="600" t="s">
        <v>1497</v>
      </c>
      <c r="D14" s="618"/>
    </row>
    <row r="15" spans="2:8" ht="15" customHeight="1" x14ac:dyDescent="0.25">
      <c r="C15" s="602" t="s">
        <v>1449</v>
      </c>
      <c r="D15" s="619"/>
    </row>
    <row r="16" spans="2:8" ht="15" customHeight="1" x14ac:dyDescent="0.25">
      <c r="C16" s="604" t="s">
        <v>1451</v>
      </c>
      <c r="D16" s="620"/>
    </row>
    <row r="17" spans="3:4" x14ac:dyDescent="0.25">
      <c r="C17" s="585" t="s">
        <v>1453</v>
      </c>
      <c r="D17" s="621"/>
    </row>
    <row r="18" spans="3:4" x14ac:dyDescent="0.25">
      <c r="C18" s="587" t="s">
        <v>1455</v>
      </c>
      <c r="D18" s="606"/>
    </row>
    <row r="19" spans="3:4" x14ac:dyDescent="0.25">
      <c r="C19" s="607" t="s">
        <v>1456</v>
      </c>
      <c r="D19" s="608"/>
    </row>
  </sheetData>
  <mergeCells count="7">
    <mergeCell ref="C18:D18"/>
    <mergeCell ref="C19:D19"/>
    <mergeCell ref="B1:H3"/>
    <mergeCell ref="C14:D14"/>
    <mergeCell ref="C15:D15"/>
    <mergeCell ref="C16:D16"/>
    <mergeCell ref="C17:D17"/>
  </mergeCells>
  <conditionalFormatting sqref="F5:F8">
    <cfRule type="cellIs" dxfId="184" priority="6" operator="between">
      <formula>0</formula>
      <formula>0.3999</formula>
    </cfRule>
    <cfRule type="cellIs" dxfId="183" priority="7" operator="between">
      <formula>0.4</formula>
      <formula>0.59</formula>
    </cfRule>
    <cfRule type="cellIs" dxfId="182" priority="8" operator="between">
      <formula>0.595</formula>
      <formula>0.6949</formula>
    </cfRule>
    <cfRule type="cellIs" dxfId="181" priority="9" operator="between">
      <formula>0.7</formula>
      <formula>0.79</formula>
    </cfRule>
    <cfRule type="cellIs" dxfId="180" priority="10" operator="between">
      <formula>0.8</formula>
      <formula>1</formula>
    </cfRule>
  </conditionalFormatting>
  <conditionalFormatting sqref="F9">
    <cfRule type="cellIs" dxfId="179" priority="1" operator="between">
      <formula>0</formula>
      <formula>0.3999</formula>
    </cfRule>
    <cfRule type="cellIs" dxfId="178" priority="2" operator="between">
      <formula>0.4</formula>
      <formula>0.59</formula>
    </cfRule>
    <cfRule type="cellIs" dxfId="177" priority="3" operator="between">
      <formula>0.6</formula>
      <formula>0.69</formula>
    </cfRule>
    <cfRule type="cellIs" dxfId="176" priority="4" operator="between">
      <formula>0.7</formula>
      <formula>0.79</formula>
    </cfRule>
    <cfRule type="cellIs" dxfId="175" priority="5" operator="between">
      <formula>0.8</formula>
      <formula>1</formula>
    </cfRule>
  </conditionalFormatting>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Q77"/>
  <sheetViews>
    <sheetView showGridLines="0" zoomScale="80" zoomScaleNormal="80" workbookViewId="0">
      <selection activeCell="B12" sqref="B12"/>
    </sheetView>
  </sheetViews>
  <sheetFormatPr baseColWidth="10" defaultRowHeight="12.75" x14ac:dyDescent="0.2"/>
  <cols>
    <col min="1" max="1" width="13.28515625" style="221" customWidth="1"/>
    <col min="2" max="2" width="32.140625" style="254" customWidth="1"/>
    <col min="3" max="3" width="24.28515625" style="250" customWidth="1"/>
    <col min="4" max="4" width="10.140625" style="250" customWidth="1"/>
    <col min="5" max="5" width="25.5703125" style="250" customWidth="1"/>
    <col min="6" max="6" width="14" style="250" customWidth="1"/>
    <col min="7" max="7" width="25.7109375" style="250" customWidth="1"/>
    <col min="8" max="8" width="12.5703125" style="250" customWidth="1"/>
    <col min="9" max="9" width="24.7109375" style="250" customWidth="1"/>
    <col min="10" max="10" width="10.28515625" style="250" customWidth="1"/>
    <col min="11" max="11" width="22.85546875" style="250" customWidth="1"/>
    <col min="12" max="12" width="11.7109375" style="250" customWidth="1"/>
    <col min="13" max="13" width="23.140625" style="250" customWidth="1"/>
    <col min="14" max="14" width="13.5703125" style="221" customWidth="1"/>
    <col min="15" max="256" width="11.42578125" style="221"/>
    <col min="257" max="257" width="13.28515625" style="221" customWidth="1"/>
    <col min="258" max="258" width="32.140625" style="221" customWidth="1"/>
    <col min="259" max="259" width="20.7109375" style="221" customWidth="1"/>
    <col min="260" max="260" width="10.42578125" style="221" customWidth="1"/>
    <col min="261" max="261" width="18.5703125" style="221" customWidth="1"/>
    <col min="262" max="262" width="11.7109375" style="221" customWidth="1"/>
    <col min="263" max="263" width="19.28515625" style="221" customWidth="1"/>
    <col min="264" max="264" width="10.28515625" style="221" customWidth="1"/>
    <col min="265" max="265" width="19.42578125" style="221" customWidth="1"/>
    <col min="266" max="266" width="10.28515625" style="221" customWidth="1"/>
    <col min="267" max="267" width="19.5703125" style="221" customWidth="1"/>
    <col min="268" max="268" width="10.42578125" style="221" customWidth="1"/>
    <col min="269" max="269" width="21.140625" style="221" customWidth="1"/>
    <col min="270" max="270" width="11.7109375" style="221" customWidth="1"/>
    <col min="271" max="512" width="11.42578125" style="221"/>
    <col min="513" max="513" width="13.28515625" style="221" customWidth="1"/>
    <col min="514" max="514" width="32.140625" style="221" customWidth="1"/>
    <col min="515" max="515" width="20.7109375" style="221" customWidth="1"/>
    <col min="516" max="516" width="10.42578125" style="221" customWidth="1"/>
    <col min="517" max="517" width="18.5703125" style="221" customWidth="1"/>
    <col min="518" max="518" width="11.7109375" style="221" customWidth="1"/>
    <col min="519" max="519" width="19.28515625" style="221" customWidth="1"/>
    <col min="520" max="520" width="10.28515625" style="221" customWidth="1"/>
    <col min="521" max="521" width="19.42578125" style="221" customWidth="1"/>
    <col min="522" max="522" width="10.28515625" style="221" customWidth="1"/>
    <col min="523" max="523" width="19.5703125" style="221" customWidth="1"/>
    <col min="524" max="524" width="10.42578125" style="221" customWidth="1"/>
    <col min="525" max="525" width="21.140625" style="221" customWidth="1"/>
    <col min="526" max="526" width="11.7109375" style="221" customWidth="1"/>
    <col min="527" max="768" width="11.42578125" style="221"/>
    <col min="769" max="769" width="13.28515625" style="221" customWidth="1"/>
    <col min="770" max="770" width="32.140625" style="221" customWidth="1"/>
    <col min="771" max="771" width="20.7109375" style="221" customWidth="1"/>
    <col min="772" max="772" width="10.42578125" style="221" customWidth="1"/>
    <col min="773" max="773" width="18.5703125" style="221" customWidth="1"/>
    <col min="774" max="774" width="11.7109375" style="221" customWidth="1"/>
    <col min="775" max="775" width="19.28515625" style="221" customWidth="1"/>
    <col min="776" max="776" width="10.28515625" style="221" customWidth="1"/>
    <col min="777" max="777" width="19.42578125" style="221" customWidth="1"/>
    <col min="778" max="778" width="10.28515625" style="221" customWidth="1"/>
    <col min="779" max="779" width="19.5703125" style="221" customWidth="1"/>
    <col min="780" max="780" width="10.42578125" style="221" customWidth="1"/>
    <col min="781" max="781" width="21.140625" style="221" customWidth="1"/>
    <col min="782" max="782" width="11.7109375" style="221" customWidth="1"/>
    <col min="783" max="1024" width="11.42578125" style="221"/>
    <col min="1025" max="1025" width="13.28515625" style="221" customWidth="1"/>
    <col min="1026" max="1026" width="32.140625" style="221" customWidth="1"/>
    <col min="1027" max="1027" width="20.7109375" style="221" customWidth="1"/>
    <col min="1028" max="1028" width="10.42578125" style="221" customWidth="1"/>
    <col min="1029" max="1029" width="18.5703125" style="221" customWidth="1"/>
    <col min="1030" max="1030" width="11.7109375" style="221" customWidth="1"/>
    <col min="1031" max="1031" width="19.28515625" style="221" customWidth="1"/>
    <col min="1032" max="1032" width="10.28515625" style="221" customWidth="1"/>
    <col min="1033" max="1033" width="19.42578125" style="221" customWidth="1"/>
    <col min="1034" max="1034" width="10.28515625" style="221" customWidth="1"/>
    <col min="1035" max="1035" width="19.5703125" style="221" customWidth="1"/>
    <col min="1036" max="1036" width="10.42578125" style="221" customWidth="1"/>
    <col min="1037" max="1037" width="21.140625" style="221" customWidth="1"/>
    <col min="1038" max="1038" width="11.7109375" style="221" customWidth="1"/>
    <col min="1039" max="1280" width="11.42578125" style="221"/>
    <col min="1281" max="1281" width="13.28515625" style="221" customWidth="1"/>
    <col min="1282" max="1282" width="32.140625" style="221" customWidth="1"/>
    <col min="1283" max="1283" width="20.7109375" style="221" customWidth="1"/>
    <col min="1284" max="1284" width="10.42578125" style="221" customWidth="1"/>
    <col min="1285" max="1285" width="18.5703125" style="221" customWidth="1"/>
    <col min="1286" max="1286" width="11.7109375" style="221" customWidth="1"/>
    <col min="1287" max="1287" width="19.28515625" style="221" customWidth="1"/>
    <col min="1288" max="1288" width="10.28515625" style="221" customWidth="1"/>
    <col min="1289" max="1289" width="19.42578125" style="221" customWidth="1"/>
    <col min="1290" max="1290" width="10.28515625" style="221" customWidth="1"/>
    <col min="1291" max="1291" width="19.5703125" style="221" customWidth="1"/>
    <col min="1292" max="1292" width="10.42578125" style="221" customWidth="1"/>
    <col min="1293" max="1293" width="21.140625" style="221" customWidth="1"/>
    <col min="1294" max="1294" width="11.7109375" style="221" customWidth="1"/>
    <col min="1295" max="1536" width="11.42578125" style="221"/>
    <col min="1537" max="1537" width="13.28515625" style="221" customWidth="1"/>
    <col min="1538" max="1538" width="32.140625" style="221" customWidth="1"/>
    <col min="1539" max="1539" width="20.7109375" style="221" customWidth="1"/>
    <col min="1540" max="1540" width="10.42578125" style="221" customWidth="1"/>
    <col min="1541" max="1541" width="18.5703125" style="221" customWidth="1"/>
    <col min="1542" max="1542" width="11.7109375" style="221" customWidth="1"/>
    <col min="1543" max="1543" width="19.28515625" style="221" customWidth="1"/>
    <col min="1544" max="1544" width="10.28515625" style="221" customWidth="1"/>
    <col min="1545" max="1545" width="19.42578125" style="221" customWidth="1"/>
    <col min="1546" max="1546" width="10.28515625" style="221" customWidth="1"/>
    <col min="1547" max="1547" width="19.5703125" style="221" customWidth="1"/>
    <col min="1548" max="1548" width="10.42578125" style="221" customWidth="1"/>
    <col min="1549" max="1549" width="21.140625" style="221" customWidth="1"/>
    <col min="1550" max="1550" width="11.7109375" style="221" customWidth="1"/>
    <col min="1551" max="1792" width="11.42578125" style="221"/>
    <col min="1793" max="1793" width="13.28515625" style="221" customWidth="1"/>
    <col min="1794" max="1794" width="32.140625" style="221" customWidth="1"/>
    <col min="1795" max="1795" width="20.7109375" style="221" customWidth="1"/>
    <col min="1796" max="1796" width="10.42578125" style="221" customWidth="1"/>
    <col min="1797" max="1797" width="18.5703125" style="221" customWidth="1"/>
    <col min="1798" max="1798" width="11.7109375" style="221" customWidth="1"/>
    <col min="1799" max="1799" width="19.28515625" style="221" customWidth="1"/>
    <col min="1800" max="1800" width="10.28515625" style="221" customWidth="1"/>
    <col min="1801" max="1801" width="19.42578125" style="221" customWidth="1"/>
    <col min="1802" max="1802" width="10.28515625" style="221" customWidth="1"/>
    <col min="1803" max="1803" width="19.5703125" style="221" customWidth="1"/>
    <col min="1804" max="1804" width="10.42578125" style="221" customWidth="1"/>
    <col min="1805" max="1805" width="21.140625" style="221" customWidth="1"/>
    <col min="1806" max="1806" width="11.7109375" style="221" customWidth="1"/>
    <col min="1807" max="2048" width="11.42578125" style="221"/>
    <col min="2049" max="2049" width="13.28515625" style="221" customWidth="1"/>
    <col min="2050" max="2050" width="32.140625" style="221" customWidth="1"/>
    <col min="2051" max="2051" width="20.7109375" style="221" customWidth="1"/>
    <col min="2052" max="2052" width="10.42578125" style="221" customWidth="1"/>
    <col min="2053" max="2053" width="18.5703125" style="221" customWidth="1"/>
    <col min="2054" max="2054" width="11.7109375" style="221" customWidth="1"/>
    <col min="2055" max="2055" width="19.28515625" style="221" customWidth="1"/>
    <col min="2056" max="2056" width="10.28515625" style="221" customWidth="1"/>
    <col min="2057" max="2057" width="19.42578125" style="221" customWidth="1"/>
    <col min="2058" max="2058" width="10.28515625" style="221" customWidth="1"/>
    <col min="2059" max="2059" width="19.5703125" style="221" customWidth="1"/>
    <col min="2060" max="2060" width="10.42578125" style="221" customWidth="1"/>
    <col min="2061" max="2061" width="21.140625" style="221" customWidth="1"/>
    <col min="2062" max="2062" width="11.7109375" style="221" customWidth="1"/>
    <col min="2063" max="2304" width="11.42578125" style="221"/>
    <col min="2305" max="2305" width="13.28515625" style="221" customWidth="1"/>
    <col min="2306" max="2306" width="32.140625" style="221" customWidth="1"/>
    <col min="2307" max="2307" width="20.7109375" style="221" customWidth="1"/>
    <col min="2308" max="2308" width="10.42578125" style="221" customWidth="1"/>
    <col min="2309" max="2309" width="18.5703125" style="221" customWidth="1"/>
    <col min="2310" max="2310" width="11.7109375" style="221" customWidth="1"/>
    <col min="2311" max="2311" width="19.28515625" style="221" customWidth="1"/>
    <col min="2312" max="2312" width="10.28515625" style="221" customWidth="1"/>
    <col min="2313" max="2313" width="19.42578125" style="221" customWidth="1"/>
    <col min="2314" max="2314" width="10.28515625" style="221" customWidth="1"/>
    <col min="2315" max="2315" width="19.5703125" style="221" customWidth="1"/>
    <col min="2316" max="2316" width="10.42578125" style="221" customWidth="1"/>
    <col min="2317" max="2317" width="21.140625" style="221" customWidth="1"/>
    <col min="2318" max="2318" width="11.7109375" style="221" customWidth="1"/>
    <col min="2319" max="2560" width="11.42578125" style="221"/>
    <col min="2561" max="2561" width="13.28515625" style="221" customWidth="1"/>
    <col min="2562" max="2562" width="32.140625" style="221" customWidth="1"/>
    <col min="2563" max="2563" width="20.7109375" style="221" customWidth="1"/>
    <col min="2564" max="2564" width="10.42578125" style="221" customWidth="1"/>
    <col min="2565" max="2565" width="18.5703125" style="221" customWidth="1"/>
    <col min="2566" max="2566" width="11.7109375" style="221" customWidth="1"/>
    <col min="2567" max="2567" width="19.28515625" style="221" customWidth="1"/>
    <col min="2568" max="2568" width="10.28515625" style="221" customWidth="1"/>
    <col min="2569" max="2569" width="19.42578125" style="221" customWidth="1"/>
    <col min="2570" max="2570" width="10.28515625" style="221" customWidth="1"/>
    <col min="2571" max="2571" width="19.5703125" style="221" customWidth="1"/>
    <col min="2572" max="2572" width="10.42578125" style="221" customWidth="1"/>
    <col min="2573" max="2573" width="21.140625" style="221" customWidth="1"/>
    <col min="2574" max="2574" width="11.7109375" style="221" customWidth="1"/>
    <col min="2575" max="2816" width="11.42578125" style="221"/>
    <col min="2817" max="2817" width="13.28515625" style="221" customWidth="1"/>
    <col min="2818" max="2818" width="32.140625" style="221" customWidth="1"/>
    <col min="2819" max="2819" width="20.7109375" style="221" customWidth="1"/>
    <col min="2820" max="2820" width="10.42578125" style="221" customWidth="1"/>
    <col min="2821" max="2821" width="18.5703125" style="221" customWidth="1"/>
    <col min="2822" max="2822" width="11.7109375" style="221" customWidth="1"/>
    <col min="2823" max="2823" width="19.28515625" style="221" customWidth="1"/>
    <col min="2824" max="2824" width="10.28515625" style="221" customWidth="1"/>
    <col min="2825" max="2825" width="19.42578125" style="221" customWidth="1"/>
    <col min="2826" max="2826" width="10.28515625" style="221" customWidth="1"/>
    <col min="2827" max="2827" width="19.5703125" style="221" customWidth="1"/>
    <col min="2828" max="2828" width="10.42578125" style="221" customWidth="1"/>
    <col min="2829" max="2829" width="21.140625" style="221" customWidth="1"/>
    <col min="2830" max="2830" width="11.7109375" style="221" customWidth="1"/>
    <col min="2831" max="3072" width="11.42578125" style="221"/>
    <col min="3073" max="3073" width="13.28515625" style="221" customWidth="1"/>
    <col min="3074" max="3074" width="32.140625" style="221" customWidth="1"/>
    <col min="3075" max="3075" width="20.7109375" style="221" customWidth="1"/>
    <col min="3076" max="3076" width="10.42578125" style="221" customWidth="1"/>
    <col min="3077" max="3077" width="18.5703125" style="221" customWidth="1"/>
    <col min="3078" max="3078" width="11.7109375" style="221" customWidth="1"/>
    <col min="3079" max="3079" width="19.28515625" style="221" customWidth="1"/>
    <col min="3080" max="3080" width="10.28515625" style="221" customWidth="1"/>
    <col min="3081" max="3081" width="19.42578125" style="221" customWidth="1"/>
    <col min="3082" max="3082" width="10.28515625" style="221" customWidth="1"/>
    <col min="3083" max="3083" width="19.5703125" style="221" customWidth="1"/>
    <col min="3084" max="3084" width="10.42578125" style="221" customWidth="1"/>
    <col min="3085" max="3085" width="21.140625" style="221" customWidth="1"/>
    <col min="3086" max="3086" width="11.7109375" style="221" customWidth="1"/>
    <col min="3087" max="3328" width="11.42578125" style="221"/>
    <col min="3329" max="3329" width="13.28515625" style="221" customWidth="1"/>
    <col min="3330" max="3330" width="32.140625" style="221" customWidth="1"/>
    <col min="3331" max="3331" width="20.7109375" style="221" customWidth="1"/>
    <col min="3332" max="3332" width="10.42578125" style="221" customWidth="1"/>
    <col min="3333" max="3333" width="18.5703125" style="221" customWidth="1"/>
    <col min="3334" max="3334" width="11.7109375" style="221" customWidth="1"/>
    <col min="3335" max="3335" width="19.28515625" style="221" customWidth="1"/>
    <col min="3336" max="3336" width="10.28515625" style="221" customWidth="1"/>
    <col min="3337" max="3337" width="19.42578125" style="221" customWidth="1"/>
    <col min="3338" max="3338" width="10.28515625" style="221" customWidth="1"/>
    <col min="3339" max="3339" width="19.5703125" style="221" customWidth="1"/>
    <col min="3340" max="3340" width="10.42578125" style="221" customWidth="1"/>
    <col min="3341" max="3341" width="21.140625" style="221" customWidth="1"/>
    <col min="3342" max="3342" width="11.7109375" style="221" customWidth="1"/>
    <col min="3343" max="3584" width="11.42578125" style="221"/>
    <col min="3585" max="3585" width="13.28515625" style="221" customWidth="1"/>
    <col min="3586" max="3586" width="32.140625" style="221" customWidth="1"/>
    <col min="3587" max="3587" width="20.7109375" style="221" customWidth="1"/>
    <col min="3588" max="3588" width="10.42578125" style="221" customWidth="1"/>
    <col min="3589" max="3589" width="18.5703125" style="221" customWidth="1"/>
    <col min="3590" max="3590" width="11.7109375" style="221" customWidth="1"/>
    <col min="3591" max="3591" width="19.28515625" style="221" customWidth="1"/>
    <col min="3592" max="3592" width="10.28515625" style="221" customWidth="1"/>
    <col min="3593" max="3593" width="19.42578125" style="221" customWidth="1"/>
    <col min="3594" max="3594" width="10.28515625" style="221" customWidth="1"/>
    <col min="3595" max="3595" width="19.5703125" style="221" customWidth="1"/>
    <col min="3596" max="3596" width="10.42578125" style="221" customWidth="1"/>
    <col min="3597" max="3597" width="21.140625" style="221" customWidth="1"/>
    <col min="3598" max="3598" width="11.7109375" style="221" customWidth="1"/>
    <col min="3599" max="3840" width="11.42578125" style="221"/>
    <col min="3841" max="3841" width="13.28515625" style="221" customWidth="1"/>
    <col min="3842" max="3842" width="32.140625" style="221" customWidth="1"/>
    <col min="3843" max="3843" width="20.7109375" style="221" customWidth="1"/>
    <col min="3844" max="3844" width="10.42578125" style="221" customWidth="1"/>
    <col min="3845" max="3845" width="18.5703125" style="221" customWidth="1"/>
    <col min="3846" max="3846" width="11.7109375" style="221" customWidth="1"/>
    <col min="3847" max="3847" width="19.28515625" style="221" customWidth="1"/>
    <col min="3848" max="3848" width="10.28515625" style="221" customWidth="1"/>
    <col min="3849" max="3849" width="19.42578125" style="221" customWidth="1"/>
    <col min="3850" max="3850" width="10.28515625" style="221" customWidth="1"/>
    <col min="3851" max="3851" width="19.5703125" style="221" customWidth="1"/>
    <col min="3852" max="3852" width="10.42578125" style="221" customWidth="1"/>
    <col min="3853" max="3853" width="21.140625" style="221" customWidth="1"/>
    <col min="3854" max="3854" width="11.7109375" style="221" customWidth="1"/>
    <col min="3855" max="4096" width="11.42578125" style="221"/>
    <col min="4097" max="4097" width="13.28515625" style="221" customWidth="1"/>
    <col min="4098" max="4098" width="32.140625" style="221" customWidth="1"/>
    <col min="4099" max="4099" width="20.7109375" style="221" customWidth="1"/>
    <col min="4100" max="4100" width="10.42578125" style="221" customWidth="1"/>
    <col min="4101" max="4101" width="18.5703125" style="221" customWidth="1"/>
    <col min="4102" max="4102" width="11.7109375" style="221" customWidth="1"/>
    <col min="4103" max="4103" width="19.28515625" style="221" customWidth="1"/>
    <col min="4104" max="4104" width="10.28515625" style="221" customWidth="1"/>
    <col min="4105" max="4105" width="19.42578125" style="221" customWidth="1"/>
    <col min="4106" max="4106" width="10.28515625" style="221" customWidth="1"/>
    <col min="4107" max="4107" width="19.5703125" style="221" customWidth="1"/>
    <col min="4108" max="4108" width="10.42578125" style="221" customWidth="1"/>
    <col min="4109" max="4109" width="21.140625" style="221" customWidth="1"/>
    <col min="4110" max="4110" width="11.7109375" style="221" customWidth="1"/>
    <col min="4111" max="4352" width="11.42578125" style="221"/>
    <col min="4353" max="4353" width="13.28515625" style="221" customWidth="1"/>
    <col min="4354" max="4354" width="32.140625" style="221" customWidth="1"/>
    <col min="4355" max="4355" width="20.7109375" style="221" customWidth="1"/>
    <col min="4356" max="4356" width="10.42578125" style="221" customWidth="1"/>
    <col min="4357" max="4357" width="18.5703125" style="221" customWidth="1"/>
    <col min="4358" max="4358" width="11.7109375" style="221" customWidth="1"/>
    <col min="4359" max="4359" width="19.28515625" style="221" customWidth="1"/>
    <col min="4360" max="4360" width="10.28515625" style="221" customWidth="1"/>
    <col min="4361" max="4361" width="19.42578125" style="221" customWidth="1"/>
    <col min="4362" max="4362" width="10.28515625" style="221" customWidth="1"/>
    <col min="4363" max="4363" width="19.5703125" style="221" customWidth="1"/>
    <col min="4364" max="4364" width="10.42578125" style="221" customWidth="1"/>
    <col min="4365" max="4365" width="21.140625" style="221" customWidth="1"/>
    <col min="4366" max="4366" width="11.7109375" style="221" customWidth="1"/>
    <col min="4367" max="4608" width="11.42578125" style="221"/>
    <col min="4609" max="4609" width="13.28515625" style="221" customWidth="1"/>
    <col min="4610" max="4610" width="32.140625" style="221" customWidth="1"/>
    <col min="4611" max="4611" width="20.7109375" style="221" customWidth="1"/>
    <col min="4612" max="4612" width="10.42578125" style="221" customWidth="1"/>
    <col min="4613" max="4613" width="18.5703125" style="221" customWidth="1"/>
    <col min="4614" max="4614" width="11.7109375" style="221" customWidth="1"/>
    <col min="4615" max="4615" width="19.28515625" style="221" customWidth="1"/>
    <col min="4616" max="4616" width="10.28515625" style="221" customWidth="1"/>
    <col min="4617" max="4617" width="19.42578125" style="221" customWidth="1"/>
    <col min="4618" max="4618" width="10.28515625" style="221" customWidth="1"/>
    <col min="4619" max="4619" width="19.5703125" style="221" customWidth="1"/>
    <col min="4620" max="4620" width="10.42578125" style="221" customWidth="1"/>
    <col min="4621" max="4621" width="21.140625" style="221" customWidth="1"/>
    <col min="4622" max="4622" width="11.7109375" style="221" customWidth="1"/>
    <col min="4623" max="4864" width="11.42578125" style="221"/>
    <col min="4865" max="4865" width="13.28515625" style="221" customWidth="1"/>
    <col min="4866" max="4866" width="32.140625" style="221" customWidth="1"/>
    <col min="4867" max="4867" width="20.7109375" style="221" customWidth="1"/>
    <col min="4868" max="4868" width="10.42578125" style="221" customWidth="1"/>
    <col min="4869" max="4869" width="18.5703125" style="221" customWidth="1"/>
    <col min="4870" max="4870" width="11.7109375" style="221" customWidth="1"/>
    <col min="4871" max="4871" width="19.28515625" style="221" customWidth="1"/>
    <col min="4872" max="4872" width="10.28515625" style="221" customWidth="1"/>
    <col min="4873" max="4873" width="19.42578125" style="221" customWidth="1"/>
    <col min="4874" max="4874" width="10.28515625" style="221" customWidth="1"/>
    <col min="4875" max="4875" width="19.5703125" style="221" customWidth="1"/>
    <col min="4876" max="4876" width="10.42578125" style="221" customWidth="1"/>
    <col min="4877" max="4877" width="21.140625" style="221" customWidth="1"/>
    <col min="4878" max="4878" width="11.7109375" style="221" customWidth="1"/>
    <col min="4879" max="5120" width="11.42578125" style="221"/>
    <col min="5121" max="5121" width="13.28515625" style="221" customWidth="1"/>
    <col min="5122" max="5122" width="32.140625" style="221" customWidth="1"/>
    <col min="5123" max="5123" width="20.7109375" style="221" customWidth="1"/>
    <col min="5124" max="5124" width="10.42578125" style="221" customWidth="1"/>
    <col min="5125" max="5125" width="18.5703125" style="221" customWidth="1"/>
    <col min="5126" max="5126" width="11.7109375" style="221" customWidth="1"/>
    <col min="5127" max="5127" width="19.28515625" style="221" customWidth="1"/>
    <col min="5128" max="5128" width="10.28515625" style="221" customWidth="1"/>
    <col min="5129" max="5129" width="19.42578125" style="221" customWidth="1"/>
    <col min="5130" max="5130" width="10.28515625" style="221" customWidth="1"/>
    <col min="5131" max="5131" width="19.5703125" style="221" customWidth="1"/>
    <col min="5132" max="5132" width="10.42578125" style="221" customWidth="1"/>
    <col min="5133" max="5133" width="21.140625" style="221" customWidth="1"/>
    <col min="5134" max="5134" width="11.7109375" style="221" customWidth="1"/>
    <col min="5135" max="5376" width="11.42578125" style="221"/>
    <col min="5377" max="5377" width="13.28515625" style="221" customWidth="1"/>
    <col min="5378" max="5378" width="32.140625" style="221" customWidth="1"/>
    <col min="5379" max="5379" width="20.7109375" style="221" customWidth="1"/>
    <col min="5380" max="5380" width="10.42578125" style="221" customWidth="1"/>
    <col min="5381" max="5381" width="18.5703125" style="221" customWidth="1"/>
    <col min="5382" max="5382" width="11.7109375" style="221" customWidth="1"/>
    <col min="5383" max="5383" width="19.28515625" style="221" customWidth="1"/>
    <col min="5384" max="5384" width="10.28515625" style="221" customWidth="1"/>
    <col min="5385" max="5385" width="19.42578125" style="221" customWidth="1"/>
    <col min="5386" max="5386" width="10.28515625" style="221" customWidth="1"/>
    <col min="5387" max="5387" width="19.5703125" style="221" customWidth="1"/>
    <col min="5388" max="5388" width="10.42578125" style="221" customWidth="1"/>
    <col min="5389" max="5389" width="21.140625" style="221" customWidth="1"/>
    <col min="5390" max="5390" width="11.7109375" style="221" customWidth="1"/>
    <col min="5391" max="5632" width="11.42578125" style="221"/>
    <col min="5633" max="5633" width="13.28515625" style="221" customWidth="1"/>
    <col min="5634" max="5634" width="32.140625" style="221" customWidth="1"/>
    <col min="5635" max="5635" width="20.7109375" style="221" customWidth="1"/>
    <col min="5636" max="5636" width="10.42578125" style="221" customWidth="1"/>
    <col min="5637" max="5637" width="18.5703125" style="221" customWidth="1"/>
    <col min="5638" max="5638" width="11.7109375" style="221" customWidth="1"/>
    <col min="5639" max="5639" width="19.28515625" style="221" customWidth="1"/>
    <col min="5640" max="5640" width="10.28515625" style="221" customWidth="1"/>
    <col min="5641" max="5641" width="19.42578125" style="221" customWidth="1"/>
    <col min="5642" max="5642" width="10.28515625" style="221" customWidth="1"/>
    <col min="5643" max="5643" width="19.5703125" style="221" customWidth="1"/>
    <col min="5644" max="5644" width="10.42578125" style="221" customWidth="1"/>
    <col min="5645" max="5645" width="21.140625" style="221" customWidth="1"/>
    <col min="5646" max="5646" width="11.7109375" style="221" customWidth="1"/>
    <col min="5647" max="5888" width="11.42578125" style="221"/>
    <col min="5889" max="5889" width="13.28515625" style="221" customWidth="1"/>
    <col min="5890" max="5890" width="32.140625" style="221" customWidth="1"/>
    <col min="5891" max="5891" width="20.7109375" style="221" customWidth="1"/>
    <col min="5892" max="5892" width="10.42578125" style="221" customWidth="1"/>
    <col min="5893" max="5893" width="18.5703125" style="221" customWidth="1"/>
    <col min="5894" max="5894" width="11.7109375" style="221" customWidth="1"/>
    <col min="5895" max="5895" width="19.28515625" style="221" customWidth="1"/>
    <col min="5896" max="5896" width="10.28515625" style="221" customWidth="1"/>
    <col min="5897" max="5897" width="19.42578125" style="221" customWidth="1"/>
    <col min="5898" max="5898" width="10.28515625" style="221" customWidth="1"/>
    <col min="5899" max="5899" width="19.5703125" style="221" customWidth="1"/>
    <col min="5900" max="5900" width="10.42578125" style="221" customWidth="1"/>
    <col min="5901" max="5901" width="21.140625" style="221" customWidth="1"/>
    <col min="5902" max="5902" width="11.7109375" style="221" customWidth="1"/>
    <col min="5903" max="6144" width="11.42578125" style="221"/>
    <col min="6145" max="6145" width="13.28515625" style="221" customWidth="1"/>
    <col min="6146" max="6146" width="32.140625" style="221" customWidth="1"/>
    <col min="6147" max="6147" width="20.7109375" style="221" customWidth="1"/>
    <col min="6148" max="6148" width="10.42578125" style="221" customWidth="1"/>
    <col min="6149" max="6149" width="18.5703125" style="221" customWidth="1"/>
    <col min="6150" max="6150" width="11.7109375" style="221" customWidth="1"/>
    <col min="6151" max="6151" width="19.28515625" style="221" customWidth="1"/>
    <col min="6152" max="6152" width="10.28515625" style="221" customWidth="1"/>
    <col min="6153" max="6153" width="19.42578125" style="221" customWidth="1"/>
    <col min="6154" max="6154" width="10.28515625" style="221" customWidth="1"/>
    <col min="6155" max="6155" width="19.5703125" style="221" customWidth="1"/>
    <col min="6156" max="6156" width="10.42578125" style="221" customWidth="1"/>
    <col min="6157" max="6157" width="21.140625" style="221" customWidth="1"/>
    <col min="6158" max="6158" width="11.7109375" style="221" customWidth="1"/>
    <col min="6159" max="6400" width="11.42578125" style="221"/>
    <col min="6401" max="6401" width="13.28515625" style="221" customWidth="1"/>
    <col min="6402" max="6402" width="32.140625" style="221" customWidth="1"/>
    <col min="6403" max="6403" width="20.7109375" style="221" customWidth="1"/>
    <col min="6404" max="6404" width="10.42578125" style="221" customWidth="1"/>
    <col min="6405" max="6405" width="18.5703125" style="221" customWidth="1"/>
    <col min="6406" max="6406" width="11.7109375" style="221" customWidth="1"/>
    <col min="6407" max="6407" width="19.28515625" style="221" customWidth="1"/>
    <col min="6408" max="6408" width="10.28515625" style="221" customWidth="1"/>
    <col min="6409" max="6409" width="19.42578125" style="221" customWidth="1"/>
    <col min="6410" max="6410" width="10.28515625" style="221" customWidth="1"/>
    <col min="6411" max="6411" width="19.5703125" style="221" customWidth="1"/>
    <col min="6412" max="6412" width="10.42578125" style="221" customWidth="1"/>
    <col min="6413" max="6413" width="21.140625" style="221" customWidth="1"/>
    <col min="6414" max="6414" width="11.7109375" style="221" customWidth="1"/>
    <col min="6415" max="6656" width="11.42578125" style="221"/>
    <col min="6657" max="6657" width="13.28515625" style="221" customWidth="1"/>
    <col min="6658" max="6658" width="32.140625" style="221" customWidth="1"/>
    <col min="6659" max="6659" width="20.7109375" style="221" customWidth="1"/>
    <col min="6660" max="6660" width="10.42578125" style="221" customWidth="1"/>
    <col min="6661" max="6661" width="18.5703125" style="221" customWidth="1"/>
    <col min="6662" max="6662" width="11.7109375" style="221" customWidth="1"/>
    <col min="6663" max="6663" width="19.28515625" style="221" customWidth="1"/>
    <col min="6664" max="6664" width="10.28515625" style="221" customWidth="1"/>
    <col min="6665" max="6665" width="19.42578125" style="221" customWidth="1"/>
    <col min="6666" max="6666" width="10.28515625" style="221" customWidth="1"/>
    <col min="6667" max="6667" width="19.5703125" style="221" customWidth="1"/>
    <col min="6668" max="6668" width="10.42578125" style="221" customWidth="1"/>
    <col min="6669" max="6669" width="21.140625" style="221" customWidth="1"/>
    <col min="6670" max="6670" width="11.7109375" style="221" customWidth="1"/>
    <col min="6671" max="6912" width="11.42578125" style="221"/>
    <col min="6913" max="6913" width="13.28515625" style="221" customWidth="1"/>
    <col min="6914" max="6914" width="32.140625" style="221" customWidth="1"/>
    <col min="6915" max="6915" width="20.7109375" style="221" customWidth="1"/>
    <col min="6916" max="6916" width="10.42578125" style="221" customWidth="1"/>
    <col min="6917" max="6917" width="18.5703125" style="221" customWidth="1"/>
    <col min="6918" max="6918" width="11.7109375" style="221" customWidth="1"/>
    <col min="6919" max="6919" width="19.28515625" style="221" customWidth="1"/>
    <col min="6920" max="6920" width="10.28515625" style="221" customWidth="1"/>
    <col min="6921" max="6921" width="19.42578125" style="221" customWidth="1"/>
    <col min="6922" max="6922" width="10.28515625" style="221" customWidth="1"/>
    <col min="6923" max="6923" width="19.5703125" style="221" customWidth="1"/>
    <col min="6924" max="6924" width="10.42578125" style="221" customWidth="1"/>
    <col min="6925" max="6925" width="21.140625" style="221" customWidth="1"/>
    <col min="6926" max="6926" width="11.7109375" style="221" customWidth="1"/>
    <col min="6927" max="7168" width="11.42578125" style="221"/>
    <col min="7169" max="7169" width="13.28515625" style="221" customWidth="1"/>
    <col min="7170" max="7170" width="32.140625" style="221" customWidth="1"/>
    <col min="7171" max="7171" width="20.7109375" style="221" customWidth="1"/>
    <col min="7172" max="7172" width="10.42578125" style="221" customWidth="1"/>
    <col min="7173" max="7173" width="18.5703125" style="221" customWidth="1"/>
    <col min="7174" max="7174" width="11.7109375" style="221" customWidth="1"/>
    <col min="7175" max="7175" width="19.28515625" style="221" customWidth="1"/>
    <col min="7176" max="7176" width="10.28515625" style="221" customWidth="1"/>
    <col min="7177" max="7177" width="19.42578125" style="221" customWidth="1"/>
    <col min="7178" max="7178" width="10.28515625" style="221" customWidth="1"/>
    <col min="7179" max="7179" width="19.5703125" style="221" customWidth="1"/>
    <col min="7180" max="7180" width="10.42578125" style="221" customWidth="1"/>
    <col min="7181" max="7181" width="21.140625" style="221" customWidth="1"/>
    <col min="7182" max="7182" width="11.7109375" style="221" customWidth="1"/>
    <col min="7183" max="7424" width="11.42578125" style="221"/>
    <col min="7425" max="7425" width="13.28515625" style="221" customWidth="1"/>
    <col min="7426" max="7426" width="32.140625" style="221" customWidth="1"/>
    <col min="7427" max="7427" width="20.7109375" style="221" customWidth="1"/>
    <col min="7428" max="7428" width="10.42578125" style="221" customWidth="1"/>
    <col min="7429" max="7429" width="18.5703125" style="221" customWidth="1"/>
    <col min="7430" max="7430" width="11.7109375" style="221" customWidth="1"/>
    <col min="7431" max="7431" width="19.28515625" style="221" customWidth="1"/>
    <col min="7432" max="7432" width="10.28515625" style="221" customWidth="1"/>
    <col min="7433" max="7433" width="19.42578125" style="221" customWidth="1"/>
    <col min="7434" max="7434" width="10.28515625" style="221" customWidth="1"/>
    <col min="7435" max="7435" width="19.5703125" style="221" customWidth="1"/>
    <col min="7436" max="7436" width="10.42578125" style="221" customWidth="1"/>
    <col min="7437" max="7437" width="21.140625" style="221" customWidth="1"/>
    <col min="7438" max="7438" width="11.7109375" style="221" customWidth="1"/>
    <col min="7439" max="7680" width="11.42578125" style="221"/>
    <col min="7681" max="7681" width="13.28515625" style="221" customWidth="1"/>
    <col min="7682" max="7682" width="32.140625" style="221" customWidth="1"/>
    <col min="7683" max="7683" width="20.7109375" style="221" customWidth="1"/>
    <col min="7684" max="7684" width="10.42578125" style="221" customWidth="1"/>
    <col min="7685" max="7685" width="18.5703125" style="221" customWidth="1"/>
    <col min="7686" max="7686" width="11.7109375" style="221" customWidth="1"/>
    <col min="7687" max="7687" width="19.28515625" style="221" customWidth="1"/>
    <col min="7688" max="7688" width="10.28515625" style="221" customWidth="1"/>
    <col min="7689" max="7689" width="19.42578125" style="221" customWidth="1"/>
    <col min="7690" max="7690" width="10.28515625" style="221" customWidth="1"/>
    <col min="7691" max="7691" width="19.5703125" style="221" customWidth="1"/>
    <col min="7692" max="7692" width="10.42578125" style="221" customWidth="1"/>
    <col min="7693" max="7693" width="21.140625" style="221" customWidth="1"/>
    <col min="7694" max="7694" width="11.7109375" style="221" customWidth="1"/>
    <col min="7695" max="7936" width="11.42578125" style="221"/>
    <col min="7937" max="7937" width="13.28515625" style="221" customWidth="1"/>
    <col min="7938" max="7938" width="32.140625" style="221" customWidth="1"/>
    <col min="7939" max="7939" width="20.7109375" style="221" customWidth="1"/>
    <col min="7940" max="7940" width="10.42578125" style="221" customWidth="1"/>
    <col min="7941" max="7941" width="18.5703125" style="221" customWidth="1"/>
    <col min="7942" max="7942" width="11.7109375" style="221" customWidth="1"/>
    <col min="7943" max="7943" width="19.28515625" style="221" customWidth="1"/>
    <col min="7944" max="7944" width="10.28515625" style="221" customWidth="1"/>
    <col min="7945" max="7945" width="19.42578125" style="221" customWidth="1"/>
    <col min="7946" max="7946" width="10.28515625" style="221" customWidth="1"/>
    <col min="7947" max="7947" width="19.5703125" style="221" customWidth="1"/>
    <col min="7948" max="7948" width="10.42578125" style="221" customWidth="1"/>
    <col min="7949" max="7949" width="21.140625" style="221" customWidth="1"/>
    <col min="7950" max="7950" width="11.7109375" style="221" customWidth="1"/>
    <col min="7951" max="8192" width="11.42578125" style="221"/>
    <col min="8193" max="8193" width="13.28515625" style="221" customWidth="1"/>
    <col min="8194" max="8194" width="32.140625" style="221" customWidth="1"/>
    <col min="8195" max="8195" width="20.7109375" style="221" customWidth="1"/>
    <col min="8196" max="8196" width="10.42578125" style="221" customWidth="1"/>
    <col min="8197" max="8197" width="18.5703125" style="221" customWidth="1"/>
    <col min="8198" max="8198" width="11.7109375" style="221" customWidth="1"/>
    <col min="8199" max="8199" width="19.28515625" style="221" customWidth="1"/>
    <col min="8200" max="8200" width="10.28515625" style="221" customWidth="1"/>
    <col min="8201" max="8201" width="19.42578125" style="221" customWidth="1"/>
    <col min="8202" max="8202" width="10.28515625" style="221" customWidth="1"/>
    <col min="8203" max="8203" width="19.5703125" style="221" customWidth="1"/>
    <col min="8204" max="8204" width="10.42578125" style="221" customWidth="1"/>
    <col min="8205" max="8205" width="21.140625" style="221" customWidth="1"/>
    <col min="8206" max="8206" width="11.7109375" style="221" customWidth="1"/>
    <col min="8207" max="8448" width="11.42578125" style="221"/>
    <col min="8449" max="8449" width="13.28515625" style="221" customWidth="1"/>
    <col min="8450" max="8450" width="32.140625" style="221" customWidth="1"/>
    <col min="8451" max="8451" width="20.7109375" style="221" customWidth="1"/>
    <col min="8452" max="8452" width="10.42578125" style="221" customWidth="1"/>
    <col min="8453" max="8453" width="18.5703125" style="221" customWidth="1"/>
    <col min="8454" max="8454" width="11.7109375" style="221" customWidth="1"/>
    <col min="8455" max="8455" width="19.28515625" style="221" customWidth="1"/>
    <col min="8456" max="8456" width="10.28515625" style="221" customWidth="1"/>
    <col min="8457" max="8457" width="19.42578125" style="221" customWidth="1"/>
    <col min="8458" max="8458" width="10.28515625" style="221" customWidth="1"/>
    <col min="8459" max="8459" width="19.5703125" style="221" customWidth="1"/>
    <col min="8460" max="8460" width="10.42578125" style="221" customWidth="1"/>
    <col min="8461" max="8461" width="21.140625" style="221" customWidth="1"/>
    <col min="8462" max="8462" width="11.7109375" style="221" customWidth="1"/>
    <col min="8463" max="8704" width="11.42578125" style="221"/>
    <col min="8705" max="8705" width="13.28515625" style="221" customWidth="1"/>
    <col min="8706" max="8706" width="32.140625" style="221" customWidth="1"/>
    <col min="8707" max="8707" width="20.7109375" style="221" customWidth="1"/>
    <col min="8708" max="8708" width="10.42578125" style="221" customWidth="1"/>
    <col min="8709" max="8709" width="18.5703125" style="221" customWidth="1"/>
    <col min="8710" max="8710" width="11.7109375" style="221" customWidth="1"/>
    <col min="8711" max="8711" width="19.28515625" style="221" customWidth="1"/>
    <col min="8712" max="8712" width="10.28515625" style="221" customWidth="1"/>
    <col min="8713" max="8713" width="19.42578125" style="221" customWidth="1"/>
    <col min="8714" max="8714" width="10.28515625" style="221" customWidth="1"/>
    <col min="8715" max="8715" width="19.5703125" style="221" customWidth="1"/>
    <col min="8716" max="8716" width="10.42578125" style="221" customWidth="1"/>
    <col min="8717" max="8717" width="21.140625" style="221" customWidth="1"/>
    <col min="8718" max="8718" width="11.7109375" style="221" customWidth="1"/>
    <col min="8719" max="8960" width="11.42578125" style="221"/>
    <col min="8961" max="8961" width="13.28515625" style="221" customWidth="1"/>
    <col min="8962" max="8962" width="32.140625" style="221" customWidth="1"/>
    <col min="8963" max="8963" width="20.7109375" style="221" customWidth="1"/>
    <col min="8964" max="8964" width="10.42578125" style="221" customWidth="1"/>
    <col min="8965" max="8965" width="18.5703125" style="221" customWidth="1"/>
    <col min="8966" max="8966" width="11.7109375" style="221" customWidth="1"/>
    <col min="8967" max="8967" width="19.28515625" style="221" customWidth="1"/>
    <col min="8968" max="8968" width="10.28515625" style="221" customWidth="1"/>
    <col min="8969" max="8969" width="19.42578125" style="221" customWidth="1"/>
    <col min="8970" max="8970" width="10.28515625" style="221" customWidth="1"/>
    <col min="8971" max="8971" width="19.5703125" style="221" customWidth="1"/>
    <col min="8972" max="8972" width="10.42578125" style="221" customWidth="1"/>
    <col min="8973" max="8973" width="21.140625" style="221" customWidth="1"/>
    <col min="8974" max="8974" width="11.7109375" style="221" customWidth="1"/>
    <col min="8975" max="9216" width="11.42578125" style="221"/>
    <col min="9217" max="9217" width="13.28515625" style="221" customWidth="1"/>
    <col min="9218" max="9218" width="32.140625" style="221" customWidth="1"/>
    <col min="9219" max="9219" width="20.7109375" style="221" customWidth="1"/>
    <col min="9220" max="9220" width="10.42578125" style="221" customWidth="1"/>
    <col min="9221" max="9221" width="18.5703125" style="221" customWidth="1"/>
    <col min="9222" max="9222" width="11.7109375" style="221" customWidth="1"/>
    <col min="9223" max="9223" width="19.28515625" style="221" customWidth="1"/>
    <col min="9224" max="9224" width="10.28515625" style="221" customWidth="1"/>
    <col min="9225" max="9225" width="19.42578125" style="221" customWidth="1"/>
    <col min="9226" max="9226" width="10.28515625" style="221" customWidth="1"/>
    <col min="9227" max="9227" width="19.5703125" style="221" customWidth="1"/>
    <col min="9228" max="9228" width="10.42578125" style="221" customWidth="1"/>
    <col min="9229" max="9229" width="21.140625" style="221" customWidth="1"/>
    <col min="9230" max="9230" width="11.7109375" style="221" customWidth="1"/>
    <col min="9231" max="9472" width="11.42578125" style="221"/>
    <col min="9473" max="9473" width="13.28515625" style="221" customWidth="1"/>
    <col min="9474" max="9474" width="32.140625" style="221" customWidth="1"/>
    <col min="9475" max="9475" width="20.7109375" style="221" customWidth="1"/>
    <col min="9476" max="9476" width="10.42578125" style="221" customWidth="1"/>
    <col min="9477" max="9477" width="18.5703125" style="221" customWidth="1"/>
    <col min="9478" max="9478" width="11.7109375" style="221" customWidth="1"/>
    <col min="9479" max="9479" width="19.28515625" style="221" customWidth="1"/>
    <col min="9480" max="9480" width="10.28515625" style="221" customWidth="1"/>
    <col min="9481" max="9481" width="19.42578125" style="221" customWidth="1"/>
    <col min="9482" max="9482" width="10.28515625" style="221" customWidth="1"/>
    <col min="9483" max="9483" width="19.5703125" style="221" customWidth="1"/>
    <col min="9484" max="9484" width="10.42578125" style="221" customWidth="1"/>
    <col min="9485" max="9485" width="21.140625" style="221" customWidth="1"/>
    <col min="9486" max="9486" width="11.7109375" style="221" customWidth="1"/>
    <col min="9487" max="9728" width="11.42578125" style="221"/>
    <col min="9729" max="9729" width="13.28515625" style="221" customWidth="1"/>
    <col min="9730" max="9730" width="32.140625" style="221" customWidth="1"/>
    <col min="9731" max="9731" width="20.7109375" style="221" customWidth="1"/>
    <col min="9732" max="9732" width="10.42578125" style="221" customWidth="1"/>
    <col min="9733" max="9733" width="18.5703125" style="221" customWidth="1"/>
    <col min="9734" max="9734" width="11.7109375" style="221" customWidth="1"/>
    <col min="9735" max="9735" width="19.28515625" style="221" customWidth="1"/>
    <col min="9736" max="9736" width="10.28515625" style="221" customWidth="1"/>
    <col min="9737" max="9737" width="19.42578125" style="221" customWidth="1"/>
    <col min="9738" max="9738" width="10.28515625" style="221" customWidth="1"/>
    <col min="9739" max="9739" width="19.5703125" style="221" customWidth="1"/>
    <col min="9740" max="9740" width="10.42578125" style="221" customWidth="1"/>
    <col min="9741" max="9741" width="21.140625" style="221" customWidth="1"/>
    <col min="9742" max="9742" width="11.7109375" style="221" customWidth="1"/>
    <col min="9743" max="9984" width="11.42578125" style="221"/>
    <col min="9985" max="9985" width="13.28515625" style="221" customWidth="1"/>
    <col min="9986" max="9986" width="32.140625" style="221" customWidth="1"/>
    <col min="9987" max="9987" width="20.7109375" style="221" customWidth="1"/>
    <col min="9988" max="9988" width="10.42578125" style="221" customWidth="1"/>
    <col min="9989" max="9989" width="18.5703125" style="221" customWidth="1"/>
    <col min="9990" max="9990" width="11.7109375" style="221" customWidth="1"/>
    <col min="9991" max="9991" width="19.28515625" style="221" customWidth="1"/>
    <col min="9992" max="9992" width="10.28515625" style="221" customWidth="1"/>
    <col min="9993" max="9993" width="19.42578125" style="221" customWidth="1"/>
    <col min="9994" max="9994" width="10.28515625" style="221" customWidth="1"/>
    <col min="9995" max="9995" width="19.5703125" style="221" customWidth="1"/>
    <col min="9996" max="9996" width="10.42578125" style="221" customWidth="1"/>
    <col min="9997" max="9997" width="21.140625" style="221" customWidth="1"/>
    <col min="9998" max="9998" width="11.7109375" style="221" customWidth="1"/>
    <col min="9999" max="10240" width="11.42578125" style="221"/>
    <col min="10241" max="10241" width="13.28515625" style="221" customWidth="1"/>
    <col min="10242" max="10242" width="32.140625" style="221" customWidth="1"/>
    <col min="10243" max="10243" width="20.7109375" style="221" customWidth="1"/>
    <col min="10244" max="10244" width="10.42578125" style="221" customWidth="1"/>
    <col min="10245" max="10245" width="18.5703125" style="221" customWidth="1"/>
    <col min="10246" max="10246" width="11.7109375" style="221" customWidth="1"/>
    <col min="10247" max="10247" width="19.28515625" style="221" customWidth="1"/>
    <col min="10248" max="10248" width="10.28515625" style="221" customWidth="1"/>
    <col min="10249" max="10249" width="19.42578125" style="221" customWidth="1"/>
    <col min="10250" max="10250" width="10.28515625" style="221" customWidth="1"/>
    <col min="10251" max="10251" width="19.5703125" style="221" customWidth="1"/>
    <col min="10252" max="10252" width="10.42578125" style="221" customWidth="1"/>
    <col min="10253" max="10253" width="21.140625" style="221" customWidth="1"/>
    <col min="10254" max="10254" width="11.7109375" style="221" customWidth="1"/>
    <col min="10255" max="10496" width="11.42578125" style="221"/>
    <col min="10497" max="10497" width="13.28515625" style="221" customWidth="1"/>
    <col min="10498" max="10498" width="32.140625" style="221" customWidth="1"/>
    <col min="10499" max="10499" width="20.7109375" style="221" customWidth="1"/>
    <col min="10500" max="10500" width="10.42578125" style="221" customWidth="1"/>
    <col min="10501" max="10501" width="18.5703125" style="221" customWidth="1"/>
    <col min="10502" max="10502" width="11.7109375" style="221" customWidth="1"/>
    <col min="10503" max="10503" width="19.28515625" style="221" customWidth="1"/>
    <col min="10504" max="10504" width="10.28515625" style="221" customWidth="1"/>
    <col min="10505" max="10505" width="19.42578125" style="221" customWidth="1"/>
    <col min="10506" max="10506" width="10.28515625" style="221" customWidth="1"/>
    <col min="10507" max="10507" width="19.5703125" style="221" customWidth="1"/>
    <col min="10508" max="10508" width="10.42578125" style="221" customWidth="1"/>
    <col min="10509" max="10509" width="21.140625" style="221" customWidth="1"/>
    <col min="10510" max="10510" width="11.7109375" style="221" customWidth="1"/>
    <col min="10511" max="10752" width="11.42578125" style="221"/>
    <col min="10753" max="10753" width="13.28515625" style="221" customWidth="1"/>
    <col min="10754" max="10754" width="32.140625" style="221" customWidth="1"/>
    <col min="10755" max="10755" width="20.7109375" style="221" customWidth="1"/>
    <col min="10756" max="10756" width="10.42578125" style="221" customWidth="1"/>
    <col min="10757" max="10757" width="18.5703125" style="221" customWidth="1"/>
    <col min="10758" max="10758" width="11.7109375" style="221" customWidth="1"/>
    <col min="10759" max="10759" width="19.28515625" style="221" customWidth="1"/>
    <col min="10760" max="10760" width="10.28515625" style="221" customWidth="1"/>
    <col min="10761" max="10761" width="19.42578125" style="221" customWidth="1"/>
    <col min="10762" max="10762" width="10.28515625" style="221" customWidth="1"/>
    <col min="10763" max="10763" width="19.5703125" style="221" customWidth="1"/>
    <col min="10764" max="10764" width="10.42578125" style="221" customWidth="1"/>
    <col min="10765" max="10765" width="21.140625" style="221" customWidth="1"/>
    <col min="10766" max="10766" width="11.7109375" style="221" customWidth="1"/>
    <col min="10767" max="11008" width="11.42578125" style="221"/>
    <col min="11009" max="11009" width="13.28515625" style="221" customWidth="1"/>
    <col min="11010" max="11010" width="32.140625" style="221" customWidth="1"/>
    <col min="11011" max="11011" width="20.7109375" style="221" customWidth="1"/>
    <col min="11012" max="11012" width="10.42578125" style="221" customWidth="1"/>
    <col min="11013" max="11013" width="18.5703125" style="221" customWidth="1"/>
    <col min="11014" max="11014" width="11.7109375" style="221" customWidth="1"/>
    <col min="11015" max="11015" width="19.28515625" style="221" customWidth="1"/>
    <col min="11016" max="11016" width="10.28515625" style="221" customWidth="1"/>
    <col min="11017" max="11017" width="19.42578125" style="221" customWidth="1"/>
    <col min="11018" max="11018" width="10.28515625" style="221" customWidth="1"/>
    <col min="11019" max="11019" width="19.5703125" style="221" customWidth="1"/>
    <col min="11020" max="11020" width="10.42578125" style="221" customWidth="1"/>
    <col min="11021" max="11021" width="21.140625" style="221" customWidth="1"/>
    <col min="11022" max="11022" width="11.7109375" style="221" customWidth="1"/>
    <col min="11023" max="11264" width="11.42578125" style="221"/>
    <col min="11265" max="11265" width="13.28515625" style="221" customWidth="1"/>
    <col min="11266" max="11266" width="32.140625" style="221" customWidth="1"/>
    <col min="11267" max="11267" width="20.7109375" style="221" customWidth="1"/>
    <col min="11268" max="11268" width="10.42578125" style="221" customWidth="1"/>
    <col min="11269" max="11269" width="18.5703125" style="221" customWidth="1"/>
    <col min="11270" max="11270" width="11.7109375" style="221" customWidth="1"/>
    <col min="11271" max="11271" width="19.28515625" style="221" customWidth="1"/>
    <col min="11272" max="11272" width="10.28515625" style="221" customWidth="1"/>
    <col min="11273" max="11273" width="19.42578125" style="221" customWidth="1"/>
    <col min="11274" max="11274" width="10.28515625" style="221" customWidth="1"/>
    <col min="11275" max="11275" width="19.5703125" style="221" customWidth="1"/>
    <col min="11276" max="11276" width="10.42578125" style="221" customWidth="1"/>
    <col min="11277" max="11277" width="21.140625" style="221" customWidth="1"/>
    <col min="11278" max="11278" width="11.7109375" style="221" customWidth="1"/>
    <col min="11279" max="11520" width="11.42578125" style="221"/>
    <col min="11521" max="11521" width="13.28515625" style="221" customWidth="1"/>
    <col min="11522" max="11522" width="32.140625" style="221" customWidth="1"/>
    <col min="11523" max="11523" width="20.7109375" style="221" customWidth="1"/>
    <col min="11524" max="11524" width="10.42578125" style="221" customWidth="1"/>
    <col min="11525" max="11525" width="18.5703125" style="221" customWidth="1"/>
    <col min="11526" max="11526" width="11.7109375" style="221" customWidth="1"/>
    <col min="11527" max="11527" width="19.28515625" style="221" customWidth="1"/>
    <col min="11528" max="11528" width="10.28515625" style="221" customWidth="1"/>
    <col min="11529" max="11529" width="19.42578125" style="221" customWidth="1"/>
    <col min="11530" max="11530" width="10.28515625" style="221" customWidth="1"/>
    <col min="11531" max="11531" width="19.5703125" style="221" customWidth="1"/>
    <col min="11532" max="11532" width="10.42578125" style="221" customWidth="1"/>
    <col min="11533" max="11533" width="21.140625" style="221" customWidth="1"/>
    <col min="11534" max="11534" width="11.7109375" style="221" customWidth="1"/>
    <col min="11535" max="11776" width="11.42578125" style="221"/>
    <col min="11777" max="11777" width="13.28515625" style="221" customWidth="1"/>
    <col min="11778" max="11778" width="32.140625" style="221" customWidth="1"/>
    <col min="11779" max="11779" width="20.7109375" style="221" customWidth="1"/>
    <col min="11780" max="11780" width="10.42578125" style="221" customWidth="1"/>
    <col min="11781" max="11781" width="18.5703125" style="221" customWidth="1"/>
    <col min="11782" max="11782" width="11.7109375" style="221" customWidth="1"/>
    <col min="11783" max="11783" width="19.28515625" style="221" customWidth="1"/>
    <col min="11784" max="11784" width="10.28515625" style="221" customWidth="1"/>
    <col min="11785" max="11785" width="19.42578125" style="221" customWidth="1"/>
    <col min="11786" max="11786" width="10.28515625" style="221" customWidth="1"/>
    <col min="11787" max="11787" width="19.5703125" style="221" customWidth="1"/>
    <col min="11788" max="11788" width="10.42578125" style="221" customWidth="1"/>
    <col min="11789" max="11789" width="21.140625" style="221" customWidth="1"/>
    <col min="11790" max="11790" width="11.7109375" style="221" customWidth="1"/>
    <col min="11791" max="12032" width="11.42578125" style="221"/>
    <col min="12033" max="12033" width="13.28515625" style="221" customWidth="1"/>
    <col min="12034" max="12034" width="32.140625" style="221" customWidth="1"/>
    <col min="12035" max="12035" width="20.7109375" style="221" customWidth="1"/>
    <col min="12036" max="12036" width="10.42578125" style="221" customWidth="1"/>
    <col min="12037" max="12037" width="18.5703125" style="221" customWidth="1"/>
    <col min="12038" max="12038" width="11.7109375" style="221" customWidth="1"/>
    <col min="12039" max="12039" width="19.28515625" style="221" customWidth="1"/>
    <col min="12040" max="12040" width="10.28515625" style="221" customWidth="1"/>
    <col min="12041" max="12041" width="19.42578125" style="221" customWidth="1"/>
    <col min="12042" max="12042" width="10.28515625" style="221" customWidth="1"/>
    <col min="12043" max="12043" width="19.5703125" style="221" customWidth="1"/>
    <col min="12044" max="12044" width="10.42578125" style="221" customWidth="1"/>
    <col min="12045" max="12045" width="21.140625" style="221" customWidth="1"/>
    <col min="12046" max="12046" width="11.7109375" style="221" customWidth="1"/>
    <col min="12047" max="12288" width="11.42578125" style="221"/>
    <col min="12289" max="12289" width="13.28515625" style="221" customWidth="1"/>
    <col min="12290" max="12290" width="32.140625" style="221" customWidth="1"/>
    <col min="12291" max="12291" width="20.7109375" style="221" customWidth="1"/>
    <col min="12292" max="12292" width="10.42578125" style="221" customWidth="1"/>
    <col min="12293" max="12293" width="18.5703125" style="221" customWidth="1"/>
    <col min="12294" max="12294" width="11.7109375" style="221" customWidth="1"/>
    <col min="12295" max="12295" width="19.28515625" style="221" customWidth="1"/>
    <col min="12296" max="12296" width="10.28515625" style="221" customWidth="1"/>
    <col min="12297" max="12297" width="19.42578125" style="221" customWidth="1"/>
    <col min="12298" max="12298" width="10.28515625" style="221" customWidth="1"/>
    <col min="12299" max="12299" width="19.5703125" style="221" customWidth="1"/>
    <col min="12300" max="12300" width="10.42578125" style="221" customWidth="1"/>
    <col min="12301" max="12301" width="21.140625" style="221" customWidth="1"/>
    <col min="12302" max="12302" width="11.7109375" style="221" customWidth="1"/>
    <col min="12303" max="12544" width="11.42578125" style="221"/>
    <col min="12545" max="12545" width="13.28515625" style="221" customWidth="1"/>
    <col min="12546" max="12546" width="32.140625" style="221" customWidth="1"/>
    <col min="12547" max="12547" width="20.7109375" style="221" customWidth="1"/>
    <col min="12548" max="12548" width="10.42578125" style="221" customWidth="1"/>
    <col min="12549" max="12549" width="18.5703125" style="221" customWidth="1"/>
    <col min="12550" max="12550" width="11.7109375" style="221" customWidth="1"/>
    <col min="12551" max="12551" width="19.28515625" style="221" customWidth="1"/>
    <col min="12552" max="12552" width="10.28515625" style="221" customWidth="1"/>
    <col min="12553" max="12553" width="19.42578125" style="221" customWidth="1"/>
    <col min="12554" max="12554" width="10.28515625" style="221" customWidth="1"/>
    <col min="12555" max="12555" width="19.5703125" style="221" customWidth="1"/>
    <col min="12556" max="12556" width="10.42578125" style="221" customWidth="1"/>
    <col min="12557" max="12557" width="21.140625" style="221" customWidth="1"/>
    <col min="12558" max="12558" width="11.7109375" style="221" customWidth="1"/>
    <col min="12559" max="12800" width="11.42578125" style="221"/>
    <col min="12801" max="12801" width="13.28515625" style="221" customWidth="1"/>
    <col min="12802" max="12802" width="32.140625" style="221" customWidth="1"/>
    <col min="12803" max="12803" width="20.7109375" style="221" customWidth="1"/>
    <col min="12804" max="12804" width="10.42578125" style="221" customWidth="1"/>
    <col min="12805" max="12805" width="18.5703125" style="221" customWidth="1"/>
    <col min="12806" max="12806" width="11.7109375" style="221" customWidth="1"/>
    <col min="12807" max="12807" width="19.28515625" style="221" customWidth="1"/>
    <col min="12808" max="12808" width="10.28515625" style="221" customWidth="1"/>
    <col min="12809" max="12809" width="19.42578125" style="221" customWidth="1"/>
    <col min="12810" max="12810" width="10.28515625" style="221" customWidth="1"/>
    <col min="12811" max="12811" width="19.5703125" style="221" customWidth="1"/>
    <col min="12812" max="12812" width="10.42578125" style="221" customWidth="1"/>
    <col min="12813" max="12813" width="21.140625" style="221" customWidth="1"/>
    <col min="12814" max="12814" width="11.7109375" style="221" customWidth="1"/>
    <col min="12815" max="13056" width="11.42578125" style="221"/>
    <col min="13057" max="13057" width="13.28515625" style="221" customWidth="1"/>
    <col min="13058" max="13058" width="32.140625" style="221" customWidth="1"/>
    <col min="13059" max="13059" width="20.7109375" style="221" customWidth="1"/>
    <col min="13060" max="13060" width="10.42578125" style="221" customWidth="1"/>
    <col min="13061" max="13061" width="18.5703125" style="221" customWidth="1"/>
    <col min="13062" max="13062" width="11.7109375" style="221" customWidth="1"/>
    <col min="13063" max="13063" width="19.28515625" style="221" customWidth="1"/>
    <col min="13064" max="13064" width="10.28515625" style="221" customWidth="1"/>
    <col min="13065" max="13065" width="19.42578125" style="221" customWidth="1"/>
    <col min="13066" max="13066" width="10.28515625" style="221" customWidth="1"/>
    <col min="13067" max="13067" width="19.5703125" style="221" customWidth="1"/>
    <col min="13068" max="13068" width="10.42578125" style="221" customWidth="1"/>
    <col min="13069" max="13069" width="21.140625" style="221" customWidth="1"/>
    <col min="13070" max="13070" width="11.7109375" style="221" customWidth="1"/>
    <col min="13071" max="13312" width="11.42578125" style="221"/>
    <col min="13313" max="13313" width="13.28515625" style="221" customWidth="1"/>
    <col min="13314" max="13314" width="32.140625" style="221" customWidth="1"/>
    <col min="13315" max="13315" width="20.7109375" style="221" customWidth="1"/>
    <col min="13316" max="13316" width="10.42578125" style="221" customWidth="1"/>
    <col min="13317" max="13317" width="18.5703125" style="221" customWidth="1"/>
    <col min="13318" max="13318" width="11.7109375" style="221" customWidth="1"/>
    <col min="13319" max="13319" width="19.28515625" style="221" customWidth="1"/>
    <col min="13320" max="13320" width="10.28515625" style="221" customWidth="1"/>
    <col min="13321" max="13321" width="19.42578125" style="221" customWidth="1"/>
    <col min="13322" max="13322" width="10.28515625" style="221" customWidth="1"/>
    <col min="13323" max="13323" width="19.5703125" style="221" customWidth="1"/>
    <col min="13324" max="13324" width="10.42578125" style="221" customWidth="1"/>
    <col min="13325" max="13325" width="21.140625" style="221" customWidth="1"/>
    <col min="13326" max="13326" width="11.7109375" style="221" customWidth="1"/>
    <col min="13327" max="13568" width="11.42578125" style="221"/>
    <col min="13569" max="13569" width="13.28515625" style="221" customWidth="1"/>
    <col min="13570" max="13570" width="32.140625" style="221" customWidth="1"/>
    <col min="13571" max="13571" width="20.7109375" style="221" customWidth="1"/>
    <col min="13572" max="13572" width="10.42578125" style="221" customWidth="1"/>
    <col min="13573" max="13573" width="18.5703125" style="221" customWidth="1"/>
    <col min="13574" max="13574" width="11.7109375" style="221" customWidth="1"/>
    <col min="13575" max="13575" width="19.28515625" style="221" customWidth="1"/>
    <col min="13576" max="13576" width="10.28515625" style="221" customWidth="1"/>
    <col min="13577" max="13577" width="19.42578125" style="221" customWidth="1"/>
    <col min="13578" max="13578" width="10.28515625" style="221" customWidth="1"/>
    <col min="13579" max="13579" width="19.5703125" style="221" customWidth="1"/>
    <col min="13580" max="13580" width="10.42578125" style="221" customWidth="1"/>
    <col min="13581" max="13581" width="21.140625" style="221" customWidth="1"/>
    <col min="13582" max="13582" width="11.7109375" style="221" customWidth="1"/>
    <col min="13583" max="13824" width="11.42578125" style="221"/>
    <col min="13825" max="13825" width="13.28515625" style="221" customWidth="1"/>
    <col min="13826" max="13826" width="32.140625" style="221" customWidth="1"/>
    <col min="13827" max="13827" width="20.7109375" style="221" customWidth="1"/>
    <col min="13828" max="13828" width="10.42578125" style="221" customWidth="1"/>
    <col min="13829" max="13829" width="18.5703125" style="221" customWidth="1"/>
    <col min="13830" max="13830" width="11.7109375" style="221" customWidth="1"/>
    <col min="13831" max="13831" width="19.28515625" style="221" customWidth="1"/>
    <col min="13832" max="13832" width="10.28515625" style="221" customWidth="1"/>
    <col min="13833" max="13833" width="19.42578125" style="221" customWidth="1"/>
    <col min="13834" max="13834" width="10.28515625" style="221" customWidth="1"/>
    <col min="13835" max="13835" width="19.5703125" style="221" customWidth="1"/>
    <col min="13836" max="13836" width="10.42578125" style="221" customWidth="1"/>
    <col min="13837" max="13837" width="21.140625" style="221" customWidth="1"/>
    <col min="13838" max="13838" width="11.7109375" style="221" customWidth="1"/>
    <col min="13839" max="14080" width="11.42578125" style="221"/>
    <col min="14081" max="14081" width="13.28515625" style="221" customWidth="1"/>
    <col min="14082" max="14082" width="32.140625" style="221" customWidth="1"/>
    <col min="14083" max="14083" width="20.7109375" style="221" customWidth="1"/>
    <col min="14084" max="14084" width="10.42578125" style="221" customWidth="1"/>
    <col min="14085" max="14085" width="18.5703125" style="221" customWidth="1"/>
    <col min="14086" max="14086" width="11.7109375" style="221" customWidth="1"/>
    <col min="14087" max="14087" width="19.28515625" style="221" customWidth="1"/>
    <col min="14088" max="14088" width="10.28515625" style="221" customWidth="1"/>
    <col min="14089" max="14089" width="19.42578125" style="221" customWidth="1"/>
    <col min="14090" max="14090" width="10.28515625" style="221" customWidth="1"/>
    <col min="14091" max="14091" width="19.5703125" style="221" customWidth="1"/>
    <col min="14092" max="14092" width="10.42578125" style="221" customWidth="1"/>
    <col min="14093" max="14093" width="21.140625" style="221" customWidth="1"/>
    <col min="14094" max="14094" width="11.7109375" style="221" customWidth="1"/>
    <col min="14095" max="14336" width="11.42578125" style="221"/>
    <col min="14337" max="14337" width="13.28515625" style="221" customWidth="1"/>
    <col min="14338" max="14338" width="32.140625" style="221" customWidth="1"/>
    <col min="14339" max="14339" width="20.7109375" style="221" customWidth="1"/>
    <col min="14340" max="14340" width="10.42578125" style="221" customWidth="1"/>
    <col min="14341" max="14341" width="18.5703125" style="221" customWidth="1"/>
    <col min="14342" max="14342" width="11.7109375" style="221" customWidth="1"/>
    <col min="14343" max="14343" width="19.28515625" style="221" customWidth="1"/>
    <col min="14344" max="14344" width="10.28515625" style="221" customWidth="1"/>
    <col min="14345" max="14345" width="19.42578125" style="221" customWidth="1"/>
    <col min="14346" max="14346" width="10.28515625" style="221" customWidth="1"/>
    <col min="14347" max="14347" width="19.5703125" style="221" customWidth="1"/>
    <col min="14348" max="14348" width="10.42578125" style="221" customWidth="1"/>
    <col min="14349" max="14349" width="21.140625" style="221" customWidth="1"/>
    <col min="14350" max="14350" width="11.7109375" style="221" customWidth="1"/>
    <col min="14351" max="14592" width="11.42578125" style="221"/>
    <col min="14593" max="14593" width="13.28515625" style="221" customWidth="1"/>
    <col min="14594" max="14594" width="32.140625" style="221" customWidth="1"/>
    <col min="14595" max="14595" width="20.7109375" style="221" customWidth="1"/>
    <col min="14596" max="14596" width="10.42578125" style="221" customWidth="1"/>
    <col min="14597" max="14597" width="18.5703125" style="221" customWidth="1"/>
    <col min="14598" max="14598" width="11.7109375" style="221" customWidth="1"/>
    <col min="14599" max="14599" width="19.28515625" style="221" customWidth="1"/>
    <col min="14600" max="14600" width="10.28515625" style="221" customWidth="1"/>
    <col min="14601" max="14601" width="19.42578125" style="221" customWidth="1"/>
    <col min="14602" max="14602" width="10.28515625" style="221" customWidth="1"/>
    <col min="14603" max="14603" width="19.5703125" style="221" customWidth="1"/>
    <col min="14604" max="14604" width="10.42578125" style="221" customWidth="1"/>
    <col min="14605" max="14605" width="21.140625" style="221" customWidth="1"/>
    <col min="14606" max="14606" width="11.7109375" style="221" customWidth="1"/>
    <col min="14607" max="14848" width="11.42578125" style="221"/>
    <col min="14849" max="14849" width="13.28515625" style="221" customWidth="1"/>
    <col min="14850" max="14850" width="32.140625" style="221" customWidth="1"/>
    <col min="14851" max="14851" width="20.7109375" style="221" customWidth="1"/>
    <col min="14852" max="14852" width="10.42578125" style="221" customWidth="1"/>
    <col min="14853" max="14853" width="18.5703125" style="221" customWidth="1"/>
    <col min="14854" max="14854" width="11.7109375" style="221" customWidth="1"/>
    <col min="14855" max="14855" width="19.28515625" style="221" customWidth="1"/>
    <col min="14856" max="14856" width="10.28515625" style="221" customWidth="1"/>
    <col min="14857" max="14857" width="19.42578125" style="221" customWidth="1"/>
    <col min="14858" max="14858" width="10.28515625" style="221" customWidth="1"/>
    <col min="14859" max="14859" width="19.5703125" style="221" customWidth="1"/>
    <col min="14860" max="14860" width="10.42578125" style="221" customWidth="1"/>
    <col min="14861" max="14861" width="21.140625" style="221" customWidth="1"/>
    <col min="14862" max="14862" width="11.7109375" style="221" customWidth="1"/>
    <col min="14863" max="15104" width="11.42578125" style="221"/>
    <col min="15105" max="15105" width="13.28515625" style="221" customWidth="1"/>
    <col min="15106" max="15106" width="32.140625" style="221" customWidth="1"/>
    <col min="15107" max="15107" width="20.7109375" style="221" customWidth="1"/>
    <col min="15108" max="15108" width="10.42578125" style="221" customWidth="1"/>
    <col min="15109" max="15109" width="18.5703125" style="221" customWidth="1"/>
    <col min="15110" max="15110" width="11.7109375" style="221" customWidth="1"/>
    <col min="15111" max="15111" width="19.28515625" style="221" customWidth="1"/>
    <col min="15112" max="15112" width="10.28515625" style="221" customWidth="1"/>
    <col min="15113" max="15113" width="19.42578125" style="221" customWidth="1"/>
    <col min="15114" max="15114" width="10.28515625" style="221" customWidth="1"/>
    <col min="15115" max="15115" width="19.5703125" style="221" customWidth="1"/>
    <col min="15116" max="15116" width="10.42578125" style="221" customWidth="1"/>
    <col min="15117" max="15117" width="21.140625" style="221" customWidth="1"/>
    <col min="15118" max="15118" width="11.7109375" style="221" customWidth="1"/>
    <col min="15119" max="15360" width="11.42578125" style="221"/>
    <col min="15361" max="15361" width="13.28515625" style="221" customWidth="1"/>
    <col min="15362" max="15362" width="32.140625" style="221" customWidth="1"/>
    <col min="15363" max="15363" width="20.7109375" style="221" customWidth="1"/>
    <col min="15364" max="15364" width="10.42578125" style="221" customWidth="1"/>
    <col min="15365" max="15365" width="18.5703125" style="221" customWidth="1"/>
    <col min="15366" max="15366" width="11.7109375" style="221" customWidth="1"/>
    <col min="15367" max="15367" width="19.28515625" style="221" customWidth="1"/>
    <col min="15368" max="15368" width="10.28515625" style="221" customWidth="1"/>
    <col min="15369" max="15369" width="19.42578125" style="221" customWidth="1"/>
    <col min="15370" max="15370" width="10.28515625" style="221" customWidth="1"/>
    <col min="15371" max="15371" width="19.5703125" style="221" customWidth="1"/>
    <col min="15372" max="15372" width="10.42578125" style="221" customWidth="1"/>
    <col min="15373" max="15373" width="21.140625" style="221" customWidth="1"/>
    <col min="15374" max="15374" width="11.7109375" style="221" customWidth="1"/>
    <col min="15375" max="15616" width="11.42578125" style="221"/>
    <col min="15617" max="15617" width="13.28515625" style="221" customWidth="1"/>
    <col min="15618" max="15618" width="32.140625" style="221" customWidth="1"/>
    <col min="15619" max="15619" width="20.7109375" style="221" customWidth="1"/>
    <col min="15620" max="15620" width="10.42578125" style="221" customWidth="1"/>
    <col min="15621" max="15621" width="18.5703125" style="221" customWidth="1"/>
    <col min="15622" max="15622" width="11.7109375" style="221" customWidth="1"/>
    <col min="15623" max="15623" width="19.28515625" style="221" customWidth="1"/>
    <col min="15624" max="15624" width="10.28515625" style="221" customWidth="1"/>
    <col min="15625" max="15625" width="19.42578125" style="221" customWidth="1"/>
    <col min="15626" max="15626" width="10.28515625" style="221" customWidth="1"/>
    <col min="15627" max="15627" width="19.5703125" style="221" customWidth="1"/>
    <col min="15628" max="15628" width="10.42578125" style="221" customWidth="1"/>
    <col min="15629" max="15629" width="21.140625" style="221" customWidth="1"/>
    <col min="15630" max="15630" width="11.7109375" style="221" customWidth="1"/>
    <col min="15631" max="15872" width="11.42578125" style="221"/>
    <col min="15873" max="15873" width="13.28515625" style="221" customWidth="1"/>
    <col min="15874" max="15874" width="32.140625" style="221" customWidth="1"/>
    <col min="15875" max="15875" width="20.7109375" style="221" customWidth="1"/>
    <col min="15876" max="15876" width="10.42578125" style="221" customWidth="1"/>
    <col min="15877" max="15877" width="18.5703125" style="221" customWidth="1"/>
    <col min="15878" max="15878" width="11.7109375" style="221" customWidth="1"/>
    <col min="15879" max="15879" width="19.28515625" style="221" customWidth="1"/>
    <col min="15880" max="15880" width="10.28515625" style="221" customWidth="1"/>
    <col min="15881" max="15881" width="19.42578125" style="221" customWidth="1"/>
    <col min="15882" max="15882" width="10.28515625" style="221" customWidth="1"/>
    <col min="15883" max="15883" width="19.5703125" style="221" customWidth="1"/>
    <col min="15884" max="15884" width="10.42578125" style="221" customWidth="1"/>
    <col min="15885" max="15885" width="21.140625" style="221" customWidth="1"/>
    <col min="15886" max="15886" width="11.7109375" style="221" customWidth="1"/>
    <col min="15887" max="16128" width="11.42578125" style="221"/>
    <col min="16129" max="16129" width="13.28515625" style="221" customWidth="1"/>
    <col min="16130" max="16130" width="32.140625" style="221" customWidth="1"/>
    <col min="16131" max="16131" width="20.7109375" style="221" customWidth="1"/>
    <col min="16132" max="16132" width="10.42578125" style="221" customWidth="1"/>
    <col min="16133" max="16133" width="18.5703125" style="221" customWidth="1"/>
    <col min="16134" max="16134" width="11.7109375" style="221" customWidth="1"/>
    <col min="16135" max="16135" width="19.28515625" style="221" customWidth="1"/>
    <col min="16136" max="16136" width="10.28515625" style="221" customWidth="1"/>
    <col min="16137" max="16137" width="19.42578125" style="221" customWidth="1"/>
    <col min="16138" max="16138" width="10.28515625" style="221" customWidth="1"/>
    <col min="16139" max="16139" width="19.5703125" style="221" customWidth="1"/>
    <col min="16140" max="16140" width="10.42578125" style="221" customWidth="1"/>
    <col min="16141" max="16141" width="21.140625" style="221" customWidth="1"/>
    <col min="16142" max="16142" width="11.7109375" style="221" customWidth="1"/>
    <col min="16143" max="16384" width="11.42578125" style="221"/>
  </cols>
  <sheetData>
    <row r="1" spans="1:14" ht="67.5" customHeight="1" x14ac:dyDescent="0.2">
      <c r="A1" s="624" t="s">
        <v>1494</v>
      </c>
      <c r="B1" s="625"/>
      <c r="C1" s="625"/>
      <c r="D1" s="625"/>
      <c r="E1" s="625"/>
      <c r="F1" s="625"/>
      <c r="G1" s="625"/>
      <c r="H1" s="625"/>
      <c r="I1" s="625"/>
      <c r="J1" s="625"/>
      <c r="K1" s="625"/>
      <c r="L1" s="625"/>
      <c r="M1" s="625"/>
      <c r="N1" s="626"/>
    </row>
    <row r="2" spans="1:14" s="222" customFormat="1" ht="44.25" customHeight="1" x14ac:dyDescent="0.2">
      <c r="A2" s="390"/>
      <c r="B2" s="391" t="s">
        <v>4</v>
      </c>
      <c r="C2" s="392" t="s">
        <v>1422</v>
      </c>
      <c r="D2" s="392" t="s">
        <v>1423</v>
      </c>
      <c r="E2" s="392" t="s">
        <v>1424</v>
      </c>
      <c r="F2" s="392" t="s">
        <v>1425</v>
      </c>
      <c r="G2" s="392" t="s">
        <v>1426</v>
      </c>
      <c r="H2" s="393" t="s">
        <v>1427</v>
      </c>
      <c r="I2" s="392" t="s">
        <v>1428</v>
      </c>
      <c r="J2" s="392" t="s">
        <v>1429</v>
      </c>
      <c r="K2" s="392" t="s">
        <v>1430</v>
      </c>
      <c r="L2" s="392" t="s">
        <v>1431</v>
      </c>
      <c r="M2" s="394" t="s">
        <v>1432</v>
      </c>
      <c r="N2" s="392" t="s">
        <v>1433</v>
      </c>
    </row>
    <row r="3" spans="1:14" s="236" customFormat="1" ht="15.75" x14ac:dyDescent="0.25">
      <c r="A3" s="223">
        <v>304</v>
      </c>
      <c r="B3" s="224" t="s">
        <v>1434</v>
      </c>
      <c r="C3" s="225">
        <f>'RESUMEN PROGRAMAS'!E6</f>
        <v>374828802</v>
      </c>
      <c r="D3" s="226">
        <f>C3/C3</f>
        <v>1</v>
      </c>
      <c r="E3" s="229">
        <v>261148331</v>
      </c>
      <c r="F3" s="228">
        <f>E3/C3</f>
        <v>0.69671361860820935</v>
      </c>
      <c r="G3" s="229">
        <f>'RESUMEN PROGRAMAS'!G6</f>
        <v>252026664</v>
      </c>
      <c r="H3" s="230">
        <f>G3/C3</f>
        <v>0.67237806341253359</v>
      </c>
      <c r="I3" s="231">
        <f>'RESUMEN PROGRAMAS'!I6</f>
        <v>157965000</v>
      </c>
      <c r="J3" s="232">
        <f>I3/G3</f>
        <v>0.62677891891629367</v>
      </c>
      <c r="K3" s="233">
        <f t="shared" ref="K3:K8" si="0">I3</f>
        <v>157965000</v>
      </c>
      <c r="L3" s="232">
        <f>K3/G3</f>
        <v>0.62677891891629367</v>
      </c>
      <c r="M3" s="234">
        <f t="shared" ref="M3:M15" si="1">C3-E3</f>
        <v>113680471</v>
      </c>
      <c r="N3" s="235">
        <f>M3/C3</f>
        <v>0.3032863813917907</v>
      </c>
    </row>
    <row r="4" spans="1:14" s="236" customFormat="1" ht="15.75" x14ac:dyDescent="0.25">
      <c r="A4" s="223">
        <v>305</v>
      </c>
      <c r="B4" s="224" t="s">
        <v>1279</v>
      </c>
      <c r="C4" s="225">
        <f>'RESUMEN PROGRAMAS'!E12</f>
        <v>1234282859</v>
      </c>
      <c r="D4" s="226">
        <f t="shared" ref="D4:D22" si="2">C4/C4</f>
        <v>1</v>
      </c>
      <c r="E4" s="227">
        <v>1028789591</v>
      </c>
      <c r="F4" s="228">
        <f t="shared" ref="F4:F15" si="3">E4/C4</f>
        <v>0.83351201347275616</v>
      </c>
      <c r="G4" s="229">
        <f>'RESUMEN PROGRAMAS'!G12</f>
        <v>989023739</v>
      </c>
      <c r="H4" s="230">
        <f t="shared" ref="H4:H16" si="4">G4/C4</f>
        <v>0.80129423477637385</v>
      </c>
      <c r="I4" s="231">
        <f>'RESUMEN PROGRAMAS'!I12</f>
        <v>614796643</v>
      </c>
      <c r="J4" s="232">
        <f t="shared" ref="J4:J15" si="5">I4/G4</f>
        <v>0.62161970310401216</v>
      </c>
      <c r="K4" s="233">
        <f t="shared" si="0"/>
        <v>614796643</v>
      </c>
      <c r="L4" s="232">
        <f t="shared" ref="L4:L20" si="6">K4/G4</f>
        <v>0.62161970310401216</v>
      </c>
      <c r="M4" s="234">
        <f t="shared" si="1"/>
        <v>205493268</v>
      </c>
      <c r="N4" s="235">
        <f t="shared" ref="N4:N15" si="7">M4/C4</f>
        <v>0.16648798652724384</v>
      </c>
    </row>
    <row r="5" spans="1:14" s="236" customFormat="1" ht="15.75" x14ac:dyDescent="0.25">
      <c r="A5" s="223">
        <v>307</v>
      </c>
      <c r="B5" s="224" t="s">
        <v>1435</v>
      </c>
      <c r="C5" s="225">
        <f>'RESUMEN PROGRAMAS'!E18</f>
        <v>3838356174.1599998</v>
      </c>
      <c r="D5" s="226">
        <f t="shared" si="2"/>
        <v>1</v>
      </c>
      <c r="E5" s="227">
        <v>3474011843</v>
      </c>
      <c r="F5" s="228">
        <f t="shared" si="3"/>
        <v>0.90507802959694472</v>
      </c>
      <c r="G5" s="229">
        <f>'RESUMEN PROGRAMAS'!G18</f>
        <v>3353173510</v>
      </c>
      <c r="H5" s="230">
        <f t="shared" si="4"/>
        <v>0.8735962369969017</v>
      </c>
      <c r="I5" s="231">
        <f>'RESUMEN PROGRAMAS'!I18</f>
        <v>1911945730.5</v>
      </c>
      <c r="J5" s="232">
        <f t="shared" si="5"/>
        <v>0.57018991853481504</v>
      </c>
      <c r="K5" s="233">
        <f t="shared" si="0"/>
        <v>1911945730.5</v>
      </c>
      <c r="L5" s="232">
        <f t="shared" si="6"/>
        <v>0.57018991853481504</v>
      </c>
      <c r="M5" s="234">
        <f t="shared" si="1"/>
        <v>364344331.15999985</v>
      </c>
      <c r="N5" s="235">
        <f t="shared" si="7"/>
        <v>9.4921970403055236E-2</v>
      </c>
    </row>
    <row r="6" spans="1:14" s="236" customFormat="1" ht="15.75" x14ac:dyDescent="0.25">
      <c r="A6" s="223">
        <v>308</v>
      </c>
      <c r="B6" s="224" t="s">
        <v>1280</v>
      </c>
      <c r="C6" s="234">
        <f>'RESUMEN PROGRAMAS'!E23</f>
        <v>35755534437.400002</v>
      </c>
      <c r="D6" s="226">
        <f t="shared" si="2"/>
        <v>1</v>
      </c>
      <c r="E6" s="227">
        <v>21801322951.189999</v>
      </c>
      <c r="F6" s="228">
        <f t="shared" si="3"/>
        <v>0.60973282302238474</v>
      </c>
      <c r="G6" s="237">
        <f>'RESUMEN PROGRAMAS'!G23</f>
        <v>17188762698.550003</v>
      </c>
      <c r="H6" s="230">
        <f t="shared" si="4"/>
        <v>0.48073012944733656</v>
      </c>
      <c r="I6" s="231">
        <f>'RESUMEN PROGRAMAS'!I23</f>
        <v>8027601401.6000004</v>
      </c>
      <c r="J6" s="232">
        <f t="shared" si="5"/>
        <v>0.46702613459648185</v>
      </c>
      <c r="K6" s="233">
        <f t="shared" si="0"/>
        <v>8027601401.6000004</v>
      </c>
      <c r="L6" s="232">
        <f t="shared" si="6"/>
        <v>0.46702613459648185</v>
      </c>
      <c r="M6" s="234">
        <f t="shared" si="1"/>
        <v>13954211486.210003</v>
      </c>
      <c r="N6" s="235">
        <f t="shared" si="7"/>
        <v>0.39026717697761526</v>
      </c>
    </row>
    <row r="7" spans="1:14" s="236" customFormat="1" ht="15.75" x14ac:dyDescent="0.25">
      <c r="A7" s="223">
        <v>309</v>
      </c>
      <c r="B7" s="224" t="s">
        <v>1281</v>
      </c>
      <c r="C7" s="234">
        <f>'RESUMEN PROGRAMAS'!E53</f>
        <v>6500727034.2399998</v>
      </c>
      <c r="D7" s="226">
        <f t="shared" si="2"/>
        <v>1</v>
      </c>
      <c r="E7" s="227">
        <v>3928971500.75</v>
      </c>
      <c r="F7" s="228">
        <f t="shared" si="3"/>
        <v>0.60438955213096968</v>
      </c>
      <c r="G7" s="237">
        <f>'RESUMEN PROGRAMAS'!G53</f>
        <v>3295154559.8699999</v>
      </c>
      <c r="H7" s="230">
        <f t="shared" si="4"/>
        <v>0.50689015897976963</v>
      </c>
      <c r="I7" s="231">
        <f>'RESUMEN PROGRAMAS'!I53</f>
        <v>1272076857.8400002</v>
      </c>
      <c r="J7" s="232">
        <f t="shared" si="5"/>
        <v>0.38604467096383666</v>
      </c>
      <c r="K7" s="233">
        <f t="shared" si="0"/>
        <v>1272076857.8400002</v>
      </c>
      <c r="L7" s="232">
        <f t="shared" si="6"/>
        <v>0.38604467096383666</v>
      </c>
      <c r="M7" s="234">
        <f t="shared" si="1"/>
        <v>2571755533.4899998</v>
      </c>
      <c r="N7" s="235">
        <f t="shared" si="7"/>
        <v>0.39561044786903038</v>
      </c>
    </row>
    <row r="8" spans="1:14" s="236" customFormat="1" ht="15.75" x14ac:dyDescent="0.25">
      <c r="A8" s="223">
        <v>310</v>
      </c>
      <c r="B8" s="224" t="s">
        <v>132</v>
      </c>
      <c r="C8" s="225">
        <f>'RESUMEN PROGRAMAS'!E75</f>
        <v>3469324679.8800001</v>
      </c>
      <c r="D8" s="226">
        <f t="shared" si="2"/>
        <v>1</v>
      </c>
      <c r="E8" s="227">
        <v>3246530814.9899998</v>
      </c>
      <c r="F8" s="228">
        <f t="shared" si="3"/>
        <v>0.93578177730609335</v>
      </c>
      <c r="G8" s="237">
        <f>'RESUMEN PROGRAMAS'!G75</f>
        <v>2770998627.04</v>
      </c>
      <c r="H8" s="230">
        <f t="shared" si="4"/>
        <v>0.79871412529075991</v>
      </c>
      <c r="I8" s="231">
        <f>'RESUMEN PROGRAMAS'!I75</f>
        <v>1724548323.0700002</v>
      </c>
      <c r="J8" s="232">
        <f t="shared" si="5"/>
        <v>0.6223562531722272</v>
      </c>
      <c r="K8" s="233">
        <f t="shared" si="0"/>
        <v>1724548323.0700002</v>
      </c>
      <c r="L8" s="232">
        <f t="shared" si="6"/>
        <v>0.6223562531722272</v>
      </c>
      <c r="M8" s="234">
        <f t="shared" si="1"/>
        <v>222793864.89000034</v>
      </c>
      <c r="N8" s="235">
        <f t="shared" si="7"/>
        <v>6.4218222693906674E-2</v>
      </c>
    </row>
    <row r="9" spans="1:14" s="236" customFormat="1" ht="19.5" customHeight="1" x14ac:dyDescent="0.25">
      <c r="A9" s="223">
        <v>311</v>
      </c>
      <c r="B9" s="238" t="s">
        <v>1282</v>
      </c>
      <c r="C9" s="225">
        <f>'RESUMEN PROGRAMAS'!E81</f>
        <v>2822271735.1100001</v>
      </c>
      <c r="D9" s="226">
        <f t="shared" si="2"/>
        <v>1</v>
      </c>
      <c r="E9" s="227">
        <v>2251625906</v>
      </c>
      <c r="F9" s="228">
        <f t="shared" si="3"/>
        <v>0.79780620625187293</v>
      </c>
      <c r="G9" s="237">
        <f>'RESUMEN PROGRAMAS'!G81</f>
        <v>1931766138</v>
      </c>
      <c r="H9" s="230">
        <f t="shared" si="4"/>
        <v>0.68447205631129915</v>
      </c>
      <c r="I9" s="231">
        <f>'RESUMEN PROGRAMAS'!I81</f>
        <v>1095148341.8</v>
      </c>
      <c r="J9" s="232">
        <f t="shared" si="5"/>
        <v>0.56691559100100553</v>
      </c>
      <c r="K9" s="233">
        <f t="shared" ref="K9:K15" si="8">I9</f>
        <v>1095148341.8</v>
      </c>
      <c r="L9" s="232">
        <f t="shared" si="6"/>
        <v>0.56691559100100553</v>
      </c>
      <c r="M9" s="234">
        <f t="shared" si="1"/>
        <v>570645829.11000013</v>
      </c>
      <c r="N9" s="235">
        <f t="shared" si="7"/>
        <v>0.2021937937481271</v>
      </c>
    </row>
    <row r="10" spans="1:14" s="236" customFormat="1" ht="30" x14ac:dyDescent="0.25">
      <c r="A10" s="223">
        <v>312</v>
      </c>
      <c r="B10" s="238" t="s">
        <v>1436</v>
      </c>
      <c r="C10" s="225">
        <f>'RESUMEN PROGRAMAS'!E88</f>
        <v>4664234480.8400002</v>
      </c>
      <c r="D10" s="226">
        <f t="shared" si="2"/>
        <v>1</v>
      </c>
      <c r="E10" s="227">
        <v>2964795616</v>
      </c>
      <c r="F10" s="228">
        <f t="shared" si="3"/>
        <v>0.63564463325738685</v>
      </c>
      <c r="G10" s="237">
        <f>'RESUMEN PROGRAMAS'!G88</f>
        <v>2692714330</v>
      </c>
      <c r="H10" s="230">
        <f t="shared" si="4"/>
        <v>0.57731109811508841</v>
      </c>
      <c r="I10" s="231">
        <f>'RESUMEN PROGRAMAS'!I88</f>
        <v>1562382499</v>
      </c>
      <c r="J10" s="232">
        <f t="shared" si="5"/>
        <v>0.58022586413761912</v>
      </c>
      <c r="K10" s="233">
        <f t="shared" si="8"/>
        <v>1562382499</v>
      </c>
      <c r="L10" s="232">
        <f t="shared" si="6"/>
        <v>0.58022586413761912</v>
      </c>
      <c r="M10" s="234">
        <f t="shared" si="1"/>
        <v>1699438864.8400002</v>
      </c>
      <c r="N10" s="235">
        <f t="shared" si="7"/>
        <v>0.36435536674261315</v>
      </c>
    </row>
    <row r="11" spans="1:14" s="241" customFormat="1" ht="15.75" x14ac:dyDescent="0.25">
      <c r="A11" s="239">
        <v>313</v>
      </c>
      <c r="B11" s="224" t="s">
        <v>1511</v>
      </c>
      <c r="C11" s="240">
        <f>'RESUMEN PROGRAMAS'!E108</f>
        <v>2272052800</v>
      </c>
      <c r="D11" s="226">
        <f t="shared" si="2"/>
        <v>1</v>
      </c>
      <c r="E11" s="227">
        <v>2149064953</v>
      </c>
      <c r="F11" s="228">
        <f t="shared" si="3"/>
        <v>0.94586928305539375</v>
      </c>
      <c r="G11" s="237">
        <f>'RESUMEN PROGRAMAS'!G108</f>
        <v>1635737537</v>
      </c>
      <c r="H11" s="230">
        <f t="shared" si="4"/>
        <v>0.71993817089109902</v>
      </c>
      <c r="I11" s="231">
        <f>'RESUMEN PROGRAMAS'!I110</f>
        <v>985433386</v>
      </c>
      <c r="J11" s="232">
        <f t="shared" si="5"/>
        <v>0.60243979471628395</v>
      </c>
      <c r="K11" s="233">
        <f t="shared" si="8"/>
        <v>985433386</v>
      </c>
      <c r="L11" s="232">
        <f t="shared" si="6"/>
        <v>0.60243979471628395</v>
      </c>
      <c r="M11" s="234">
        <f t="shared" si="1"/>
        <v>122987847</v>
      </c>
      <c r="N11" s="235">
        <f t="shared" si="7"/>
        <v>5.4130716944606215E-2</v>
      </c>
    </row>
    <row r="12" spans="1:14" s="241" customFormat="1" ht="15.75" x14ac:dyDescent="0.25">
      <c r="A12" s="239">
        <v>314</v>
      </c>
      <c r="B12" s="224" t="s">
        <v>124</v>
      </c>
      <c r="C12" s="242">
        <f>'RESUMEN PROGRAMAS'!E114</f>
        <v>209016995039.20996</v>
      </c>
      <c r="D12" s="226">
        <f t="shared" si="2"/>
        <v>1</v>
      </c>
      <c r="E12" s="227">
        <v>145977467547.91</v>
      </c>
      <c r="F12" s="228">
        <f t="shared" si="3"/>
        <v>0.6983999914481871</v>
      </c>
      <c r="G12" s="237">
        <f>'RESUMEN PROGRAMAS'!G114</f>
        <v>143507674122.94</v>
      </c>
      <c r="H12" s="230">
        <f t="shared" si="4"/>
        <v>0.68658375887577505</v>
      </c>
      <c r="I12" s="231">
        <f>'RESUMEN PROGRAMAS'!I114</f>
        <v>131392622465.19</v>
      </c>
      <c r="J12" s="232">
        <f t="shared" si="5"/>
        <v>0.91557906758790275</v>
      </c>
      <c r="K12" s="233">
        <f t="shared" si="8"/>
        <v>131392622465.19</v>
      </c>
      <c r="L12" s="243">
        <f t="shared" si="6"/>
        <v>0.91557906758790275</v>
      </c>
      <c r="M12" s="234">
        <f t="shared" si="1"/>
        <v>63039527491.299957</v>
      </c>
      <c r="N12" s="235">
        <f t="shared" si="7"/>
        <v>0.3016000085518129</v>
      </c>
    </row>
    <row r="13" spans="1:14" s="236" customFormat="1" ht="15.75" x14ac:dyDescent="0.25">
      <c r="A13" s="223">
        <v>316</v>
      </c>
      <c r="B13" s="224" t="s">
        <v>1283</v>
      </c>
      <c r="C13" s="240">
        <f>'RESUMEN PROGRAMAS'!E123</f>
        <v>8435877609.1799994</v>
      </c>
      <c r="D13" s="226">
        <f t="shared" si="2"/>
        <v>1</v>
      </c>
      <c r="E13" s="227">
        <v>5081990160.6800003</v>
      </c>
      <c r="F13" s="228">
        <f t="shared" si="3"/>
        <v>0.60242578142074177</v>
      </c>
      <c r="G13" s="237">
        <f>'RESUMEN PROGRAMAS'!G123</f>
        <v>4557572989.25</v>
      </c>
      <c r="H13" s="230">
        <f t="shared" si="4"/>
        <v>0.54026068186318954</v>
      </c>
      <c r="I13" s="231">
        <f>'RESUMEN PROGRAMAS'!I123</f>
        <v>3932919407.8499999</v>
      </c>
      <c r="J13" s="232">
        <f t="shared" si="5"/>
        <v>0.862941617638735</v>
      </c>
      <c r="K13" s="233">
        <f t="shared" si="8"/>
        <v>3932919407.8499999</v>
      </c>
      <c r="L13" s="232">
        <f t="shared" si="6"/>
        <v>0.862941617638735</v>
      </c>
      <c r="M13" s="234">
        <f t="shared" si="1"/>
        <v>3353887448.499999</v>
      </c>
      <c r="N13" s="235">
        <f t="shared" si="7"/>
        <v>0.39757421857925818</v>
      </c>
    </row>
    <row r="14" spans="1:14" s="236" customFormat="1" ht="15.75" x14ac:dyDescent="0.25">
      <c r="A14" s="223">
        <v>318</v>
      </c>
      <c r="B14" s="224" t="s">
        <v>1284</v>
      </c>
      <c r="C14" s="225">
        <f>'RESUMEN PROGRAMAS'!E142</f>
        <v>68331963024.720001</v>
      </c>
      <c r="D14" s="226">
        <f t="shared" si="2"/>
        <v>1</v>
      </c>
      <c r="E14" s="227">
        <v>55845128231.639999</v>
      </c>
      <c r="F14" s="228">
        <f t="shared" si="3"/>
        <v>0.81726216780040806</v>
      </c>
      <c r="G14" s="237">
        <f>'RESUMEN PROGRAMAS'!G142</f>
        <v>54128632817.660004</v>
      </c>
      <c r="H14" s="230">
        <f t="shared" si="4"/>
        <v>0.79214221897998516</v>
      </c>
      <c r="I14" s="231">
        <f>'RESUMEN PROGRAMAS'!I142</f>
        <v>42344072000.309998</v>
      </c>
      <c r="J14" s="232">
        <f t="shared" si="5"/>
        <v>0.78228600642754131</v>
      </c>
      <c r="K14" s="233">
        <f t="shared" si="8"/>
        <v>42344072000.309998</v>
      </c>
      <c r="L14" s="232">
        <f t="shared" si="6"/>
        <v>0.78228600642754131</v>
      </c>
      <c r="M14" s="234">
        <f t="shared" si="1"/>
        <v>12486834793.080002</v>
      </c>
      <c r="N14" s="235">
        <f t="shared" si="7"/>
        <v>0.18273783219959189</v>
      </c>
    </row>
    <row r="15" spans="1:14" s="236" customFormat="1" ht="30" x14ac:dyDescent="0.25">
      <c r="A15" s="223">
        <v>324</v>
      </c>
      <c r="B15" s="238" t="s">
        <v>1437</v>
      </c>
      <c r="C15" s="225">
        <f>'RESUMEN PROGRAMAS'!E149</f>
        <v>1631066000</v>
      </c>
      <c r="D15" s="226">
        <f t="shared" si="2"/>
        <v>1</v>
      </c>
      <c r="E15" s="227">
        <v>1444330638.75</v>
      </c>
      <c r="F15" s="228">
        <f t="shared" si="3"/>
        <v>0.88551330157700547</v>
      </c>
      <c r="G15" s="237">
        <f>'RESUMEN PROGRAMAS'!G149</f>
        <v>1404330638</v>
      </c>
      <c r="H15" s="230">
        <f t="shared" si="4"/>
        <v>0.86098946210637706</v>
      </c>
      <c r="I15" s="231">
        <f>'RESUMEN PROGRAMAS'!I149</f>
        <v>957387066</v>
      </c>
      <c r="J15" s="232">
        <f t="shared" si="5"/>
        <v>0.6817390720489287</v>
      </c>
      <c r="K15" s="233">
        <f t="shared" si="8"/>
        <v>957387066</v>
      </c>
      <c r="L15" s="232">
        <f t="shared" si="6"/>
        <v>0.6817390720489287</v>
      </c>
      <c r="M15" s="234">
        <f t="shared" si="1"/>
        <v>186735361.25</v>
      </c>
      <c r="N15" s="235">
        <f t="shared" si="7"/>
        <v>0.11448669842299453</v>
      </c>
    </row>
    <row r="16" spans="1:14" s="249" customFormat="1" ht="16.5" customHeight="1" x14ac:dyDescent="0.25">
      <c r="A16" s="244"/>
      <c r="B16" s="244" t="s">
        <v>1438</v>
      </c>
      <c r="C16" s="245">
        <f>SUM(C3:C15)</f>
        <v>348347514675.73999</v>
      </c>
      <c r="D16" s="246">
        <f t="shared" si="2"/>
        <v>1</v>
      </c>
      <c r="E16" s="245">
        <f>SUM(E3:E15)</f>
        <v>249455178085.90997</v>
      </c>
      <c r="F16" s="247">
        <f>E16/C16</f>
        <v>0.71611011296611615</v>
      </c>
      <c r="G16" s="245">
        <f>SUM(G3:G15)</f>
        <v>237707568371.31</v>
      </c>
      <c r="H16" s="230">
        <f t="shared" si="4"/>
        <v>0.68238629057704225</v>
      </c>
      <c r="I16" s="245">
        <f>SUM(I3:I15)</f>
        <v>195978899122.16</v>
      </c>
      <c r="J16" s="248">
        <f>I16/G16</f>
        <v>0.82445376251559677</v>
      </c>
      <c r="K16" s="245">
        <f>SUM(K3:K15)</f>
        <v>195978899122.16</v>
      </c>
      <c r="L16" s="248">
        <f t="shared" si="6"/>
        <v>0.82445376251559677</v>
      </c>
      <c r="M16" s="245">
        <f>SUM(M3:M15)</f>
        <v>98892336589.829956</v>
      </c>
      <c r="N16" s="247">
        <f>M16/C16</f>
        <v>0.28388988703388368</v>
      </c>
    </row>
    <row r="17" spans="1:17" ht="15.75" x14ac:dyDescent="0.2">
      <c r="A17" s="223">
        <v>319</v>
      </c>
      <c r="B17" s="224" t="s">
        <v>1439</v>
      </c>
      <c r="C17" s="240">
        <f>'RESUMEN PROGRAMAS'!E164</f>
        <v>6744858478.1300011</v>
      </c>
      <c r="D17" s="226">
        <f t="shared" si="2"/>
        <v>1</v>
      </c>
      <c r="E17" s="227">
        <v>5334673289.6300001</v>
      </c>
      <c r="F17" s="228">
        <f>E17/C17</f>
        <v>0.79092442145784325</v>
      </c>
      <c r="G17" s="237">
        <f>'RESUMEN PROGRAMAS'!G164</f>
        <v>4539711210.1300001</v>
      </c>
      <c r="H17" s="230">
        <f>G17/C17</f>
        <v>0.67306248527672985</v>
      </c>
      <c r="I17" s="231">
        <f>'RESUMEN PROGRAMAS'!I164</f>
        <v>3000763754.1300001</v>
      </c>
      <c r="J17" s="232">
        <f>I17/G17</f>
        <v>0.661003225807412</v>
      </c>
      <c r="K17" s="233">
        <f>I17</f>
        <v>3000763754.1300001</v>
      </c>
      <c r="L17" s="232">
        <f t="shared" si="6"/>
        <v>0.661003225807412</v>
      </c>
      <c r="M17" s="234">
        <f>C17-E17</f>
        <v>1410185188.500001</v>
      </c>
      <c r="N17" s="235">
        <f>M17/C17</f>
        <v>0.20907557854215675</v>
      </c>
    </row>
    <row r="18" spans="1:17" s="250" customFormat="1" ht="15.75" x14ac:dyDescent="0.2">
      <c r="A18" s="223">
        <v>320</v>
      </c>
      <c r="B18" s="224" t="s">
        <v>1510</v>
      </c>
      <c r="C18" s="225">
        <f>'RESUMEN PROGRAMAS'!E170</f>
        <v>3175054512</v>
      </c>
      <c r="D18" s="226">
        <f t="shared" si="2"/>
        <v>1</v>
      </c>
      <c r="E18" s="227">
        <v>1138298212.3299999</v>
      </c>
      <c r="F18" s="228">
        <f>E18/C18</f>
        <v>0.35851296663658666</v>
      </c>
      <c r="G18" s="237">
        <f>'RESUMEN PROGRAMAS'!G170</f>
        <v>1108224927.79</v>
      </c>
      <c r="H18" s="230">
        <f>G18/C18</f>
        <v>0.34904122861560494</v>
      </c>
      <c r="I18" s="231">
        <f>'RESUMEN PROGRAMAS'!I170</f>
        <v>759933973.39999998</v>
      </c>
      <c r="J18" s="232">
        <f>I18/G18</f>
        <v>0.68572178295560016</v>
      </c>
      <c r="K18" s="233">
        <v>752488973.4000001</v>
      </c>
      <c r="L18" s="232">
        <f t="shared" si="6"/>
        <v>0.67900383264307052</v>
      </c>
      <c r="M18" s="234">
        <f>C18-E18</f>
        <v>2036756299.6700001</v>
      </c>
      <c r="N18" s="235">
        <f>M18/C18</f>
        <v>0.64148703336341339</v>
      </c>
    </row>
    <row r="19" spans="1:17" s="250" customFormat="1" ht="30" x14ac:dyDescent="0.2">
      <c r="A19" s="223">
        <v>321</v>
      </c>
      <c r="B19" s="238" t="s">
        <v>1440</v>
      </c>
      <c r="C19" s="225">
        <f>'RESUMEN PROGRAMAS'!E185</f>
        <v>113516300</v>
      </c>
      <c r="D19" s="226">
        <f t="shared" si="2"/>
        <v>1</v>
      </c>
      <c r="E19" s="227">
        <v>78300000</v>
      </c>
      <c r="F19" s="228">
        <f>E19/C19</f>
        <v>0.68976878210442027</v>
      </c>
      <c r="G19" s="237">
        <f>'RESUMEN PROGRAMAS'!G185</f>
        <v>79300000</v>
      </c>
      <c r="H19" s="230">
        <f>G19/C19</f>
        <v>0.69857808966641799</v>
      </c>
      <c r="I19" s="231">
        <f>'RESUMEN PROGRAMAS'!I185</f>
        <v>3750000</v>
      </c>
      <c r="J19" s="232">
        <f>I19/G19</f>
        <v>4.728877679697352E-2</v>
      </c>
      <c r="K19" s="233">
        <f>I19</f>
        <v>3750000</v>
      </c>
      <c r="L19" s="232">
        <f t="shared" si="6"/>
        <v>4.728877679697352E-2</v>
      </c>
      <c r="M19" s="234">
        <f>C19-E19</f>
        <v>35216300</v>
      </c>
      <c r="N19" s="235">
        <f>M19/C19</f>
        <v>0.31023121789557978</v>
      </c>
    </row>
    <row r="20" spans="1:17" s="250" customFormat="1" ht="15.75" x14ac:dyDescent="0.2">
      <c r="A20" s="251"/>
      <c r="B20" s="252" t="s">
        <v>1441</v>
      </c>
      <c r="C20" s="245">
        <f>SUM(C17:C19)</f>
        <v>10033429290.130001</v>
      </c>
      <c r="D20" s="246">
        <f t="shared" si="2"/>
        <v>1</v>
      </c>
      <c r="E20" s="245">
        <f>SUM(E17:E19)</f>
        <v>6551271501.96</v>
      </c>
      <c r="F20" s="247">
        <f>E20/C20</f>
        <v>0.65294440340597815</v>
      </c>
      <c r="G20" s="245">
        <f>SUM(G17:G19)</f>
        <v>5727236137.9200001</v>
      </c>
      <c r="H20" s="253">
        <f>G20/C20</f>
        <v>0.57081541836886696</v>
      </c>
      <c r="I20" s="245">
        <f>SUM(I17:I19)</f>
        <v>3764447727.5300002</v>
      </c>
      <c r="J20" s="248">
        <f>I20/G20</f>
        <v>0.65728872302044816</v>
      </c>
      <c r="K20" s="245">
        <f>SUM(K17:K19)</f>
        <v>3757002727.5300002</v>
      </c>
      <c r="L20" s="248">
        <f t="shared" si="6"/>
        <v>0.65598879408077926</v>
      </c>
      <c r="M20" s="245">
        <f>SUM(M17:M19)</f>
        <v>3482157788.170001</v>
      </c>
      <c r="N20" s="247">
        <f>M20/C20</f>
        <v>0.34705559659402191</v>
      </c>
    </row>
    <row r="21" spans="1:17" s="250" customFormat="1" x14ac:dyDescent="0.2">
      <c r="A21" s="221"/>
      <c r="B21" s="254"/>
      <c r="C21" s="255"/>
      <c r="D21" s="256"/>
      <c r="E21" s="256"/>
      <c r="F21" s="257"/>
      <c r="H21" s="258"/>
      <c r="J21" s="258"/>
      <c r="L21" s="258"/>
      <c r="N21" s="259"/>
    </row>
    <row r="22" spans="1:17" s="250" customFormat="1" ht="15.75" x14ac:dyDescent="0.2">
      <c r="A22" s="395"/>
      <c r="B22" s="396" t="s">
        <v>1442</v>
      </c>
      <c r="C22" s="397">
        <f>C16+C20</f>
        <v>358380943965.87</v>
      </c>
      <c r="D22" s="398">
        <f t="shared" si="2"/>
        <v>1</v>
      </c>
      <c r="E22" s="397">
        <f>E16+E20</f>
        <v>256006449587.86996</v>
      </c>
      <c r="F22" s="399">
        <f>E22/C22</f>
        <v>0.71434169114820578</v>
      </c>
      <c r="G22" s="397">
        <f>G16+G20</f>
        <v>243434804509.23001</v>
      </c>
      <c r="H22" s="460">
        <f>G22/C22</f>
        <v>0.67926269130094497</v>
      </c>
      <c r="I22" s="397">
        <f>I16+I20</f>
        <v>199743346849.69</v>
      </c>
      <c r="J22" s="400">
        <f>I22/G22</f>
        <v>0.82052090806151179</v>
      </c>
      <c r="K22" s="397">
        <f>K16+K20</f>
        <v>199735901849.69</v>
      </c>
      <c r="L22" s="400">
        <f>K22/G22</f>
        <v>0.82049032492441676</v>
      </c>
      <c r="M22" s="397">
        <f>M16+M20</f>
        <v>102374494377.99995</v>
      </c>
      <c r="N22" s="399">
        <f>M22/C22</f>
        <v>0.28565830885179394</v>
      </c>
    </row>
    <row r="23" spans="1:17" s="250" customFormat="1" ht="15" x14ac:dyDescent="0.25">
      <c r="A23" s="221"/>
      <c r="B23" s="260" t="s">
        <v>1443</v>
      </c>
      <c r="C23" s="261" t="s">
        <v>1277</v>
      </c>
      <c r="D23" s="262" t="s">
        <v>1444</v>
      </c>
      <c r="E23" s="262"/>
      <c r="F23" s="262"/>
      <c r="K23" s="263"/>
      <c r="M23" s="260"/>
      <c r="N23" s="261"/>
      <c r="O23" s="262"/>
      <c r="P23" s="264"/>
      <c r="Q23" s="264"/>
    </row>
    <row r="24" spans="1:17" s="250" customFormat="1" ht="16.5" thickBot="1" x14ac:dyDescent="0.3">
      <c r="A24" s="221"/>
      <c r="B24" s="265" t="s">
        <v>1445</v>
      </c>
      <c r="C24" s="266">
        <f>C16</f>
        <v>348347514675.73999</v>
      </c>
      <c r="D24" s="267">
        <f>C24/C24</f>
        <v>1</v>
      </c>
      <c r="E24" s="267"/>
      <c r="F24" s="268"/>
      <c r="M24" s="269"/>
      <c r="N24" s="270"/>
      <c r="O24" s="268"/>
      <c r="P24" s="264"/>
      <c r="Q24" s="264"/>
    </row>
    <row r="25" spans="1:17" s="250" customFormat="1" ht="15.75" x14ac:dyDescent="0.25">
      <c r="A25" s="221"/>
      <c r="B25" s="265" t="s">
        <v>1446</v>
      </c>
      <c r="C25" s="266">
        <f>E16</f>
        <v>249455178085.90997</v>
      </c>
      <c r="D25" s="271">
        <f>C25/C24</f>
        <v>0.71611011296611615</v>
      </c>
      <c r="E25" s="627" t="s">
        <v>1447</v>
      </c>
      <c r="F25" s="628"/>
      <c r="G25" s="264"/>
      <c r="M25" s="269"/>
      <c r="N25" s="270"/>
      <c r="O25" s="272"/>
      <c r="P25" s="264"/>
      <c r="Q25" s="264"/>
    </row>
    <row r="26" spans="1:17" s="250" customFormat="1" ht="15.75" x14ac:dyDescent="0.25">
      <c r="A26" s="221"/>
      <c r="B26" s="265" t="s">
        <v>1448</v>
      </c>
      <c r="C26" s="266">
        <f>G16</f>
        <v>237707568371.31</v>
      </c>
      <c r="D26" s="273">
        <f>C26/C24</f>
        <v>0.68238629057704225</v>
      </c>
      <c r="E26" s="629" t="s">
        <v>1449</v>
      </c>
      <c r="F26" s="630"/>
      <c r="G26" s="264"/>
      <c r="M26" s="269"/>
      <c r="N26" s="270"/>
      <c r="O26" s="274"/>
      <c r="P26" s="264"/>
      <c r="Q26" s="264"/>
    </row>
    <row r="27" spans="1:17" s="250" customFormat="1" ht="15.75" x14ac:dyDescent="0.25">
      <c r="A27" s="221"/>
      <c r="B27" s="265" t="s">
        <v>1450</v>
      </c>
      <c r="C27" s="266">
        <f>I16</f>
        <v>195978899122.16</v>
      </c>
      <c r="D27" s="273">
        <f>C27/C26</f>
        <v>0.82445376251559677</v>
      </c>
      <c r="E27" s="631" t="s">
        <v>1451</v>
      </c>
      <c r="F27" s="632"/>
      <c r="G27" s="264"/>
      <c r="M27" s="269"/>
      <c r="N27" s="270"/>
      <c r="O27" s="274"/>
      <c r="P27" s="264"/>
      <c r="Q27" s="264"/>
    </row>
    <row r="28" spans="1:17" s="250" customFormat="1" ht="15.75" x14ac:dyDescent="0.25">
      <c r="A28" s="221"/>
      <c r="B28" s="265" t="s">
        <v>1452</v>
      </c>
      <c r="C28" s="266">
        <f>K16</f>
        <v>195978899122.16</v>
      </c>
      <c r="D28" s="273">
        <f>C28/C26</f>
        <v>0.82445376251559677</v>
      </c>
      <c r="E28" s="633" t="s">
        <v>1453</v>
      </c>
      <c r="F28" s="634"/>
      <c r="G28" s="264"/>
      <c r="M28" s="269"/>
      <c r="N28" s="270"/>
      <c r="O28" s="274"/>
      <c r="P28" s="264"/>
      <c r="Q28" s="264"/>
    </row>
    <row r="29" spans="1:17" ht="15.75" x14ac:dyDescent="0.25">
      <c r="B29" s="275" t="s">
        <v>1454</v>
      </c>
      <c r="C29" s="266">
        <f>M16</f>
        <v>98892336589.829956</v>
      </c>
      <c r="D29" s="273">
        <f>C29/C24</f>
        <v>0.28388988703388368</v>
      </c>
      <c r="E29" s="635" t="s">
        <v>1455</v>
      </c>
      <c r="F29" s="636"/>
      <c r="G29" s="264"/>
      <c r="M29" s="276"/>
      <c r="N29" s="270"/>
      <c r="O29" s="274"/>
      <c r="P29" s="277"/>
      <c r="Q29" s="277"/>
    </row>
    <row r="30" spans="1:17" ht="15" x14ac:dyDescent="0.2">
      <c r="B30" s="278"/>
      <c r="C30" s="279"/>
      <c r="D30" s="279"/>
      <c r="E30" s="622" t="s">
        <v>1456</v>
      </c>
      <c r="F30" s="623"/>
      <c r="G30" s="264"/>
      <c r="M30" s="264"/>
      <c r="N30" s="277"/>
      <c r="O30" s="277"/>
      <c r="P30" s="277"/>
      <c r="Q30" s="277"/>
    </row>
    <row r="31" spans="1:17" x14ac:dyDescent="0.2">
      <c r="B31" s="280"/>
      <c r="C31" s="281"/>
      <c r="D31" s="282"/>
      <c r="E31" s="283"/>
      <c r="F31" s="283"/>
      <c r="G31" s="264"/>
      <c r="M31" s="264"/>
      <c r="N31" s="277"/>
      <c r="O31" s="277"/>
      <c r="P31" s="277"/>
      <c r="Q31" s="277"/>
    </row>
    <row r="32" spans="1:17" x14ac:dyDescent="0.2">
      <c r="B32" s="280"/>
      <c r="C32" s="281"/>
      <c r="D32" s="282"/>
      <c r="E32" s="283"/>
      <c r="F32" s="283"/>
      <c r="G32" s="264"/>
      <c r="M32" s="264"/>
      <c r="N32" s="277"/>
      <c r="O32" s="277"/>
      <c r="P32" s="277"/>
      <c r="Q32" s="277"/>
    </row>
    <row r="33" spans="1:17" ht="15" x14ac:dyDescent="0.2">
      <c r="B33" s="280" t="s">
        <v>1457</v>
      </c>
      <c r="C33" s="266">
        <f>C20</f>
        <v>10033429290.130001</v>
      </c>
      <c r="D33" s="267">
        <f>C33/C33</f>
        <v>1</v>
      </c>
      <c r="E33" s="283"/>
      <c r="F33" s="283"/>
      <c r="G33" s="264"/>
      <c r="M33" s="264"/>
      <c r="N33" s="277"/>
      <c r="O33" s="277"/>
      <c r="P33" s="277"/>
      <c r="Q33" s="277"/>
    </row>
    <row r="34" spans="1:17" ht="15.75" x14ac:dyDescent="0.25">
      <c r="B34" s="265" t="s">
        <v>1446</v>
      </c>
      <c r="C34" s="266">
        <f>E20</f>
        <v>6551271501.96</v>
      </c>
      <c r="D34" s="271">
        <f>C34/C33</f>
        <v>0.65294440340597815</v>
      </c>
      <c r="E34" s="283"/>
      <c r="F34" s="283"/>
      <c r="G34" s="264"/>
      <c r="M34" s="264"/>
      <c r="N34" s="277"/>
      <c r="O34" s="277"/>
      <c r="P34" s="277"/>
      <c r="Q34" s="277"/>
    </row>
    <row r="35" spans="1:17" ht="15.75" x14ac:dyDescent="0.25">
      <c r="B35" s="265" t="s">
        <v>1448</v>
      </c>
      <c r="C35" s="266">
        <f>G20</f>
        <v>5727236137.9200001</v>
      </c>
      <c r="D35" s="273">
        <f>C35/C33</f>
        <v>0.57081541836886696</v>
      </c>
      <c r="E35" s="283"/>
      <c r="F35" s="283"/>
      <c r="G35" s="264"/>
      <c r="M35" s="264"/>
      <c r="N35" s="277"/>
      <c r="O35" s="277"/>
      <c r="P35" s="277"/>
      <c r="Q35" s="277"/>
    </row>
    <row r="36" spans="1:17" ht="15.75" x14ac:dyDescent="0.25">
      <c r="B36" s="265" t="s">
        <v>1450</v>
      </c>
      <c r="C36" s="266">
        <f>I20</f>
        <v>3764447727.5300002</v>
      </c>
      <c r="D36" s="273">
        <f>C36/C35</f>
        <v>0.65728872302044816</v>
      </c>
      <c r="E36" s="283"/>
      <c r="F36" s="283"/>
      <c r="G36" s="264"/>
      <c r="M36" s="264"/>
      <c r="N36" s="277"/>
      <c r="O36" s="277"/>
      <c r="P36" s="277"/>
      <c r="Q36" s="277"/>
    </row>
    <row r="37" spans="1:17" ht="15.75" x14ac:dyDescent="0.25">
      <c r="B37" s="265" t="s">
        <v>1452</v>
      </c>
      <c r="C37" s="266">
        <f>K20</f>
        <v>3757002727.5300002</v>
      </c>
      <c r="D37" s="273">
        <f>C37/C35</f>
        <v>0.65598879408077926</v>
      </c>
      <c r="E37" s="283"/>
      <c r="F37" s="283"/>
      <c r="G37" s="264"/>
      <c r="M37" s="264"/>
      <c r="N37" s="277"/>
      <c r="O37" s="277"/>
      <c r="P37" s="277"/>
      <c r="Q37" s="277"/>
    </row>
    <row r="38" spans="1:17" ht="15.75" x14ac:dyDescent="0.25">
      <c r="B38" s="275" t="s">
        <v>1454</v>
      </c>
      <c r="C38" s="266">
        <f>M20</f>
        <v>3482157788.170001</v>
      </c>
      <c r="D38" s="273">
        <f>C38/C33</f>
        <v>0.34705559659402191</v>
      </c>
      <c r="E38" s="283"/>
      <c r="F38" s="283"/>
      <c r="G38" s="264"/>
      <c r="M38" s="264"/>
      <c r="N38" s="277"/>
      <c r="O38" s="277"/>
      <c r="P38" s="277"/>
      <c r="Q38" s="277"/>
    </row>
    <row r="39" spans="1:17" x14ac:dyDescent="0.2">
      <c r="B39" s="280"/>
      <c r="C39" s="281"/>
      <c r="D39" s="281"/>
      <c r="E39" s="256"/>
      <c r="F39" s="256"/>
      <c r="G39" s="264"/>
      <c r="M39" s="264"/>
      <c r="N39" s="277"/>
      <c r="O39" s="277"/>
      <c r="P39" s="277"/>
      <c r="Q39" s="277"/>
    </row>
    <row r="40" spans="1:17" s="250" customFormat="1" x14ac:dyDescent="0.2">
      <c r="A40" s="221"/>
      <c r="B40" s="280"/>
      <c r="C40" s="281"/>
      <c r="D40" s="281"/>
      <c r="E40" s="256"/>
      <c r="F40" s="256"/>
      <c r="G40" s="264"/>
      <c r="N40" s="221"/>
      <c r="O40" s="221"/>
      <c r="P40" s="221"/>
      <c r="Q40" s="221"/>
    </row>
    <row r="41" spans="1:17" s="250" customFormat="1" x14ac:dyDescent="0.2">
      <c r="A41" s="221"/>
      <c r="B41" s="278"/>
      <c r="C41" s="279"/>
      <c r="D41" s="279"/>
      <c r="E41" s="264"/>
      <c r="F41" s="264"/>
      <c r="G41" s="264"/>
      <c r="N41" s="221"/>
      <c r="O41" s="221"/>
      <c r="P41" s="221"/>
      <c r="Q41" s="221"/>
    </row>
    <row r="42" spans="1:17" x14ac:dyDescent="0.2">
      <c r="B42" s="278"/>
      <c r="C42" s="279"/>
      <c r="D42" s="279"/>
      <c r="E42" s="264"/>
      <c r="F42" s="264"/>
      <c r="G42" s="264"/>
    </row>
    <row r="43" spans="1:17" x14ac:dyDescent="0.2">
      <c r="B43" s="278"/>
      <c r="C43" s="279"/>
      <c r="D43" s="279"/>
      <c r="E43" s="264"/>
      <c r="F43" s="264"/>
      <c r="G43" s="264"/>
    </row>
    <row r="44" spans="1:17" x14ac:dyDescent="0.2">
      <c r="B44" s="278"/>
      <c r="C44" s="279"/>
      <c r="D44" s="279"/>
      <c r="E44" s="264"/>
      <c r="F44" s="264"/>
      <c r="G44" s="264"/>
    </row>
    <row r="45" spans="1:17" x14ac:dyDescent="0.2">
      <c r="B45" s="278"/>
      <c r="C45" s="279"/>
      <c r="D45" s="279"/>
      <c r="E45" s="264"/>
      <c r="F45" s="264"/>
      <c r="G45" s="264"/>
    </row>
    <row r="46" spans="1:17" x14ac:dyDescent="0.2">
      <c r="B46" s="278"/>
      <c r="C46" s="279"/>
      <c r="D46" s="279"/>
      <c r="E46" s="264"/>
      <c r="F46" s="264"/>
      <c r="G46" s="264"/>
    </row>
    <row r="47" spans="1:17" ht="15" x14ac:dyDescent="0.2">
      <c r="B47" s="280" t="s">
        <v>1458</v>
      </c>
      <c r="C47" s="266">
        <f>C22</f>
        <v>358380943965.87</v>
      </c>
      <c r="D47" s="267">
        <f>C47/C47</f>
        <v>1</v>
      </c>
      <c r="E47" s="264"/>
      <c r="F47" s="264"/>
      <c r="G47" s="264"/>
    </row>
    <row r="48" spans="1:17" ht="15.75" x14ac:dyDescent="0.25">
      <c r="B48" s="265" t="s">
        <v>1446</v>
      </c>
      <c r="C48" s="266">
        <f>E22</f>
        <v>256006449587.86996</v>
      </c>
      <c r="D48" s="271">
        <f>C48/C47</f>
        <v>0.71434169114820578</v>
      </c>
      <c r="E48" s="264"/>
      <c r="F48" s="264"/>
      <c r="G48" s="264"/>
    </row>
    <row r="49" spans="2:7" ht="15.75" x14ac:dyDescent="0.25">
      <c r="B49" s="265" t="s">
        <v>1448</v>
      </c>
      <c r="C49" s="266">
        <f>G22</f>
        <v>243434804509.23001</v>
      </c>
      <c r="D49" s="273">
        <f>C49/C47</f>
        <v>0.67926269130094497</v>
      </c>
      <c r="E49" s="264"/>
      <c r="F49" s="264"/>
      <c r="G49" s="264"/>
    </row>
    <row r="50" spans="2:7" ht="15.75" x14ac:dyDescent="0.25">
      <c r="B50" s="265" t="s">
        <v>1450</v>
      </c>
      <c r="C50" s="266">
        <f>I22</f>
        <v>199743346849.69</v>
      </c>
      <c r="D50" s="273">
        <f>C50/C49</f>
        <v>0.82052090806151179</v>
      </c>
      <c r="E50" s="264"/>
      <c r="F50" s="264"/>
      <c r="G50" s="264"/>
    </row>
    <row r="51" spans="2:7" ht="15.75" x14ac:dyDescent="0.25">
      <c r="B51" s="265" t="s">
        <v>1452</v>
      </c>
      <c r="C51" s="266">
        <f>K22</f>
        <v>199735901849.69</v>
      </c>
      <c r="D51" s="273">
        <f>C51/C49</f>
        <v>0.82049032492441676</v>
      </c>
      <c r="E51" s="264"/>
      <c r="F51" s="264"/>
      <c r="G51" s="264"/>
    </row>
    <row r="52" spans="2:7" ht="15.75" x14ac:dyDescent="0.25">
      <c r="B52" s="275" t="s">
        <v>1454</v>
      </c>
      <c r="C52" s="266">
        <f>M22</f>
        <v>102374494377.99995</v>
      </c>
      <c r="D52" s="273">
        <f>C52/C47</f>
        <v>0.28565830885179394</v>
      </c>
      <c r="E52" s="264"/>
      <c r="F52" s="264"/>
      <c r="G52" s="264"/>
    </row>
    <row r="53" spans="2:7" x14ac:dyDescent="0.2">
      <c r="C53" s="264"/>
      <c r="D53" s="264"/>
      <c r="E53" s="264"/>
      <c r="F53" s="264"/>
      <c r="G53" s="264"/>
    </row>
    <row r="54" spans="2:7" x14ac:dyDescent="0.2">
      <c r="C54" s="264"/>
      <c r="D54" s="264"/>
      <c r="E54" s="264"/>
      <c r="F54" s="264"/>
      <c r="G54" s="264"/>
    </row>
    <row r="55" spans="2:7" x14ac:dyDescent="0.2">
      <c r="C55" s="264"/>
      <c r="D55" s="264"/>
      <c r="E55" s="264"/>
      <c r="F55" s="264"/>
      <c r="G55" s="264"/>
    </row>
    <row r="56" spans="2:7" x14ac:dyDescent="0.2">
      <c r="C56" s="264"/>
      <c r="D56" s="264"/>
      <c r="E56" s="264"/>
      <c r="F56" s="264"/>
      <c r="G56" s="264"/>
    </row>
    <row r="57" spans="2:7" x14ac:dyDescent="0.2">
      <c r="B57" s="221"/>
      <c r="C57" s="264"/>
      <c r="D57" s="264"/>
      <c r="E57" s="264"/>
      <c r="F57" s="264"/>
      <c r="G57" s="264"/>
    </row>
    <row r="58" spans="2:7" x14ac:dyDescent="0.2">
      <c r="B58" s="221"/>
      <c r="C58" s="264"/>
      <c r="D58" s="264"/>
      <c r="E58" s="264"/>
      <c r="F58" s="264"/>
      <c r="G58" s="264"/>
    </row>
    <row r="59" spans="2:7" x14ac:dyDescent="0.2">
      <c r="B59" s="221"/>
      <c r="C59" s="264"/>
      <c r="D59" s="264"/>
      <c r="E59" s="264"/>
      <c r="F59" s="264"/>
      <c r="G59" s="264"/>
    </row>
    <row r="60" spans="2:7" x14ac:dyDescent="0.2">
      <c r="B60" s="221"/>
      <c r="C60" s="264"/>
      <c r="D60" s="264"/>
      <c r="E60" s="264"/>
      <c r="F60" s="264"/>
      <c r="G60" s="264"/>
    </row>
    <row r="61" spans="2:7" x14ac:dyDescent="0.2">
      <c r="B61" s="221"/>
      <c r="C61" s="264"/>
      <c r="D61" s="264"/>
      <c r="E61" s="264"/>
      <c r="F61" s="264"/>
      <c r="G61" s="264"/>
    </row>
    <row r="62" spans="2:7" x14ac:dyDescent="0.2">
      <c r="B62" s="221"/>
      <c r="C62" s="264"/>
      <c r="D62" s="264"/>
      <c r="E62" s="264"/>
      <c r="F62" s="264"/>
      <c r="G62" s="264"/>
    </row>
    <row r="63" spans="2:7" x14ac:dyDescent="0.2">
      <c r="C63" s="264"/>
      <c r="D63" s="264"/>
      <c r="E63" s="264"/>
      <c r="F63" s="264"/>
      <c r="G63" s="264"/>
    </row>
    <row r="64" spans="2:7" x14ac:dyDescent="0.2">
      <c r="C64" s="264"/>
      <c r="D64" s="264"/>
      <c r="E64" s="264"/>
      <c r="F64" s="264"/>
      <c r="G64" s="264"/>
    </row>
    <row r="65" spans="1:17" x14ac:dyDescent="0.2">
      <c r="C65" s="264"/>
      <c r="D65" s="264"/>
      <c r="E65" s="264"/>
      <c r="F65" s="264"/>
      <c r="G65" s="264"/>
    </row>
    <row r="66" spans="1:17" x14ac:dyDescent="0.2">
      <c r="C66" s="264"/>
      <c r="D66" s="264"/>
      <c r="E66" s="264"/>
      <c r="F66" s="264"/>
      <c r="G66" s="264"/>
    </row>
    <row r="67" spans="1:17" x14ac:dyDescent="0.2">
      <c r="C67" s="264"/>
      <c r="D67" s="264"/>
      <c r="E67" s="264"/>
      <c r="F67" s="264"/>
      <c r="G67" s="264"/>
    </row>
    <row r="68" spans="1:17" x14ac:dyDescent="0.2">
      <c r="C68" s="264"/>
      <c r="D68" s="264"/>
      <c r="E68" s="264"/>
      <c r="F68" s="264"/>
      <c r="G68" s="264"/>
    </row>
    <row r="69" spans="1:17" x14ac:dyDescent="0.2">
      <c r="C69" s="264"/>
      <c r="D69" s="264"/>
      <c r="E69" s="264"/>
      <c r="F69" s="264"/>
      <c r="G69" s="264"/>
    </row>
    <row r="71" spans="1:17" s="250" customFormat="1" x14ac:dyDescent="0.2">
      <c r="A71" s="221"/>
      <c r="B71" s="254"/>
      <c r="N71" s="221"/>
      <c r="O71" s="221"/>
      <c r="P71" s="221"/>
      <c r="Q71" s="221"/>
    </row>
    <row r="72" spans="1:17" s="250" customFormat="1" x14ac:dyDescent="0.2">
      <c r="N72" s="221"/>
      <c r="O72" s="221"/>
      <c r="P72" s="221"/>
      <c r="Q72" s="221"/>
    </row>
    <row r="73" spans="1:17" s="250" customFormat="1" x14ac:dyDescent="0.2">
      <c r="N73" s="221"/>
      <c r="O73" s="221"/>
      <c r="P73" s="221"/>
      <c r="Q73" s="221"/>
    </row>
    <row r="74" spans="1:17" s="250" customFormat="1" x14ac:dyDescent="0.2">
      <c r="N74" s="221"/>
      <c r="O74" s="221"/>
      <c r="P74" s="221"/>
      <c r="Q74" s="221"/>
    </row>
    <row r="75" spans="1:17" s="250" customFormat="1" x14ac:dyDescent="0.2">
      <c r="N75" s="221"/>
      <c r="O75" s="221"/>
      <c r="P75" s="221"/>
      <c r="Q75" s="221"/>
    </row>
    <row r="76" spans="1:17" s="250" customFormat="1" x14ac:dyDescent="0.2">
      <c r="N76" s="221"/>
      <c r="O76" s="221"/>
      <c r="P76" s="221"/>
      <c r="Q76" s="221"/>
    </row>
    <row r="77" spans="1:17" s="250" customFormat="1" x14ac:dyDescent="0.2">
      <c r="N77" s="221"/>
      <c r="O77" s="221"/>
      <c r="P77" s="221"/>
      <c r="Q77" s="221"/>
    </row>
  </sheetData>
  <mergeCells count="7">
    <mergeCell ref="E30:F30"/>
    <mergeCell ref="A1:N1"/>
    <mergeCell ref="E25:F25"/>
    <mergeCell ref="E26:F26"/>
    <mergeCell ref="E27:F27"/>
    <mergeCell ref="E28:F28"/>
    <mergeCell ref="E29:F29"/>
  </mergeCells>
  <conditionalFormatting sqref="H3">
    <cfRule type="cellIs" dxfId="174" priority="26" operator="between">
      <formula>0</formula>
      <formula>0.3999</formula>
    </cfRule>
    <cfRule type="cellIs" dxfId="173" priority="27" operator="between">
      <formula>0.4</formula>
      <formula>0.59</formula>
    </cfRule>
    <cfRule type="cellIs" dxfId="172" priority="28" operator="between">
      <formula>0.6</formula>
      <formula>0.69</formula>
    </cfRule>
    <cfRule type="cellIs" dxfId="171" priority="29" operator="between">
      <formula>0.7</formula>
      <formula>0.79</formula>
    </cfRule>
    <cfRule type="cellIs" dxfId="170" priority="30" operator="between">
      <formula>0.8</formula>
      <formula>1</formula>
    </cfRule>
  </conditionalFormatting>
  <conditionalFormatting sqref="H4:H15">
    <cfRule type="cellIs" dxfId="169" priority="21" operator="between">
      <formula>0</formula>
      <formula>0.3999</formula>
    </cfRule>
    <cfRule type="cellIs" dxfId="168" priority="22" operator="between">
      <formula>0.4</formula>
      <formula>0.59</formula>
    </cfRule>
    <cfRule type="cellIs" dxfId="167" priority="23" operator="between">
      <formula>0.6</formula>
      <formula>0.695</formula>
    </cfRule>
    <cfRule type="cellIs" dxfId="166" priority="24" operator="between">
      <formula>0.695</formula>
      <formula>0.7949</formula>
    </cfRule>
    <cfRule type="cellIs" dxfId="165" priority="25" operator="between">
      <formula>0.795</formula>
      <formula>1</formula>
    </cfRule>
  </conditionalFormatting>
  <conditionalFormatting sqref="H17:H19">
    <cfRule type="cellIs" dxfId="164" priority="16" operator="between">
      <formula>0</formula>
      <formula>0.3999</formula>
    </cfRule>
    <cfRule type="cellIs" dxfId="163" priority="17" operator="between">
      <formula>0.4</formula>
      <formula>0.59</formula>
    </cfRule>
    <cfRule type="cellIs" dxfId="162" priority="18" operator="between">
      <formula>0.6</formula>
      <formula>0.695</formula>
    </cfRule>
    <cfRule type="cellIs" dxfId="161" priority="19" operator="between">
      <formula>0.695</formula>
      <formula>0.7949</formula>
    </cfRule>
    <cfRule type="cellIs" dxfId="160" priority="20" operator="between">
      <formula>0.8</formula>
      <formula>1</formula>
    </cfRule>
  </conditionalFormatting>
  <conditionalFormatting sqref="H20">
    <cfRule type="cellIs" dxfId="159" priority="11" operator="between">
      <formula>0</formula>
      <formula>0.3999</formula>
    </cfRule>
    <cfRule type="cellIs" dxfId="158" priority="12" operator="between">
      <formula>0.4</formula>
      <formula>0.59</formula>
    </cfRule>
    <cfRule type="cellIs" dxfId="157" priority="13" operator="between">
      <formula>0.595</formula>
      <formula>0.6949</formula>
    </cfRule>
    <cfRule type="cellIs" dxfId="156" priority="14" operator="between">
      <formula>0.7</formula>
      <formula>0.79</formula>
    </cfRule>
    <cfRule type="cellIs" dxfId="155" priority="15" operator="between">
      <formula>0.8</formula>
      <formula>1</formula>
    </cfRule>
  </conditionalFormatting>
  <conditionalFormatting sqref="H22">
    <cfRule type="cellIs" dxfId="154" priority="6" operator="between">
      <formula>0</formula>
      <formula>0.3999</formula>
    </cfRule>
    <cfRule type="cellIs" dxfId="153" priority="7" operator="between">
      <formula>0.4</formula>
      <formula>0.59</formula>
    </cfRule>
    <cfRule type="cellIs" dxfId="152" priority="8" operator="between">
      <formula>0.595</formula>
      <formula>0.6949</formula>
    </cfRule>
    <cfRule type="cellIs" dxfId="151" priority="9" operator="between">
      <formula>0.7</formula>
      <formula>0.79</formula>
    </cfRule>
    <cfRule type="cellIs" dxfId="150" priority="10" operator="between">
      <formula>0.8</formula>
      <formula>1</formula>
    </cfRule>
  </conditionalFormatting>
  <conditionalFormatting sqref="H16">
    <cfRule type="cellIs" dxfId="149" priority="1" operator="between">
      <formula>0</formula>
      <formula>0.3999</formula>
    </cfRule>
    <cfRule type="cellIs" dxfId="148" priority="2" operator="between">
      <formula>0.4</formula>
      <formula>0.59</formula>
    </cfRule>
    <cfRule type="cellIs" dxfId="147" priority="3" operator="between">
      <formula>0.6</formula>
      <formula>0.695</formula>
    </cfRule>
    <cfRule type="cellIs" dxfId="146" priority="4" operator="between">
      <formula>0.695</formula>
      <formula>0.7949</formula>
    </cfRule>
    <cfRule type="cellIs" dxfId="145" priority="5" operator="greaterThan">
      <formula>0.795</formula>
    </cfRule>
  </conditionalFormatting>
  <pageMargins left="0.7" right="0.7" top="0.75" bottom="0.75" header="0.3" footer="0.3"/>
  <pageSetup orientation="portrait"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H204"/>
  <sheetViews>
    <sheetView showGridLines="0" topLeftCell="A91" zoomScale="70" zoomScaleNormal="70" workbookViewId="0">
      <selection activeCell="A95" sqref="A95"/>
    </sheetView>
  </sheetViews>
  <sheetFormatPr baseColWidth="10" defaultRowHeight="15" x14ac:dyDescent="0.25"/>
  <cols>
    <col min="1" max="1" width="17.85546875" customWidth="1"/>
    <col min="2" max="2" width="56.85546875" customWidth="1"/>
    <col min="3" max="3" width="33.5703125" customWidth="1"/>
    <col min="4" max="4" width="13.5703125" style="474" customWidth="1"/>
    <col min="5" max="5" width="29.140625" customWidth="1"/>
    <col min="6" max="6" width="18.85546875" customWidth="1"/>
    <col min="7" max="7" width="30.28515625" customWidth="1"/>
    <col min="8" max="8" width="21.140625" style="467" customWidth="1"/>
  </cols>
  <sheetData>
    <row r="1" spans="1:8" ht="71.25" customHeight="1" x14ac:dyDescent="0.25">
      <c r="A1" s="641" t="s">
        <v>1495</v>
      </c>
      <c r="B1" s="642"/>
      <c r="C1" s="642"/>
      <c r="D1" s="642"/>
      <c r="E1" s="642"/>
      <c r="F1" s="642"/>
      <c r="G1" s="642"/>
      <c r="H1" s="643"/>
    </row>
    <row r="2" spans="1:8" s="484" customFormat="1" ht="49.5" customHeight="1" thickBot="1" x14ac:dyDescent="0.25">
      <c r="A2" s="516" t="s">
        <v>21</v>
      </c>
      <c r="B2" s="492" t="s">
        <v>22</v>
      </c>
      <c r="C2" s="493" t="s">
        <v>1333</v>
      </c>
      <c r="D2" s="494" t="s">
        <v>1498</v>
      </c>
      <c r="E2" s="493" t="s">
        <v>1426</v>
      </c>
      <c r="F2" s="485" t="s">
        <v>1506</v>
      </c>
      <c r="G2" s="510" t="s">
        <v>1460</v>
      </c>
      <c r="H2" s="517" t="s">
        <v>1505</v>
      </c>
    </row>
    <row r="3" spans="1:8" ht="30" customHeight="1" thickBot="1" x14ac:dyDescent="0.3">
      <c r="A3" s="646" t="s">
        <v>1298</v>
      </c>
      <c r="B3" s="647"/>
      <c r="C3" s="488">
        <f>C4</f>
        <v>374828802</v>
      </c>
      <c r="D3" s="470">
        <f>C3/C3</f>
        <v>1</v>
      </c>
      <c r="E3" s="491">
        <f>E4</f>
        <v>252026664</v>
      </c>
      <c r="F3" s="448">
        <f>E3/C3</f>
        <v>0.67237806341253359</v>
      </c>
      <c r="G3" s="488">
        <f>G4</f>
        <v>157965000</v>
      </c>
      <c r="H3" s="509">
        <f t="shared" ref="H3:H66" si="0">G3/E3</f>
        <v>0.62677891891629367</v>
      </c>
    </row>
    <row r="4" spans="1:8" s="147" customFormat="1" ht="33.75" customHeight="1" x14ac:dyDescent="0.25">
      <c r="A4" s="508">
        <v>4</v>
      </c>
      <c r="B4" s="505" t="s">
        <v>27</v>
      </c>
      <c r="C4" s="498">
        <f>SUM(C5:C8)</f>
        <v>374828802</v>
      </c>
      <c r="D4" s="506">
        <f t="shared" ref="D4:D80" si="1">C4/C4</f>
        <v>1</v>
      </c>
      <c r="E4" s="498">
        <f>SUM(E5:E8)</f>
        <v>252026664</v>
      </c>
      <c r="F4" s="477">
        <f t="shared" ref="F4:F67" si="2">E4/C4</f>
        <v>0.67237806341253359</v>
      </c>
      <c r="G4" s="499">
        <f>SUM(G5:G8)</f>
        <v>157965000</v>
      </c>
      <c r="H4" s="518">
        <f t="shared" si="0"/>
        <v>0.62677891891629367</v>
      </c>
    </row>
    <row r="5" spans="1:8" ht="66" customHeight="1" thickBot="1" x14ac:dyDescent="0.3">
      <c r="A5" s="496">
        <v>2020003630006</v>
      </c>
      <c r="B5" s="189" t="s">
        <v>36</v>
      </c>
      <c r="C5" s="332">
        <f>'SGTO POAI 2022'!BF8</f>
        <v>118520644</v>
      </c>
      <c r="D5" s="471">
        <f t="shared" si="1"/>
        <v>1</v>
      </c>
      <c r="E5" s="338">
        <f>'SGTO POAI 2022'!BG8</f>
        <v>68895000</v>
      </c>
      <c r="F5" s="477">
        <f t="shared" si="2"/>
        <v>0.58129113777005803</v>
      </c>
      <c r="G5" s="511">
        <f>'SGTO POAI 2022'!BH8</f>
        <v>51700000</v>
      </c>
      <c r="H5" s="519">
        <f t="shared" si="0"/>
        <v>0.75041730169097898</v>
      </c>
    </row>
    <row r="6" spans="1:8" ht="66" customHeight="1" thickBot="1" x14ac:dyDescent="0.3">
      <c r="A6" s="182">
        <v>2020003630007</v>
      </c>
      <c r="B6" s="179" t="s">
        <v>41</v>
      </c>
      <c r="C6" s="329">
        <f>'SGTO POAI 2022'!BF9</f>
        <v>145810000</v>
      </c>
      <c r="D6" s="468">
        <f t="shared" si="1"/>
        <v>1</v>
      </c>
      <c r="E6" s="336">
        <f>'SGTO POAI 2022'!BG9</f>
        <v>102766664</v>
      </c>
      <c r="F6" s="500">
        <f>E6/C6</f>
        <v>0.70479846375420063</v>
      </c>
      <c r="G6" s="512">
        <f>'SGTO POAI 2022'!BH9</f>
        <v>41970000</v>
      </c>
      <c r="H6" s="520">
        <f t="shared" si="0"/>
        <v>0.40840091880378643</v>
      </c>
    </row>
    <row r="7" spans="1:8" ht="66" customHeight="1" thickBot="1" x14ac:dyDescent="0.3">
      <c r="A7" s="183">
        <v>2020003630041</v>
      </c>
      <c r="B7" s="180" t="s">
        <v>1299</v>
      </c>
      <c r="C7" s="329">
        <f>'SGTO POAI 2022'!BF10</f>
        <v>30740000</v>
      </c>
      <c r="D7" s="468">
        <f t="shared" si="1"/>
        <v>1</v>
      </c>
      <c r="E7" s="336">
        <f>'SGTO POAI 2022'!BG10</f>
        <v>24700000</v>
      </c>
      <c r="F7" s="500">
        <f t="shared" si="2"/>
        <v>0.80351333767078725</v>
      </c>
      <c r="G7" s="512">
        <f>'SGTO POAI 2022'!BH10</f>
        <v>21000000</v>
      </c>
      <c r="H7" s="520">
        <f t="shared" si="0"/>
        <v>0.8502024291497976</v>
      </c>
    </row>
    <row r="8" spans="1:8" ht="66" customHeight="1" thickBot="1" x14ac:dyDescent="0.3">
      <c r="A8" s="186">
        <v>2020003630005</v>
      </c>
      <c r="B8" s="187" t="s">
        <v>53</v>
      </c>
      <c r="C8" s="330">
        <f>'SGTO POAI 2022'!BF11</f>
        <v>79758158</v>
      </c>
      <c r="D8" s="469">
        <f t="shared" si="1"/>
        <v>1</v>
      </c>
      <c r="E8" s="337">
        <f>'SGTO POAI 2022'!BG11</f>
        <v>55665000</v>
      </c>
      <c r="F8" s="500">
        <f t="shared" si="2"/>
        <v>0.69792233667181736</v>
      </c>
      <c r="G8" s="513">
        <f>'SGTO POAI 2022'!BH11</f>
        <v>43295000</v>
      </c>
      <c r="H8" s="521">
        <f t="shared" si="0"/>
        <v>0.77777777777777779</v>
      </c>
    </row>
    <row r="9" spans="1:8" ht="30" customHeight="1" thickBot="1" x14ac:dyDescent="0.3">
      <c r="A9" s="637" t="s">
        <v>1300</v>
      </c>
      <c r="B9" s="638"/>
      <c r="C9" s="487">
        <f>C10</f>
        <v>1234282859</v>
      </c>
      <c r="D9" s="489">
        <f t="shared" si="1"/>
        <v>1</v>
      </c>
      <c r="E9" s="331">
        <f>E10</f>
        <v>989023739</v>
      </c>
      <c r="F9" s="448">
        <f t="shared" si="2"/>
        <v>0.80129423477637385</v>
      </c>
      <c r="G9" s="514">
        <f>G10</f>
        <v>614796643</v>
      </c>
      <c r="H9" s="489">
        <f t="shared" si="0"/>
        <v>0.62161970310401216</v>
      </c>
    </row>
    <row r="10" spans="1:8" s="147" customFormat="1" ht="33.75" customHeight="1" thickBot="1" x14ac:dyDescent="0.3">
      <c r="A10" s="502">
        <v>4</v>
      </c>
      <c r="B10" s="505" t="s">
        <v>27</v>
      </c>
      <c r="C10" s="498">
        <f>SUM(C11:C17)</f>
        <v>1234282859</v>
      </c>
      <c r="D10" s="506">
        <f t="shared" ref="D10" si="3">C10/C10</f>
        <v>1</v>
      </c>
      <c r="E10" s="498">
        <f>SUM(E11:E17)</f>
        <v>989023739</v>
      </c>
      <c r="F10" s="477">
        <f t="shared" si="2"/>
        <v>0.80129423477637385</v>
      </c>
      <c r="G10" s="499">
        <f>SUM(G11:G17)</f>
        <v>614796643</v>
      </c>
      <c r="H10" s="518">
        <f t="shared" si="0"/>
        <v>0.62161970310401216</v>
      </c>
    </row>
    <row r="11" spans="1:8" ht="66" customHeight="1" thickBot="1" x14ac:dyDescent="0.3">
      <c r="A11" s="188">
        <v>2020003630042</v>
      </c>
      <c r="B11" s="189" t="s">
        <v>1301</v>
      </c>
      <c r="C11" s="332">
        <f>'SGTO POAI 2022'!BF12</f>
        <v>161282859</v>
      </c>
      <c r="D11" s="471">
        <f t="shared" si="1"/>
        <v>1</v>
      </c>
      <c r="E11" s="338">
        <f>'SGTO POAI 2022'!BG12</f>
        <v>134277407</v>
      </c>
      <c r="F11" s="500">
        <f t="shared" si="2"/>
        <v>0.83255844937619816</v>
      </c>
      <c r="G11" s="511">
        <f>'SGTO POAI 2022'!BH12</f>
        <v>37086643</v>
      </c>
      <c r="H11" s="519">
        <f t="shared" si="0"/>
        <v>0.27619421486147705</v>
      </c>
    </row>
    <row r="12" spans="1:8" ht="66" customHeight="1" thickBot="1" x14ac:dyDescent="0.3">
      <c r="A12" s="183">
        <v>2020003630043</v>
      </c>
      <c r="B12" s="180" t="s">
        <v>65</v>
      </c>
      <c r="C12" s="329">
        <f>'SGTO POAI 2022'!BF13</f>
        <v>35000000</v>
      </c>
      <c r="D12" s="468">
        <f t="shared" si="1"/>
        <v>1</v>
      </c>
      <c r="E12" s="336">
        <f>'SGTO POAI 2022'!BG13</f>
        <v>28388000</v>
      </c>
      <c r="F12" s="500">
        <f t="shared" si="2"/>
        <v>0.8110857142857143</v>
      </c>
      <c r="G12" s="512">
        <f>'SGTO POAI 2022'!BH13</f>
        <v>17310000</v>
      </c>
      <c r="H12" s="520">
        <f t="shared" si="0"/>
        <v>0.60976468930534033</v>
      </c>
    </row>
    <row r="13" spans="1:8" ht="66" customHeight="1" thickBot="1" x14ac:dyDescent="0.3">
      <c r="A13" s="183">
        <v>2020003630044</v>
      </c>
      <c r="B13" s="180" t="s">
        <v>71</v>
      </c>
      <c r="C13" s="329">
        <f>'SGTO POAI 2022'!BF14</f>
        <v>215000000</v>
      </c>
      <c r="D13" s="468">
        <f t="shared" si="1"/>
        <v>1</v>
      </c>
      <c r="E13" s="336">
        <f>'SGTO POAI 2022'!BG14</f>
        <v>148300000</v>
      </c>
      <c r="F13" s="500">
        <f t="shared" si="2"/>
        <v>0.68976744186046512</v>
      </c>
      <c r="G13" s="512">
        <f>'SGTO POAI 2022'!BH14</f>
        <v>98050000</v>
      </c>
      <c r="H13" s="520">
        <f t="shared" si="0"/>
        <v>0.66115981119352663</v>
      </c>
    </row>
    <row r="14" spans="1:8" ht="66" customHeight="1" thickBot="1" x14ac:dyDescent="0.3">
      <c r="A14" s="183">
        <v>2020003630045</v>
      </c>
      <c r="B14" s="179" t="s">
        <v>77</v>
      </c>
      <c r="C14" s="329">
        <f>'SGTO POAI 2022'!BF15</f>
        <v>99000000</v>
      </c>
      <c r="D14" s="468">
        <f t="shared" si="1"/>
        <v>1</v>
      </c>
      <c r="E14" s="336">
        <f>'SGTO POAI 2022'!BG15</f>
        <v>86550000</v>
      </c>
      <c r="F14" s="500">
        <f t="shared" si="2"/>
        <v>0.87424242424242427</v>
      </c>
      <c r="G14" s="512">
        <f>'SGTO POAI 2022'!BH15</f>
        <v>63470000</v>
      </c>
      <c r="H14" s="520">
        <f t="shared" si="0"/>
        <v>0.73333333333333328</v>
      </c>
    </row>
    <row r="15" spans="1:8" ht="66" customHeight="1" thickBot="1" x14ac:dyDescent="0.3">
      <c r="A15" s="183">
        <v>2020003630046</v>
      </c>
      <c r="B15" s="179" t="s">
        <v>80</v>
      </c>
      <c r="C15" s="329">
        <f>'SGTO POAI 2022'!BF16</f>
        <v>400000000</v>
      </c>
      <c r="D15" s="468">
        <f t="shared" si="1"/>
        <v>1</v>
      </c>
      <c r="E15" s="336">
        <f>'SGTO POAI 2022'!BG16</f>
        <v>335066666</v>
      </c>
      <c r="F15" s="500">
        <f t="shared" si="2"/>
        <v>0.83766666499999998</v>
      </c>
      <c r="G15" s="512">
        <f>'SGTO POAI 2022'!BH16</f>
        <v>226900000</v>
      </c>
      <c r="H15" s="520">
        <f t="shared" si="0"/>
        <v>0.67717867225861261</v>
      </c>
    </row>
    <row r="16" spans="1:8" ht="66" customHeight="1" thickBot="1" x14ac:dyDescent="0.3">
      <c r="A16" s="183">
        <v>2020003630047</v>
      </c>
      <c r="B16" s="180" t="s">
        <v>87</v>
      </c>
      <c r="C16" s="329">
        <f>SUM('SGTO POAI 2022'!BF17:BF22)</f>
        <v>252000000</v>
      </c>
      <c r="D16" s="468">
        <f t="shared" si="1"/>
        <v>1</v>
      </c>
      <c r="E16" s="336">
        <f>SUM('SGTO POAI 2022'!BG17:BG22)</f>
        <v>190441666</v>
      </c>
      <c r="F16" s="500">
        <f t="shared" si="2"/>
        <v>0.75572089682539678</v>
      </c>
      <c r="G16" s="512">
        <f>SUM('SGTO POAI 2022'!BH17:BH22)</f>
        <v>125780000</v>
      </c>
      <c r="H16" s="520">
        <f t="shared" si="0"/>
        <v>0.66046471154059327</v>
      </c>
    </row>
    <row r="17" spans="1:8" ht="30" customHeight="1" thickBot="1" x14ac:dyDescent="0.3">
      <c r="A17" s="186">
        <v>2020003630008</v>
      </c>
      <c r="B17" s="190" t="s">
        <v>98</v>
      </c>
      <c r="C17" s="330">
        <f>'SGTO POAI 2022'!BF23</f>
        <v>72000000</v>
      </c>
      <c r="D17" s="469">
        <f t="shared" si="1"/>
        <v>1</v>
      </c>
      <c r="E17" s="337">
        <f>'SGTO POAI 2022'!BG23</f>
        <v>66000000</v>
      </c>
      <c r="F17" s="500">
        <f t="shared" si="2"/>
        <v>0.91666666666666663</v>
      </c>
      <c r="G17" s="513">
        <f>'SGTO POAI 2022'!BH23</f>
        <v>46200000</v>
      </c>
      <c r="H17" s="521">
        <f t="shared" si="0"/>
        <v>0.7</v>
      </c>
    </row>
    <row r="18" spans="1:8" ht="33" customHeight="1" thickBot="1" x14ac:dyDescent="0.3">
      <c r="A18" s="637" t="s">
        <v>1302</v>
      </c>
      <c r="B18" s="638"/>
      <c r="C18" s="487">
        <f>C19</f>
        <v>3838356174.1599998</v>
      </c>
      <c r="D18" s="470">
        <f t="shared" si="1"/>
        <v>1</v>
      </c>
      <c r="E18" s="487">
        <f>E19</f>
        <v>3353173510</v>
      </c>
      <c r="F18" s="448">
        <f t="shared" si="2"/>
        <v>0.8735962369969017</v>
      </c>
      <c r="G18" s="514">
        <f>G19</f>
        <v>1911945730.5</v>
      </c>
      <c r="H18" s="489">
        <f t="shared" si="0"/>
        <v>0.57018991853481504</v>
      </c>
    </row>
    <row r="19" spans="1:8" s="147" customFormat="1" ht="45" customHeight="1" thickBot="1" x14ac:dyDescent="0.3">
      <c r="A19" s="502">
        <v>4</v>
      </c>
      <c r="B19" s="505" t="s">
        <v>27</v>
      </c>
      <c r="C19" s="498">
        <f>SUM(C20:C21)</f>
        <v>3838356174.1599998</v>
      </c>
      <c r="D19" s="506">
        <f t="shared" si="1"/>
        <v>1</v>
      </c>
      <c r="E19" s="498">
        <f>SUM(E20:E21)</f>
        <v>3353173510</v>
      </c>
      <c r="F19" s="477">
        <f t="shared" si="2"/>
        <v>0.8735962369969017</v>
      </c>
      <c r="G19" s="515">
        <f>SUM(G20:G21)</f>
        <v>1911945730.5</v>
      </c>
      <c r="H19" s="518">
        <f t="shared" si="0"/>
        <v>0.57018991853481504</v>
      </c>
    </row>
    <row r="20" spans="1:8" ht="30" customHeight="1" thickBot="1" x14ac:dyDescent="0.3">
      <c r="A20" s="188">
        <v>2020003630048</v>
      </c>
      <c r="B20" s="191" t="s">
        <v>104</v>
      </c>
      <c r="C20" s="332">
        <f>'SGTO POAI 2022'!BF24</f>
        <v>3205356174.1599998</v>
      </c>
      <c r="D20" s="471">
        <f t="shared" si="1"/>
        <v>1</v>
      </c>
      <c r="E20" s="338">
        <f>'SGTO POAI 2022'!BG24</f>
        <v>2795195177</v>
      </c>
      <c r="F20" s="500">
        <f t="shared" si="2"/>
        <v>0.87203887029263227</v>
      </c>
      <c r="G20" s="511">
        <f>'SGTO POAI 2022'!BH24</f>
        <v>1555725730.5</v>
      </c>
      <c r="H20" s="519">
        <f t="shared" si="0"/>
        <v>0.55657141343872607</v>
      </c>
    </row>
    <row r="21" spans="1:8" ht="66" customHeight="1" thickBot="1" x14ac:dyDescent="0.3">
      <c r="A21" s="186">
        <v>2020003630049</v>
      </c>
      <c r="B21" s="187" t="s">
        <v>1303</v>
      </c>
      <c r="C21" s="330">
        <f>'SGTO POAI 2022'!BF25</f>
        <v>633000000</v>
      </c>
      <c r="D21" s="469">
        <f t="shared" si="1"/>
        <v>1</v>
      </c>
      <c r="E21" s="337">
        <f>'SGTO POAI 2022'!BG25</f>
        <v>557978333</v>
      </c>
      <c r="F21" s="500">
        <f t="shared" si="2"/>
        <v>0.88148235860979463</v>
      </c>
      <c r="G21" s="513">
        <f>'SGTO POAI 2022'!BH25</f>
        <v>356220000</v>
      </c>
      <c r="H21" s="521">
        <f t="shared" si="0"/>
        <v>0.63841188614755762</v>
      </c>
    </row>
    <row r="22" spans="1:8" ht="31.5" customHeight="1" thickBot="1" x14ac:dyDescent="0.3">
      <c r="A22" s="637" t="s">
        <v>1304</v>
      </c>
      <c r="B22" s="638"/>
      <c r="C22" s="333">
        <f>C23+C30+C33+C40</f>
        <v>35755534437.400002</v>
      </c>
      <c r="D22" s="489">
        <f t="shared" si="1"/>
        <v>1</v>
      </c>
      <c r="E22" s="333">
        <f>E23+E30+E33+E40</f>
        <v>17188762698.550003</v>
      </c>
      <c r="F22" s="448">
        <f t="shared" si="2"/>
        <v>0.48073012944733656</v>
      </c>
      <c r="G22" s="331">
        <f>G23+G30+G33+G40</f>
        <v>8027601401.6000004</v>
      </c>
      <c r="H22" s="489">
        <f t="shared" si="0"/>
        <v>0.46702613459648185</v>
      </c>
    </row>
    <row r="23" spans="1:8" s="147" customFormat="1" ht="38.25" customHeight="1" thickBot="1" x14ac:dyDescent="0.3">
      <c r="A23" s="502">
        <v>1</v>
      </c>
      <c r="B23" s="497" t="s">
        <v>112</v>
      </c>
      <c r="C23" s="498">
        <f>SUM(C24:C29)</f>
        <v>8534853766.8800001</v>
      </c>
      <c r="D23" s="506">
        <f t="shared" si="1"/>
        <v>1</v>
      </c>
      <c r="E23" s="498">
        <f>SUM(E24:E29)</f>
        <v>2769351048</v>
      </c>
      <c r="F23" s="477">
        <f t="shared" si="2"/>
        <v>0.32447551225149618</v>
      </c>
      <c r="G23" s="515">
        <f>SUM(G24:G29)</f>
        <v>1495162917</v>
      </c>
      <c r="H23" s="518">
        <f t="shared" si="0"/>
        <v>0.53989649238574977</v>
      </c>
    </row>
    <row r="24" spans="1:8" ht="66" customHeight="1" thickBot="1" x14ac:dyDescent="0.3">
      <c r="A24" s="284">
        <v>2020003630017</v>
      </c>
      <c r="B24" s="191" t="s">
        <v>120</v>
      </c>
      <c r="C24" s="329">
        <f>'SGTO POAI 2022'!BF26</f>
        <v>64250000</v>
      </c>
      <c r="D24" s="468">
        <f t="shared" si="1"/>
        <v>1</v>
      </c>
      <c r="E24" s="336">
        <f>'SGTO POAI 2022'!BG26</f>
        <v>47250000</v>
      </c>
      <c r="F24" s="500">
        <f t="shared" si="2"/>
        <v>0.7354085603112841</v>
      </c>
      <c r="G24" s="511">
        <f>'SGTO POAI 2022'!BH26</f>
        <v>2100000</v>
      </c>
      <c r="H24" s="520">
        <f t="shared" si="0"/>
        <v>4.4444444444444446E-2</v>
      </c>
    </row>
    <row r="25" spans="1:8" ht="66" customHeight="1" thickBot="1" x14ac:dyDescent="0.3">
      <c r="A25" s="285">
        <v>2020003630050</v>
      </c>
      <c r="B25" s="180" t="s">
        <v>1305</v>
      </c>
      <c r="C25" s="329">
        <f>'SGTO POAI 2022'!BF28</f>
        <v>3902276899.8800001</v>
      </c>
      <c r="D25" s="468">
        <f t="shared" si="1"/>
        <v>1</v>
      </c>
      <c r="E25" s="336">
        <f>'SGTO POAI 2022'!BG28</f>
        <v>1115149000</v>
      </c>
      <c r="F25" s="500">
        <f t="shared" si="2"/>
        <v>0.28576880334511684</v>
      </c>
      <c r="G25" s="512">
        <f>'SGTO POAI 2022'!BH28</f>
        <v>837839233</v>
      </c>
      <c r="H25" s="520">
        <f t="shared" si="0"/>
        <v>0.75132491980892235</v>
      </c>
    </row>
    <row r="26" spans="1:8" ht="66" customHeight="1" thickBot="1" x14ac:dyDescent="0.3">
      <c r="A26" s="285">
        <v>2021003630001</v>
      </c>
      <c r="B26" s="180" t="s">
        <v>139</v>
      </c>
      <c r="C26" s="329">
        <f>'SGTO POAI 2022'!BF29</f>
        <v>67500000</v>
      </c>
      <c r="D26" s="468">
        <f t="shared" si="1"/>
        <v>1</v>
      </c>
      <c r="E26" s="336">
        <f>'SGTO POAI 2022'!BG29</f>
        <v>26600000</v>
      </c>
      <c r="F26" s="500">
        <f t="shared" si="2"/>
        <v>0.39407407407407408</v>
      </c>
      <c r="G26" s="512">
        <f>'SGTO POAI 2022'!BH29</f>
        <v>11500000</v>
      </c>
      <c r="H26" s="520">
        <f t="shared" si="0"/>
        <v>0.43233082706766918</v>
      </c>
    </row>
    <row r="27" spans="1:8" ht="66" customHeight="1" thickBot="1" x14ac:dyDescent="0.3">
      <c r="A27" s="285">
        <v>2020003630018</v>
      </c>
      <c r="B27" s="180" t="s">
        <v>1395</v>
      </c>
      <c r="C27" s="329">
        <f>'SGTO POAI 2022'!BF27</f>
        <v>516811948</v>
      </c>
      <c r="D27" s="468">
        <f t="shared" si="1"/>
        <v>1</v>
      </c>
      <c r="E27" s="336">
        <f>'SGTO POAI 2022'!BG27</f>
        <v>516811948</v>
      </c>
      <c r="F27" s="500">
        <f t="shared" si="2"/>
        <v>1</v>
      </c>
      <c r="G27" s="512">
        <f>'SGTO POAI 2022'!BH27</f>
        <v>147543584</v>
      </c>
      <c r="H27" s="520">
        <f t="shared" si="0"/>
        <v>0.28548795083197265</v>
      </c>
    </row>
    <row r="28" spans="1:8" ht="66" customHeight="1" thickBot="1" x14ac:dyDescent="0.3">
      <c r="A28" s="285">
        <v>2021003630017</v>
      </c>
      <c r="B28" s="180" t="s">
        <v>1335</v>
      </c>
      <c r="C28" s="329">
        <f>'SGTO POAI 2022'!BF30</f>
        <v>50000000</v>
      </c>
      <c r="D28" s="468">
        <f t="shared" si="1"/>
        <v>1</v>
      </c>
      <c r="E28" s="336">
        <f>'SGTO POAI 2022'!BG30</f>
        <v>0</v>
      </c>
      <c r="F28" s="500">
        <f t="shared" si="2"/>
        <v>0</v>
      </c>
      <c r="G28" s="512">
        <f>'SGTO POAI 2022'!BH30</f>
        <v>0</v>
      </c>
      <c r="H28" s="520" t="e">
        <f t="shared" si="0"/>
        <v>#DIV/0!</v>
      </c>
    </row>
    <row r="29" spans="1:8" ht="66" customHeight="1" x14ac:dyDescent="0.25">
      <c r="A29" s="504">
        <v>2020003630052</v>
      </c>
      <c r="B29" s="180" t="s">
        <v>148</v>
      </c>
      <c r="C29" s="329">
        <f>'SGTO POAI 2022'!BF31</f>
        <v>3934014919</v>
      </c>
      <c r="D29" s="468">
        <f t="shared" si="1"/>
        <v>1</v>
      </c>
      <c r="E29" s="336">
        <f>'SGTO POAI 2022'!BG31</f>
        <v>1063540100</v>
      </c>
      <c r="F29" s="500">
        <f t="shared" si="2"/>
        <v>0.27034470430283591</v>
      </c>
      <c r="G29" s="512">
        <f>'SGTO POAI 2022'!BH31</f>
        <v>496180100</v>
      </c>
      <c r="H29" s="520">
        <f t="shared" si="0"/>
        <v>0.46653633464314131</v>
      </c>
    </row>
    <row r="30" spans="1:8" s="147" customFormat="1" ht="33" customHeight="1" thickBot="1" x14ac:dyDescent="0.3">
      <c r="A30" s="501">
        <v>2</v>
      </c>
      <c r="B30" s="497" t="s">
        <v>333</v>
      </c>
      <c r="C30" s="498">
        <f>SUM(C31:C32)</f>
        <v>43400000</v>
      </c>
      <c r="D30" s="506">
        <f t="shared" ref="D30" si="4">C30/C30</f>
        <v>1</v>
      </c>
      <c r="E30" s="498">
        <f>SUM(E31:E32)</f>
        <v>38600000</v>
      </c>
      <c r="F30" s="477">
        <f t="shared" si="2"/>
        <v>0.88940092165898621</v>
      </c>
      <c r="G30" s="515">
        <f>SUM(G31:G32)</f>
        <v>11800000</v>
      </c>
      <c r="H30" s="518">
        <f t="shared" si="0"/>
        <v>0.30569948186528495</v>
      </c>
    </row>
    <row r="31" spans="1:8" ht="66" customHeight="1" thickBot="1" x14ac:dyDescent="0.3">
      <c r="A31" s="285">
        <v>2021003630018</v>
      </c>
      <c r="B31" s="180" t="s">
        <v>1286</v>
      </c>
      <c r="C31" s="329">
        <f>'SGTO POAI 2022'!BF33</f>
        <v>40000000</v>
      </c>
      <c r="D31" s="468">
        <f t="shared" si="1"/>
        <v>1</v>
      </c>
      <c r="E31" s="336">
        <f>'SGTO POAI 2022'!BG33</f>
        <v>35200000</v>
      </c>
      <c r="F31" s="500">
        <f t="shared" si="2"/>
        <v>0.88</v>
      </c>
      <c r="G31" s="512">
        <f>'SGTO POAI 2022'!BH33</f>
        <v>8400000</v>
      </c>
      <c r="H31" s="520">
        <f t="shared" si="0"/>
        <v>0.23863636363636365</v>
      </c>
    </row>
    <row r="32" spans="1:8" ht="66" customHeight="1" x14ac:dyDescent="0.25">
      <c r="A32" s="285">
        <v>2021003630019</v>
      </c>
      <c r="B32" s="180" t="s">
        <v>1287</v>
      </c>
      <c r="C32" s="329">
        <f>'SGTO POAI 2022'!BF32</f>
        <v>3400000</v>
      </c>
      <c r="D32" s="468">
        <f t="shared" si="1"/>
        <v>1</v>
      </c>
      <c r="E32" s="336">
        <f>'SGTO POAI 2022'!BG32</f>
        <v>3400000</v>
      </c>
      <c r="F32" s="500">
        <f t="shared" si="2"/>
        <v>1</v>
      </c>
      <c r="G32" s="512">
        <f>'SGTO POAI 2022'!BH32</f>
        <v>3400000</v>
      </c>
      <c r="H32" s="520">
        <f t="shared" si="0"/>
        <v>1</v>
      </c>
    </row>
    <row r="33" spans="1:8" s="147" customFormat="1" ht="40.5" customHeight="1" thickBot="1" x14ac:dyDescent="0.3">
      <c r="A33" s="501">
        <v>3</v>
      </c>
      <c r="B33" s="497" t="s">
        <v>150</v>
      </c>
      <c r="C33" s="498">
        <f>SUM(C34:C39)</f>
        <v>27012620022.52</v>
      </c>
      <c r="D33" s="506">
        <f t="shared" si="1"/>
        <v>1</v>
      </c>
      <c r="E33" s="498">
        <f>SUM(E34:E39)</f>
        <v>14285224983.550001</v>
      </c>
      <c r="F33" s="477">
        <f t="shared" si="2"/>
        <v>0.52883522485566492</v>
      </c>
      <c r="G33" s="515">
        <f>SUM(G34:G39)</f>
        <v>6487838484.6000004</v>
      </c>
      <c r="H33" s="518">
        <f t="shared" si="0"/>
        <v>0.45416424957051793</v>
      </c>
    </row>
    <row r="34" spans="1:8" ht="66" customHeight="1" thickBot="1" x14ac:dyDescent="0.3">
      <c r="A34" s="285">
        <v>2020003630053</v>
      </c>
      <c r="B34" s="180" t="s">
        <v>158</v>
      </c>
      <c r="C34" s="329">
        <f>'SGTO POAI 2022'!BF34+'SGTO POAI 2022'!BF35</f>
        <v>19000855363</v>
      </c>
      <c r="D34" s="468">
        <f t="shared" si="1"/>
        <v>1</v>
      </c>
      <c r="E34" s="336">
        <f>'SGTO POAI 2022'!BG34+'SGTO POAI 2022'!BG35</f>
        <v>9257984126</v>
      </c>
      <c r="F34" s="500">
        <f t="shared" si="2"/>
        <v>0.48724038729476854</v>
      </c>
      <c r="G34" s="512">
        <f>'SGTO POAI 2022'!BH34+'SGTO POAI 2022'!BH35</f>
        <v>3152280376.4299998</v>
      </c>
      <c r="H34" s="520">
        <f t="shared" si="0"/>
        <v>0.34049317146452834</v>
      </c>
    </row>
    <row r="35" spans="1:8" ht="66" customHeight="1" thickBot="1" x14ac:dyDescent="0.3">
      <c r="A35" s="285">
        <v>2020003630054</v>
      </c>
      <c r="B35" s="180" t="s">
        <v>168</v>
      </c>
      <c r="C35" s="329">
        <f>'SGTO POAI 2022'!BF36</f>
        <v>155000000</v>
      </c>
      <c r="D35" s="468">
        <f t="shared" si="1"/>
        <v>1</v>
      </c>
      <c r="E35" s="336">
        <f>'SGTO POAI 2022'!BG36</f>
        <v>86000000</v>
      </c>
      <c r="F35" s="500">
        <f t="shared" si="2"/>
        <v>0.55483870967741933</v>
      </c>
      <c r="G35" s="512">
        <f>'SGTO POAI 2022'!BH36</f>
        <v>0</v>
      </c>
      <c r="H35" s="520">
        <f t="shared" si="0"/>
        <v>0</v>
      </c>
    </row>
    <row r="36" spans="1:8" ht="66" customHeight="1" thickBot="1" x14ac:dyDescent="0.3">
      <c r="A36" s="285">
        <v>2021003630004</v>
      </c>
      <c r="B36" s="180" t="s">
        <v>176</v>
      </c>
      <c r="C36" s="329">
        <f>'SGTO POAI 2022'!BF37</f>
        <v>2014285000</v>
      </c>
      <c r="D36" s="468">
        <f t="shared" si="1"/>
        <v>1</v>
      </c>
      <c r="E36" s="336">
        <f>'SGTO POAI 2022'!BG37</f>
        <v>1050596869.4400001</v>
      </c>
      <c r="F36" s="500">
        <f t="shared" si="2"/>
        <v>0.52157309886138259</v>
      </c>
      <c r="G36" s="512">
        <f>'SGTO POAI 2022'!BH37</f>
        <v>766909597.78999996</v>
      </c>
      <c r="H36" s="520">
        <f t="shared" si="0"/>
        <v>0.72997514089184945</v>
      </c>
    </row>
    <row r="37" spans="1:8" ht="66" customHeight="1" thickBot="1" x14ac:dyDescent="0.3">
      <c r="A37" s="285">
        <v>2021003630002</v>
      </c>
      <c r="B37" s="180" t="s">
        <v>180</v>
      </c>
      <c r="C37" s="329">
        <f>'SGTO POAI 2022'!BF38</f>
        <v>1251472133.72</v>
      </c>
      <c r="D37" s="468">
        <f t="shared" si="1"/>
        <v>1</v>
      </c>
      <c r="E37" s="336">
        <f>'SGTO POAI 2022'!BG38</f>
        <v>197003979</v>
      </c>
      <c r="F37" s="500">
        <f t="shared" si="2"/>
        <v>0.15741779116919352</v>
      </c>
      <c r="G37" s="512">
        <f>'SGTO POAI 2022'!BH38</f>
        <v>160375280.38</v>
      </c>
      <c r="H37" s="520">
        <f t="shared" si="0"/>
        <v>0.81407127507815458</v>
      </c>
    </row>
    <row r="38" spans="1:8" ht="66" customHeight="1" thickBot="1" x14ac:dyDescent="0.3">
      <c r="A38" s="285">
        <v>2020003630057</v>
      </c>
      <c r="B38" s="180" t="s">
        <v>188</v>
      </c>
      <c r="C38" s="329">
        <f>'SGTO POAI 2022'!BF39</f>
        <v>380000000</v>
      </c>
      <c r="D38" s="468">
        <f t="shared" si="1"/>
        <v>1</v>
      </c>
      <c r="E38" s="336">
        <f>'SGTO POAI 2022'!BG39</f>
        <v>0</v>
      </c>
      <c r="F38" s="500">
        <f t="shared" si="2"/>
        <v>0</v>
      </c>
      <c r="G38" s="512">
        <f>'SGTO POAI 2022'!BH39</f>
        <v>0</v>
      </c>
      <c r="H38" s="520" t="e">
        <f t="shared" si="0"/>
        <v>#DIV/0!</v>
      </c>
    </row>
    <row r="39" spans="1:8" ht="55.5" customHeight="1" x14ac:dyDescent="0.25">
      <c r="A39" s="504">
        <v>2020003630014</v>
      </c>
      <c r="B39" s="179" t="s">
        <v>1167</v>
      </c>
      <c r="C39" s="329">
        <f>'SGTO POAI 2022'!BF40+'SGTO POAI 2022'!BF41+'SGTO POAI 2022'!BF42+'SGTO POAI 2022'!BF43+'SGTO POAI 2022'!BF44+'SGTO POAI 2022'!BF45</f>
        <v>4211007525.8000002</v>
      </c>
      <c r="D39" s="468">
        <f t="shared" si="1"/>
        <v>1</v>
      </c>
      <c r="E39" s="336">
        <f>'SGTO POAI 2022'!BG40+'SGTO POAI 2022'!BG41+'SGTO POAI 2022'!BG42+'SGTO POAI 2022'!BG43+'SGTO POAI 2022'!BG44+'SGTO POAI 2022'!BG45</f>
        <v>3693640009.1100001</v>
      </c>
      <c r="F39" s="500">
        <f t="shared" si="2"/>
        <v>0.87713925621832944</v>
      </c>
      <c r="G39" s="512">
        <f>'SGTO POAI 2022'!BH40+'SGTO POAI 2022'!BH41+'SGTO POAI 2022'!BH42+'SGTO POAI 2022'!BH43+'SGTO POAI 2022'!BH44+'SGTO POAI 2022'!BH45</f>
        <v>2408273230</v>
      </c>
      <c r="H39" s="520">
        <f t="shared" si="0"/>
        <v>0.65200539956796832</v>
      </c>
    </row>
    <row r="40" spans="1:8" s="147" customFormat="1" ht="30" customHeight="1" thickBot="1" x14ac:dyDescent="0.3">
      <c r="A40" s="501">
        <v>4</v>
      </c>
      <c r="B40" s="505" t="s">
        <v>27</v>
      </c>
      <c r="C40" s="498">
        <f>SUM(C41:C42)</f>
        <v>164660648</v>
      </c>
      <c r="D40" s="506">
        <f t="shared" ref="D40" si="5">C40/C40</f>
        <v>1</v>
      </c>
      <c r="E40" s="498">
        <f>SUM(E41:E42)</f>
        <v>95586667</v>
      </c>
      <c r="F40" s="477">
        <f t="shared" si="2"/>
        <v>0.58050704986901303</v>
      </c>
      <c r="G40" s="515">
        <f>SUM(G41:G42)</f>
        <v>32800000</v>
      </c>
      <c r="H40" s="518">
        <f t="shared" si="0"/>
        <v>0.34314409142438246</v>
      </c>
    </row>
    <row r="41" spans="1:8" ht="66" customHeight="1" thickBot="1" x14ac:dyDescent="0.3">
      <c r="A41" s="285">
        <v>2021003630003</v>
      </c>
      <c r="B41" s="180" t="s">
        <v>1128</v>
      </c>
      <c r="C41" s="329">
        <f>'SGTO POAI 2022'!BF46</f>
        <v>126660648</v>
      </c>
      <c r="D41" s="468">
        <f t="shared" si="1"/>
        <v>1</v>
      </c>
      <c r="E41" s="336">
        <f>'SGTO POAI 2022'!BG46</f>
        <v>63186667</v>
      </c>
      <c r="F41" s="500">
        <f t="shared" si="2"/>
        <v>0.49886581189763057</v>
      </c>
      <c r="G41" s="512">
        <f>'SGTO POAI 2022'!BH46</f>
        <v>32800000</v>
      </c>
      <c r="H41" s="520">
        <f t="shared" si="0"/>
        <v>0.51909685313833687</v>
      </c>
    </row>
    <row r="42" spans="1:8" ht="66" customHeight="1" thickBot="1" x14ac:dyDescent="0.3">
      <c r="A42" s="285">
        <v>2021003630006</v>
      </c>
      <c r="B42" s="180" t="s">
        <v>215</v>
      </c>
      <c r="C42" s="329">
        <f>'SGTO POAI 2022'!BF47</f>
        <v>38000000</v>
      </c>
      <c r="D42" s="468">
        <f t="shared" si="1"/>
        <v>1</v>
      </c>
      <c r="E42" s="336">
        <f>'SGTO POAI 2022'!BG47</f>
        <v>32400000</v>
      </c>
      <c r="F42" s="500">
        <f t="shared" si="2"/>
        <v>0.85263157894736841</v>
      </c>
      <c r="G42" s="512">
        <f>'SGTO POAI 2022'!BH47</f>
        <v>0</v>
      </c>
      <c r="H42" s="520">
        <f t="shared" si="0"/>
        <v>0</v>
      </c>
    </row>
    <row r="43" spans="1:8" ht="39" customHeight="1" thickBot="1" x14ac:dyDescent="0.3">
      <c r="A43" s="637" t="s">
        <v>1306</v>
      </c>
      <c r="B43" s="638"/>
      <c r="C43" s="487">
        <f>C44+C53+C56</f>
        <v>6500727034.2399998</v>
      </c>
      <c r="D43" s="470">
        <f t="shared" si="1"/>
        <v>1</v>
      </c>
      <c r="E43" s="487">
        <f>E44+E53+E56</f>
        <v>3295154559.8699999</v>
      </c>
      <c r="F43" s="448">
        <f t="shared" si="2"/>
        <v>0.50689015897976963</v>
      </c>
      <c r="G43" s="514">
        <f>G44+G53+G56</f>
        <v>1272076857.8400002</v>
      </c>
      <c r="H43" s="489">
        <f t="shared" si="0"/>
        <v>0.38604467096383666</v>
      </c>
    </row>
    <row r="44" spans="1:8" ht="39" customHeight="1" thickBot="1" x14ac:dyDescent="0.3">
      <c r="A44" s="502">
        <v>1</v>
      </c>
      <c r="B44" s="497" t="s">
        <v>112</v>
      </c>
      <c r="C44" s="498">
        <f>SUM(C45:C52)</f>
        <v>5454304728.1499996</v>
      </c>
      <c r="D44" s="506">
        <f t="shared" ref="D44" si="6">C44/C44</f>
        <v>1</v>
      </c>
      <c r="E44" s="498">
        <f>SUM(E45:E52)</f>
        <v>2466397259.75</v>
      </c>
      <c r="F44" s="477">
        <f t="shared" si="2"/>
        <v>0.45219278765646759</v>
      </c>
      <c r="G44" s="515">
        <f>SUM(G45:G52)</f>
        <v>775639835.84000003</v>
      </c>
      <c r="H44" s="518">
        <f t="shared" si="0"/>
        <v>0.31448292961476154</v>
      </c>
    </row>
    <row r="45" spans="1:8" ht="66" customHeight="1" thickBot="1" x14ac:dyDescent="0.3">
      <c r="A45" s="188">
        <v>2020003630060</v>
      </c>
      <c r="B45" s="189" t="s">
        <v>1129</v>
      </c>
      <c r="C45" s="332">
        <f>'SGTO POAI 2022'!BF48</f>
        <v>94000000</v>
      </c>
      <c r="D45" s="471">
        <f t="shared" si="1"/>
        <v>1</v>
      </c>
      <c r="E45" s="338">
        <f>'SGTO POAI 2022'!BG48</f>
        <v>93699166</v>
      </c>
      <c r="F45" s="500">
        <f t="shared" si="2"/>
        <v>0.99679963829787233</v>
      </c>
      <c r="G45" s="512">
        <f>'SGTO POAI 2022'!BH48</f>
        <v>70262500</v>
      </c>
      <c r="H45" s="520">
        <f t="shared" si="0"/>
        <v>0.7498732699499161</v>
      </c>
    </row>
    <row r="46" spans="1:8" ht="66" customHeight="1" thickBot="1" x14ac:dyDescent="0.3">
      <c r="A46" s="183">
        <v>2020003630061</v>
      </c>
      <c r="B46" s="179" t="s">
        <v>1186</v>
      </c>
      <c r="C46" s="329">
        <f>'SGTO POAI 2022'!BF49</f>
        <v>40875872</v>
      </c>
      <c r="D46" s="468">
        <f t="shared" si="1"/>
        <v>1</v>
      </c>
      <c r="E46" s="336">
        <f>'SGTO POAI 2022'!BG49</f>
        <v>40580038</v>
      </c>
      <c r="F46" s="500">
        <f t="shared" si="2"/>
        <v>0.99276262534533821</v>
      </c>
      <c r="G46" s="512">
        <f>'SGTO POAI 2022'!BH49</f>
        <v>23433372</v>
      </c>
      <c r="H46" s="520">
        <f t="shared" si="0"/>
        <v>0.57746057310246979</v>
      </c>
    </row>
    <row r="47" spans="1:8" ht="66" customHeight="1" thickBot="1" x14ac:dyDescent="0.3">
      <c r="A47" s="183">
        <v>2020003630062</v>
      </c>
      <c r="B47" s="179" t="s">
        <v>1307</v>
      </c>
      <c r="C47" s="329">
        <f>'SGTO POAI 2022'!BF50</f>
        <v>46000000</v>
      </c>
      <c r="D47" s="468">
        <f t="shared" si="1"/>
        <v>1</v>
      </c>
      <c r="E47" s="336">
        <f>'SGTO POAI 2022'!BG50</f>
        <v>46000000</v>
      </c>
      <c r="F47" s="500">
        <f t="shared" si="2"/>
        <v>1</v>
      </c>
      <c r="G47" s="512">
        <f>'SGTO POAI 2022'!BH50</f>
        <v>30505000</v>
      </c>
      <c r="H47" s="520">
        <f t="shared" si="0"/>
        <v>0.66315217391304349</v>
      </c>
    </row>
    <row r="48" spans="1:8" ht="66" customHeight="1" thickBot="1" x14ac:dyDescent="0.3">
      <c r="A48" s="183">
        <v>2020003630063</v>
      </c>
      <c r="B48" s="180" t="s">
        <v>233</v>
      </c>
      <c r="C48" s="329">
        <f>'SGTO POAI 2022'!BF51</f>
        <v>51943002</v>
      </c>
      <c r="D48" s="468">
        <f t="shared" si="1"/>
        <v>1</v>
      </c>
      <c r="E48" s="336">
        <f>'SGTO POAI 2022'!BG51</f>
        <v>48233000</v>
      </c>
      <c r="F48" s="500">
        <f t="shared" si="2"/>
        <v>0.92857551821898932</v>
      </c>
      <c r="G48" s="512">
        <f>'SGTO POAI 2022'!BH51</f>
        <v>36172500</v>
      </c>
      <c r="H48" s="520">
        <f t="shared" si="0"/>
        <v>0.74995335143988551</v>
      </c>
    </row>
    <row r="49" spans="1:8" ht="66" customHeight="1" thickBot="1" x14ac:dyDescent="0.3">
      <c r="A49" s="183">
        <v>2020003630064</v>
      </c>
      <c r="B49" s="180" t="s">
        <v>240</v>
      </c>
      <c r="C49" s="329">
        <f>'SGTO POAI 2022'!BF52+'SGTO POAI 2022'!BF53+'SGTO POAI 2022'!BF54+'SGTO POAI 2022'!BF55+'SGTO POAI 2022'!BF56</f>
        <v>345144445</v>
      </c>
      <c r="D49" s="468">
        <f t="shared" si="1"/>
        <v>1</v>
      </c>
      <c r="E49" s="336">
        <f>'SGTO POAI 2022'!BG52+'SGTO POAI 2022'!BG53+'SGTO POAI 2022'!BG54+'SGTO POAI 2022'!BG55+'SGTO POAI 2022'!BG56</f>
        <v>245307859.75</v>
      </c>
      <c r="F49" s="500">
        <f t="shared" si="2"/>
        <v>0.71073970131548836</v>
      </c>
      <c r="G49" s="512">
        <f>'SGTO POAI 2022'!BH52+'SGTO POAI 2022'!BH53+'SGTO POAI 2022'!BH54+'SGTO POAI 2022'!BH55+'SGTO POAI 2022'!BH56</f>
        <v>171600345</v>
      </c>
      <c r="H49" s="520">
        <f t="shared" si="0"/>
        <v>0.6995305620247253</v>
      </c>
    </row>
    <row r="50" spans="1:8" ht="66" customHeight="1" thickBot="1" x14ac:dyDescent="0.3">
      <c r="A50" s="183">
        <v>2020003630065</v>
      </c>
      <c r="B50" s="180" t="s">
        <v>1308</v>
      </c>
      <c r="C50" s="329">
        <f>'SGTO POAI 2022'!BF57</f>
        <v>25735500</v>
      </c>
      <c r="D50" s="468">
        <f t="shared" si="1"/>
        <v>1</v>
      </c>
      <c r="E50" s="336">
        <f>'SGTO POAI 2022'!BG57</f>
        <v>21269611</v>
      </c>
      <c r="F50" s="500">
        <f t="shared" si="2"/>
        <v>0.82646970138524611</v>
      </c>
      <c r="G50" s="512">
        <f>'SGTO POAI 2022'!BH57</f>
        <v>7885000</v>
      </c>
      <c r="H50" s="520">
        <f t="shared" si="0"/>
        <v>0.37071669999042295</v>
      </c>
    </row>
    <row r="51" spans="1:8" ht="66" customHeight="1" thickBot="1" x14ac:dyDescent="0.3">
      <c r="A51" s="183">
        <v>2020003630066</v>
      </c>
      <c r="B51" s="180" t="s">
        <v>1309</v>
      </c>
      <c r="C51" s="329">
        <f>'SGTO POAI 2022'!BF58</f>
        <v>4814605909.1499996</v>
      </c>
      <c r="D51" s="468">
        <f t="shared" si="1"/>
        <v>1</v>
      </c>
      <c r="E51" s="336">
        <f>'SGTO POAI 2022'!BG58</f>
        <v>1935307585</v>
      </c>
      <c r="F51" s="500">
        <f t="shared" si="2"/>
        <v>0.40196593896127858</v>
      </c>
      <c r="G51" s="512">
        <f>'SGTO POAI 2022'!BH58</f>
        <v>406661118.84000003</v>
      </c>
      <c r="H51" s="520">
        <f t="shared" si="0"/>
        <v>0.21012738336371478</v>
      </c>
    </row>
    <row r="52" spans="1:8" ht="66" customHeight="1" x14ac:dyDescent="0.25">
      <c r="A52" s="183">
        <v>2020003630068</v>
      </c>
      <c r="B52" s="180" t="s">
        <v>1130</v>
      </c>
      <c r="C52" s="329">
        <f>'SGTO POAI 2022'!BF59</f>
        <v>36000000</v>
      </c>
      <c r="D52" s="468">
        <f t="shared" si="1"/>
        <v>1</v>
      </c>
      <c r="E52" s="336">
        <f>'SGTO POAI 2022'!BG59</f>
        <v>36000000</v>
      </c>
      <c r="F52" s="500">
        <f t="shared" si="2"/>
        <v>1</v>
      </c>
      <c r="G52" s="512">
        <f>'SGTO POAI 2022'!BH59</f>
        <v>29120000</v>
      </c>
      <c r="H52" s="520">
        <f t="shared" si="0"/>
        <v>0.80888888888888888</v>
      </c>
    </row>
    <row r="53" spans="1:8" ht="30.75" customHeight="1" thickBot="1" x14ac:dyDescent="0.3">
      <c r="A53" s="501">
        <v>3</v>
      </c>
      <c r="B53" s="497" t="s">
        <v>150</v>
      </c>
      <c r="C53" s="498">
        <f>SUM(C54:C55)</f>
        <v>603185523.94000006</v>
      </c>
      <c r="D53" s="506">
        <f t="shared" ref="D53" si="7">C53/C53</f>
        <v>1</v>
      </c>
      <c r="E53" s="498">
        <f>SUM(E54:E55)</f>
        <v>425064606.12</v>
      </c>
      <c r="F53" s="477">
        <f t="shared" si="2"/>
        <v>0.70469961437980722</v>
      </c>
      <c r="G53" s="515">
        <f>SUM(G54:G55)</f>
        <v>244267666</v>
      </c>
      <c r="H53" s="518">
        <f t="shared" si="0"/>
        <v>0.57466009280255337</v>
      </c>
    </row>
    <row r="54" spans="1:8" ht="66" customHeight="1" thickBot="1" x14ac:dyDescent="0.3">
      <c r="A54" s="183">
        <v>2020003630069</v>
      </c>
      <c r="B54" s="180" t="s">
        <v>270</v>
      </c>
      <c r="C54" s="329">
        <f>'SGTO POAI 2022'!BF60</f>
        <v>231212500</v>
      </c>
      <c r="D54" s="468">
        <f t="shared" si="1"/>
        <v>1</v>
      </c>
      <c r="E54" s="336">
        <f>'SGTO POAI 2022'!BG60</f>
        <v>153403607.12</v>
      </c>
      <c r="F54" s="500">
        <f t="shared" si="2"/>
        <v>0.66347454017408225</v>
      </c>
      <c r="G54" s="512">
        <f>'SGTO POAI 2022'!BH60</f>
        <v>56475000</v>
      </c>
      <c r="H54" s="520">
        <f t="shared" si="0"/>
        <v>0.36814649316441705</v>
      </c>
    </row>
    <row r="55" spans="1:8" ht="54.75" customHeight="1" x14ac:dyDescent="0.25">
      <c r="A55" s="183">
        <v>2020003630070</v>
      </c>
      <c r="B55" s="180" t="s">
        <v>275</v>
      </c>
      <c r="C55" s="329">
        <f>'SGTO POAI 2022'!BF61+'SGTO POAI 2022'!BF62+'SGTO POAI 2022'!BF63</f>
        <v>371973023.94</v>
      </c>
      <c r="D55" s="468">
        <f t="shared" si="1"/>
        <v>1</v>
      </c>
      <c r="E55" s="336">
        <f>'SGTO POAI 2022'!BG61+'SGTO POAI 2022'!BG62+'SGTO POAI 2022'!BG63</f>
        <v>271660999</v>
      </c>
      <c r="F55" s="500">
        <f t="shared" si="2"/>
        <v>0.73032446310896859</v>
      </c>
      <c r="G55" s="512">
        <f>'SGTO POAI 2022'!BH61+'SGTO POAI 2022'!BH62+'SGTO POAI 2022'!BH63</f>
        <v>187792666</v>
      </c>
      <c r="H55" s="520">
        <f t="shared" si="0"/>
        <v>0.69127576903300725</v>
      </c>
    </row>
    <row r="56" spans="1:8" ht="40.5" customHeight="1" thickBot="1" x14ac:dyDescent="0.3">
      <c r="A56" s="501">
        <v>4</v>
      </c>
      <c r="B56" s="505" t="s">
        <v>27</v>
      </c>
      <c r="C56" s="498">
        <f>SUM(C57:C58)</f>
        <v>443236782.15000004</v>
      </c>
      <c r="D56" s="506">
        <f t="shared" si="1"/>
        <v>1</v>
      </c>
      <c r="E56" s="498">
        <f>SUM(E57:E58)</f>
        <v>403692694</v>
      </c>
      <c r="F56" s="477">
        <f t="shared" si="2"/>
        <v>0.91078337867587544</v>
      </c>
      <c r="G56" s="515">
        <f>SUM(G57:G58)</f>
        <v>252169356</v>
      </c>
      <c r="H56" s="518">
        <f t="shared" si="0"/>
        <v>0.62465672465204436</v>
      </c>
    </row>
    <row r="57" spans="1:8" ht="66" customHeight="1" thickBot="1" x14ac:dyDescent="0.3">
      <c r="A57" s="183">
        <v>2020003630067</v>
      </c>
      <c r="B57" s="179" t="s">
        <v>286</v>
      </c>
      <c r="C57" s="329">
        <f>'SGTO POAI 2022'!BF64</f>
        <v>102522716.05</v>
      </c>
      <c r="D57" s="468">
        <f t="shared" si="1"/>
        <v>1</v>
      </c>
      <c r="E57" s="336">
        <f>'SGTO POAI 2022'!BG64</f>
        <v>84279166</v>
      </c>
      <c r="F57" s="500">
        <f t="shared" si="2"/>
        <v>0.8220535823387406</v>
      </c>
      <c r="G57" s="512">
        <f>'SGTO POAI 2022'!BH64</f>
        <v>47074000</v>
      </c>
      <c r="H57" s="520">
        <f t="shared" si="0"/>
        <v>0.55854847922913708</v>
      </c>
    </row>
    <row r="58" spans="1:8" ht="66" customHeight="1" thickBot="1" x14ac:dyDescent="0.3">
      <c r="A58" s="186">
        <v>2020003630071</v>
      </c>
      <c r="B58" s="190" t="s">
        <v>289</v>
      </c>
      <c r="C58" s="330">
        <f>'SGTO POAI 2022'!BF65+'SGTO POAI 2022'!BF66+'SGTO POAI 2022'!BF67+'SGTO POAI 2022'!BF68</f>
        <v>340714066.10000002</v>
      </c>
      <c r="D58" s="469">
        <f t="shared" si="1"/>
        <v>1</v>
      </c>
      <c r="E58" s="337">
        <f>'SGTO POAI 2022'!BG65+'SGTO POAI 2022'!BG66+'SGTO POAI 2022'!BG67+'SGTO POAI 2022'!BG68</f>
        <v>319413528</v>
      </c>
      <c r="F58" s="500">
        <f t="shared" si="2"/>
        <v>0.93748265710360112</v>
      </c>
      <c r="G58" s="512">
        <f>'SGTO POAI 2022'!BH65+'SGTO POAI 2022'!BH66+'SGTO POAI 2022'!BH67+'SGTO POAI 2022'!BH68</f>
        <v>205095356</v>
      </c>
      <c r="H58" s="520">
        <f t="shared" si="0"/>
        <v>0.64209977981896871</v>
      </c>
    </row>
    <row r="59" spans="1:8" ht="35.25" customHeight="1" thickBot="1" x14ac:dyDescent="0.3">
      <c r="A59" s="637" t="s">
        <v>1310</v>
      </c>
      <c r="B59" s="638"/>
      <c r="C59" s="487">
        <f>C60</f>
        <v>3469324679.8800001</v>
      </c>
      <c r="D59" s="470">
        <f t="shared" si="1"/>
        <v>1</v>
      </c>
      <c r="E59" s="487">
        <f>E60</f>
        <v>2770998627.04</v>
      </c>
      <c r="F59" s="448">
        <f t="shared" si="2"/>
        <v>0.79871412529075991</v>
      </c>
      <c r="G59" s="514">
        <f>G60</f>
        <v>1724548323.0700002</v>
      </c>
      <c r="H59" s="489">
        <f t="shared" si="0"/>
        <v>0.6223562531722272</v>
      </c>
    </row>
    <row r="60" spans="1:8" ht="27.75" customHeight="1" thickBot="1" x14ac:dyDescent="0.3">
      <c r="A60" s="502">
        <v>1</v>
      </c>
      <c r="B60" s="497" t="s">
        <v>112</v>
      </c>
      <c r="C60" s="498">
        <f>SUM(C61:C64)</f>
        <v>3469324679.8800001</v>
      </c>
      <c r="D60" s="506">
        <f t="shared" si="1"/>
        <v>1</v>
      </c>
      <c r="E60" s="498">
        <f>SUM(E61:E64)</f>
        <v>2770998627.04</v>
      </c>
      <c r="F60" s="477">
        <f t="shared" si="2"/>
        <v>0.79871412529075991</v>
      </c>
      <c r="G60" s="515">
        <f>SUM(G61:G64)</f>
        <v>1724548323.0700002</v>
      </c>
      <c r="H60" s="518">
        <f t="shared" si="0"/>
        <v>0.6223562531722272</v>
      </c>
    </row>
    <row r="61" spans="1:8" ht="47.25" customHeight="1" thickBot="1" x14ac:dyDescent="0.3">
      <c r="A61" s="188">
        <v>2020003630021</v>
      </c>
      <c r="B61" s="191" t="s">
        <v>302</v>
      </c>
      <c r="C61" s="332">
        <f>'SGTO POAI 2022'!BF69+'SGTO POAI 2022'!BF70+'SGTO POAI 2022'!BF71+'SGTO POAI 2022'!BF72+'SGTO POAI 2022'!BF73</f>
        <v>2186946464.79</v>
      </c>
      <c r="D61" s="471">
        <f t="shared" si="1"/>
        <v>1</v>
      </c>
      <c r="E61" s="338">
        <f>'SGTO POAI 2022'!BG69+'SGTO POAI 2022'!BG70+'SGTO POAI 2022'!BG71+'SGTO POAI 2022'!BG72+'SGTO POAI 2022'!BG73</f>
        <v>2029591705.04</v>
      </c>
      <c r="F61" s="500">
        <f t="shared" si="2"/>
        <v>0.92804818852065052</v>
      </c>
      <c r="G61" s="512">
        <f>'SGTO POAI 2022'!BH69+'SGTO POAI 2022'!BH70+'SGTO POAI 2022'!BH71+'SGTO POAI 2022'!BH72+'SGTO POAI 2022'!BH73</f>
        <v>1264075823.0700002</v>
      </c>
      <c r="H61" s="520">
        <f t="shared" si="0"/>
        <v>0.62282271844675641</v>
      </c>
    </row>
    <row r="62" spans="1:8" ht="66" customHeight="1" thickBot="1" x14ac:dyDescent="0.3">
      <c r="A62" s="183">
        <v>2020003630020</v>
      </c>
      <c r="B62" s="180" t="s">
        <v>314</v>
      </c>
      <c r="C62" s="329">
        <f>'SGTO POAI 2022'!BF74+'SGTO POAI 2022'!BF75</f>
        <v>560714445.05999994</v>
      </c>
      <c r="D62" s="468">
        <f t="shared" si="1"/>
        <v>1</v>
      </c>
      <c r="E62" s="336">
        <f>'SGTO POAI 2022'!BG74+'SGTO POAI 2022'!BG75</f>
        <v>467572500</v>
      </c>
      <c r="F62" s="500">
        <f t="shared" si="2"/>
        <v>0.83388702416961424</v>
      </c>
      <c r="G62" s="512">
        <f>'SGTO POAI 2022'!BH74+'SGTO POAI 2022'!BH75</f>
        <v>325817500</v>
      </c>
      <c r="H62" s="520">
        <f t="shared" si="0"/>
        <v>0.69682776467820495</v>
      </c>
    </row>
    <row r="63" spans="1:8" ht="66" customHeight="1" thickBot="1" x14ac:dyDescent="0.3">
      <c r="A63" s="183">
        <v>2020003630072</v>
      </c>
      <c r="B63" s="179" t="s">
        <v>322</v>
      </c>
      <c r="C63" s="329">
        <f>'SGTO POAI 2022'!BF76</f>
        <v>446769914.73000002</v>
      </c>
      <c r="D63" s="468">
        <f t="shared" si="1"/>
        <v>1</v>
      </c>
      <c r="E63" s="336">
        <f>'SGTO POAI 2022'!BG76</f>
        <v>18382500</v>
      </c>
      <c r="F63" s="500">
        <f t="shared" si="2"/>
        <v>4.1145339902999602E-2</v>
      </c>
      <c r="G63" s="512">
        <f>'SGTO POAI 2022'!BH76</f>
        <v>14782500</v>
      </c>
      <c r="H63" s="520">
        <f t="shared" si="0"/>
        <v>0.8041615667074663</v>
      </c>
    </row>
    <row r="64" spans="1:8" ht="66" customHeight="1" thickBot="1" x14ac:dyDescent="0.3">
      <c r="A64" s="183">
        <v>2020003630073</v>
      </c>
      <c r="B64" s="179" t="s">
        <v>328</v>
      </c>
      <c r="C64" s="329">
        <f>'SGTO POAI 2022'!BF77+'SGTO POAI 2022'!BF78</f>
        <v>274893855.30000001</v>
      </c>
      <c r="D64" s="468">
        <f t="shared" si="1"/>
        <v>1</v>
      </c>
      <c r="E64" s="336">
        <f>'SGTO POAI 2022'!BG77+'SGTO POAI 2022'!BG78</f>
        <v>255451922</v>
      </c>
      <c r="F64" s="500">
        <f t="shared" si="2"/>
        <v>0.92927476214853022</v>
      </c>
      <c r="G64" s="512">
        <f>'SGTO POAI 2022'!BH77+'SGTO POAI 2022'!BH78</f>
        <v>119872500</v>
      </c>
      <c r="H64" s="520">
        <f t="shared" si="0"/>
        <v>0.4692565985078006</v>
      </c>
    </row>
    <row r="65" spans="1:8" ht="33" customHeight="1" thickBot="1" x14ac:dyDescent="0.3">
      <c r="A65" s="637" t="s">
        <v>1311</v>
      </c>
      <c r="B65" s="638"/>
      <c r="C65" s="487">
        <f>C66</f>
        <v>2822271735.1100001</v>
      </c>
      <c r="D65" s="470">
        <f t="shared" si="1"/>
        <v>1</v>
      </c>
      <c r="E65" s="487">
        <f>E66</f>
        <v>1931766138</v>
      </c>
      <c r="F65" s="448">
        <f t="shared" si="2"/>
        <v>0.68447205631129915</v>
      </c>
      <c r="G65" s="514">
        <f>G66</f>
        <v>1095148341.8</v>
      </c>
      <c r="H65" s="489">
        <f t="shared" si="0"/>
        <v>0.56691559100100553</v>
      </c>
    </row>
    <row r="66" spans="1:8" ht="33" customHeight="1" thickBot="1" x14ac:dyDescent="0.3">
      <c r="A66" s="501">
        <v>2</v>
      </c>
      <c r="B66" s="497" t="s">
        <v>333</v>
      </c>
      <c r="C66" s="498">
        <f>SUM(C67:C71)</f>
        <v>2822271735.1100001</v>
      </c>
      <c r="D66" s="506">
        <f t="shared" si="1"/>
        <v>1</v>
      </c>
      <c r="E66" s="498">
        <f>SUM(E67:E71)</f>
        <v>1931766138</v>
      </c>
      <c r="F66" s="477">
        <f t="shared" si="2"/>
        <v>0.68447205631129915</v>
      </c>
      <c r="G66" s="515">
        <f>SUM(G67:G71)</f>
        <v>1095148341.8</v>
      </c>
      <c r="H66" s="518">
        <f t="shared" si="0"/>
        <v>0.56691559100100553</v>
      </c>
    </row>
    <row r="67" spans="1:8" ht="30" customHeight="1" thickBot="1" x14ac:dyDescent="0.3">
      <c r="A67" s="183">
        <v>2020003630074</v>
      </c>
      <c r="B67" s="179" t="s">
        <v>340</v>
      </c>
      <c r="C67" s="329">
        <f>'SGTO POAI 2022'!BF79+'SGTO POAI 2022'!BF80</f>
        <v>157180000</v>
      </c>
      <c r="D67" s="468">
        <f t="shared" si="1"/>
        <v>1</v>
      </c>
      <c r="E67" s="336">
        <f>'SGTO POAI 2022'!BG79+'SGTO POAI 2022'!BG80</f>
        <v>129786666</v>
      </c>
      <c r="F67" s="500">
        <f t="shared" si="2"/>
        <v>0.82571997709632272</v>
      </c>
      <c r="G67" s="512">
        <f>'SGTO POAI 2022'!BH79+'SGTO POAI 2022'!BH80</f>
        <v>82560000</v>
      </c>
      <c r="H67" s="520">
        <f t="shared" ref="H67:H99" si="8">G67/E67</f>
        <v>0.63612081691042133</v>
      </c>
    </row>
    <row r="68" spans="1:8" ht="66" customHeight="1" thickBot="1" x14ac:dyDescent="0.3">
      <c r="A68" s="183">
        <v>2020003630075</v>
      </c>
      <c r="B68" s="180" t="s">
        <v>347</v>
      </c>
      <c r="C68" s="329">
        <f>'SGTO POAI 2022'!BF81</f>
        <v>361919168</v>
      </c>
      <c r="D68" s="468">
        <f t="shared" si="1"/>
        <v>1</v>
      </c>
      <c r="E68" s="336">
        <f>'SGTO POAI 2022'!BG81</f>
        <v>319629999</v>
      </c>
      <c r="F68" s="500">
        <f t="shared" ref="F68:F133" si="9">E68/C68</f>
        <v>0.88315300006436792</v>
      </c>
      <c r="G68" s="512">
        <f>'SGTO POAI 2022'!BH81</f>
        <v>112305000</v>
      </c>
      <c r="H68" s="520">
        <f t="shared" si="8"/>
        <v>0.35135938538735223</v>
      </c>
    </row>
    <row r="69" spans="1:8" ht="66" customHeight="1" thickBot="1" x14ac:dyDescent="0.3">
      <c r="A69" s="183">
        <v>2020003630076</v>
      </c>
      <c r="B69" s="180" t="s">
        <v>1312</v>
      </c>
      <c r="C69" s="329">
        <f>'SGTO POAI 2022'!BF82+'SGTO POAI 2022'!BF83</f>
        <v>540268223</v>
      </c>
      <c r="D69" s="468">
        <f t="shared" si="1"/>
        <v>1</v>
      </c>
      <c r="E69" s="336">
        <f>'SGTO POAI 2022'!BG82+'SGTO POAI 2022'!BG83</f>
        <v>236328833</v>
      </c>
      <c r="F69" s="500">
        <f t="shared" si="9"/>
        <v>0.43742871214544854</v>
      </c>
      <c r="G69" s="512">
        <f>'SGTO POAI 2022'!BH82+'SGTO POAI 2022'!BH83</f>
        <v>177150000</v>
      </c>
      <c r="H69" s="520">
        <f t="shared" si="8"/>
        <v>0.74959114277858763</v>
      </c>
    </row>
    <row r="70" spans="1:8" ht="66" customHeight="1" thickBot="1" x14ac:dyDescent="0.3">
      <c r="A70" s="183">
        <v>2020003630077</v>
      </c>
      <c r="B70" s="179" t="s">
        <v>1313</v>
      </c>
      <c r="C70" s="329">
        <f>'SGTO POAI 2022'!BF84</f>
        <v>1446034344.1100001</v>
      </c>
      <c r="D70" s="468">
        <f t="shared" si="1"/>
        <v>1</v>
      </c>
      <c r="E70" s="336">
        <f>'SGTO POAI 2022'!BG84</f>
        <v>1036596844</v>
      </c>
      <c r="F70" s="500">
        <f t="shared" si="9"/>
        <v>0.71685492687104935</v>
      </c>
      <c r="G70" s="512">
        <f>'SGTO POAI 2022'!BH84</f>
        <v>629408341.79999995</v>
      </c>
      <c r="H70" s="520">
        <f t="shared" si="8"/>
        <v>0.60718720633110468</v>
      </c>
    </row>
    <row r="71" spans="1:8" ht="66" customHeight="1" thickBot="1" x14ac:dyDescent="0.3">
      <c r="A71" s="183">
        <v>2020003630078</v>
      </c>
      <c r="B71" s="179" t="s">
        <v>363</v>
      </c>
      <c r="C71" s="329">
        <f>'SGTO POAI 2022'!BF85+'SGTO POAI 2022'!BF86+'SGTO POAI 2022'!BF87+'SGTO POAI 2022'!BF88</f>
        <v>316870000</v>
      </c>
      <c r="D71" s="468">
        <f t="shared" si="1"/>
        <v>1</v>
      </c>
      <c r="E71" s="336">
        <f>'SGTO POAI 2022'!BG85+'SGTO POAI 2022'!BG86+'SGTO POAI 2022'!BG87+'SGTO POAI 2022'!BG88</f>
        <v>209423796</v>
      </c>
      <c r="F71" s="500">
        <f t="shared" si="9"/>
        <v>0.66091392684697192</v>
      </c>
      <c r="G71" s="512">
        <f>'SGTO POAI 2022'!BH85+'SGTO POAI 2022'!BH86+'SGTO POAI 2022'!BH87+'SGTO POAI 2022'!BH88</f>
        <v>93725000</v>
      </c>
      <c r="H71" s="520">
        <f t="shared" si="8"/>
        <v>0.44753748996126497</v>
      </c>
    </row>
    <row r="72" spans="1:8" ht="39" customHeight="1" thickBot="1" x14ac:dyDescent="0.3">
      <c r="A72" s="639" t="s">
        <v>1336</v>
      </c>
      <c r="B72" s="640"/>
      <c r="C72" s="487">
        <f>C73+C86</f>
        <v>4664234480.8400002</v>
      </c>
      <c r="D72" s="470">
        <f t="shared" si="1"/>
        <v>1</v>
      </c>
      <c r="E72" s="487">
        <f>E73+E86</f>
        <v>2692714330</v>
      </c>
      <c r="F72" s="448">
        <f t="shared" si="9"/>
        <v>0.57731109811508841</v>
      </c>
      <c r="G72" s="514">
        <f>G73+G86</f>
        <v>1562382499</v>
      </c>
      <c r="H72" s="489">
        <f t="shared" si="8"/>
        <v>0.58022586413761912</v>
      </c>
    </row>
    <row r="73" spans="1:8" ht="29.25" customHeight="1" thickBot="1" x14ac:dyDescent="0.3">
      <c r="A73" s="501">
        <v>2</v>
      </c>
      <c r="B73" s="497" t="s">
        <v>333</v>
      </c>
      <c r="C73" s="498">
        <f>SUM(C74:C85)</f>
        <v>2142638000.0000002</v>
      </c>
      <c r="D73" s="506">
        <f t="shared" ref="D73" si="10">C73/C73</f>
        <v>1</v>
      </c>
      <c r="E73" s="498">
        <f>SUM(E74:E85)</f>
        <v>1777519330.0000002</v>
      </c>
      <c r="F73" s="477">
        <f t="shared" si="9"/>
        <v>0.82959386046546357</v>
      </c>
      <c r="G73" s="515">
        <f>SUM(G74:G85)</f>
        <v>1008755166</v>
      </c>
      <c r="H73" s="518">
        <f t="shared" si="8"/>
        <v>0.56750728331038736</v>
      </c>
    </row>
    <row r="74" spans="1:8" ht="66" customHeight="1" thickBot="1" x14ac:dyDescent="0.3">
      <c r="A74" s="183">
        <v>2020003630079</v>
      </c>
      <c r="B74" s="180" t="s">
        <v>381</v>
      </c>
      <c r="C74" s="329">
        <f>'SGTO POAI 2022'!BF89+'SGTO POAI 2022'!BF90+'SGTO POAI 2022'!BF91</f>
        <v>743463387.37</v>
      </c>
      <c r="D74" s="468">
        <f t="shared" si="1"/>
        <v>1</v>
      </c>
      <c r="E74" s="336">
        <f>'SGTO POAI 2022'!BG89+'SGTO POAI 2022'!BG90+'SGTO POAI 2022'!BG91</f>
        <v>671505551.37</v>
      </c>
      <c r="F74" s="500">
        <f t="shared" si="9"/>
        <v>0.903212670290933</v>
      </c>
      <c r="G74" s="512">
        <f>'SGTO POAI 2022'!BH89+'SGTO POAI 2022'!BH90+'SGTO POAI 2022'!BH91</f>
        <v>426226053.37</v>
      </c>
      <c r="H74" s="520">
        <f t="shared" si="8"/>
        <v>0.63473198769603201</v>
      </c>
    </row>
    <row r="75" spans="1:8" ht="66" customHeight="1" thickBot="1" x14ac:dyDescent="0.3">
      <c r="A75" s="183">
        <v>2020003630023</v>
      </c>
      <c r="B75" s="180" t="s">
        <v>1169</v>
      </c>
      <c r="C75" s="329">
        <f>'SGTO POAI 2022'!BF92+'SGTO POAI 2022'!BF93+'SGTO POAI 2022'!BF94</f>
        <v>523237526.97000003</v>
      </c>
      <c r="D75" s="468">
        <f t="shared" si="1"/>
        <v>1</v>
      </c>
      <c r="E75" s="336">
        <f>'SGTO POAI 2022'!BG92+'SGTO POAI 2022'!BG93+'SGTO POAI 2022'!BG94</f>
        <v>484947526.97000003</v>
      </c>
      <c r="F75" s="500">
        <f t="shared" si="9"/>
        <v>0.92682099806232865</v>
      </c>
      <c r="G75" s="512">
        <f>'SGTO POAI 2022'!BH92+'SGTO POAI 2022'!BH93+'SGTO POAI 2022'!BH94</f>
        <v>229552526.97</v>
      </c>
      <c r="H75" s="520">
        <f t="shared" si="8"/>
        <v>0.47335539249837366</v>
      </c>
    </row>
    <row r="76" spans="1:8" ht="66" customHeight="1" thickBot="1" x14ac:dyDescent="0.3">
      <c r="A76" s="183">
        <v>2020003630080</v>
      </c>
      <c r="B76" s="180" t="s">
        <v>1314</v>
      </c>
      <c r="C76" s="329">
        <f>'SGTO POAI 2022'!BF95+'SGTO POAI 2022'!BF96</f>
        <v>233786585.66</v>
      </c>
      <c r="D76" s="468">
        <f t="shared" si="1"/>
        <v>1</v>
      </c>
      <c r="E76" s="336">
        <f>'SGTO POAI 2022'!BG95+'SGTO POAI 2022'!BG96</f>
        <v>152938251.66</v>
      </c>
      <c r="F76" s="500">
        <f t="shared" si="9"/>
        <v>0.65417890093326747</v>
      </c>
      <c r="G76" s="512">
        <f>'SGTO POAI 2022'!BH95+'SGTO POAI 2022'!BH96</f>
        <v>138756585.66</v>
      </c>
      <c r="H76" s="520">
        <f t="shared" si="8"/>
        <v>0.90727194899855701</v>
      </c>
    </row>
    <row r="77" spans="1:8" ht="66" customHeight="1" thickBot="1" x14ac:dyDescent="0.3">
      <c r="A77" s="183">
        <v>2020003630022</v>
      </c>
      <c r="B77" s="180" t="s">
        <v>407</v>
      </c>
      <c r="C77" s="329">
        <f>'SGTO POAI 2022'!BF97+'SGTO POAI 2022'!BF98</f>
        <v>105330000</v>
      </c>
      <c r="D77" s="468">
        <f t="shared" si="1"/>
        <v>1</v>
      </c>
      <c r="E77" s="336">
        <f>'SGTO POAI 2022'!BG97+'SGTO POAI 2022'!BG98</f>
        <v>97510000</v>
      </c>
      <c r="F77" s="500">
        <f t="shared" si="9"/>
        <v>0.92575714421342448</v>
      </c>
      <c r="G77" s="512">
        <f>'SGTO POAI 2022'!BH97+'SGTO POAI 2022'!BH98</f>
        <v>74185000</v>
      </c>
      <c r="H77" s="520">
        <f t="shared" si="8"/>
        <v>0.76079376474207772</v>
      </c>
    </row>
    <row r="78" spans="1:8" ht="66" customHeight="1" thickBot="1" x14ac:dyDescent="0.3">
      <c r="A78" s="183">
        <v>2020003630081</v>
      </c>
      <c r="B78" s="180" t="s">
        <v>415</v>
      </c>
      <c r="C78" s="329">
        <f>'SGTO POAI 2022'!BF99</f>
        <v>11540000</v>
      </c>
      <c r="D78" s="468">
        <f t="shared" si="1"/>
        <v>1</v>
      </c>
      <c r="E78" s="336">
        <f>'SGTO POAI 2022'!BG99</f>
        <v>8655000</v>
      </c>
      <c r="F78" s="500">
        <f t="shared" si="9"/>
        <v>0.75</v>
      </c>
      <c r="G78" s="512">
        <f>'SGTO POAI 2022'!BH99</f>
        <v>2885000</v>
      </c>
      <c r="H78" s="520">
        <f t="shared" si="8"/>
        <v>0.33333333333333331</v>
      </c>
    </row>
    <row r="79" spans="1:8" ht="66" customHeight="1" thickBot="1" x14ac:dyDescent="0.3">
      <c r="A79" s="183">
        <v>2020003630082</v>
      </c>
      <c r="B79" s="180" t="s">
        <v>421</v>
      </c>
      <c r="C79" s="329">
        <f>'SGTO POAI 2022'!BF100</f>
        <v>50795000</v>
      </c>
      <c r="D79" s="468">
        <f t="shared" si="1"/>
        <v>1</v>
      </c>
      <c r="E79" s="336">
        <f>'SGTO POAI 2022'!BG100</f>
        <v>39255000</v>
      </c>
      <c r="F79" s="500">
        <f t="shared" si="9"/>
        <v>0.77281228467368834</v>
      </c>
      <c r="G79" s="512">
        <f>'SGTO POAI 2022'!BH100</f>
        <v>30600000</v>
      </c>
      <c r="H79" s="520">
        <f t="shared" si="8"/>
        <v>0.77951853267099736</v>
      </c>
    </row>
    <row r="80" spans="1:8" ht="66" customHeight="1" thickBot="1" x14ac:dyDescent="0.3">
      <c r="A80" s="183">
        <v>2020003630025</v>
      </c>
      <c r="B80" s="180" t="s">
        <v>426</v>
      </c>
      <c r="C80" s="329">
        <f>'SGTO POAI 2022'!BF101+'SGTO POAI 2022'!BF102</f>
        <v>85117500</v>
      </c>
      <c r="D80" s="468">
        <f t="shared" si="1"/>
        <v>1</v>
      </c>
      <c r="E80" s="336">
        <f>'SGTO POAI 2022'!BG101+'SGTO POAI 2022'!BG102</f>
        <v>70485000</v>
      </c>
      <c r="F80" s="500">
        <f t="shared" si="9"/>
        <v>0.8280905806679002</v>
      </c>
      <c r="G80" s="512">
        <f>'SGTO POAI 2022'!BH101+'SGTO POAI 2022'!BH102</f>
        <v>51930000</v>
      </c>
      <c r="H80" s="520">
        <f t="shared" si="8"/>
        <v>0.73675250053202812</v>
      </c>
    </row>
    <row r="81" spans="1:8" ht="66" customHeight="1" thickBot="1" x14ac:dyDescent="0.3">
      <c r="A81" s="183">
        <v>2020003630083</v>
      </c>
      <c r="B81" s="180" t="s">
        <v>435</v>
      </c>
      <c r="C81" s="329">
        <f>'SGTO POAI 2022'!BF103</f>
        <v>145000000</v>
      </c>
      <c r="D81" s="468">
        <f t="shared" ref="D81:D152" si="11">C81/C81</f>
        <v>1</v>
      </c>
      <c r="E81" s="336">
        <f>'SGTO POAI 2022'!BG103</f>
        <v>137355000</v>
      </c>
      <c r="F81" s="500">
        <f t="shared" si="9"/>
        <v>0.94727586206896552</v>
      </c>
      <c r="G81" s="512">
        <f>'SGTO POAI 2022'!BH103</f>
        <v>6000000</v>
      </c>
      <c r="H81" s="520">
        <f t="shared" si="8"/>
        <v>4.3682428743038113E-2</v>
      </c>
    </row>
    <row r="82" spans="1:8" ht="66" customHeight="1" thickBot="1" x14ac:dyDescent="0.3">
      <c r="A82" s="183">
        <v>2020003630084</v>
      </c>
      <c r="B82" s="180" t="s">
        <v>1315</v>
      </c>
      <c r="C82" s="329">
        <f>'SGTO POAI 2022'!BF104</f>
        <v>43000000</v>
      </c>
      <c r="D82" s="468">
        <f t="shared" si="11"/>
        <v>1</v>
      </c>
      <c r="E82" s="336">
        <f>'SGTO POAI 2022'!BG104</f>
        <v>43000000</v>
      </c>
      <c r="F82" s="500">
        <f t="shared" si="9"/>
        <v>1</v>
      </c>
      <c r="G82" s="512">
        <f>'SGTO POAI 2022'!BH104</f>
        <v>0</v>
      </c>
      <c r="H82" s="520">
        <f t="shared" si="8"/>
        <v>0</v>
      </c>
    </row>
    <row r="83" spans="1:8" ht="66" customHeight="1" thickBot="1" x14ac:dyDescent="0.3">
      <c r="A83" s="183">
        <v>2020003630026</v>
      </c>
      <c r="B83" s="180" t="s">
        <v>445</v>
      </c>
      <c r="C83" s="329">
        <f>'SGTO POAI 2022'!BF105+'SGTO POAI 2022'!BF106</f>
        <v>47810000</v>
      </c>
      <c r="D83" s="468">
        <f t="shared" si="11"/>
        <v>1</v>
      </c>
      <c r="E83" s="336">
        <f>'SGTO POAI 2022'!BG105+'SGTO POAI 2022'!BG106</f>
        <v>26310000</v>
      </c>
      <c r="F83" s="500">
        <f t="shared" si="9"/>
        <v>0.55030328383183436</v>
      </c>
      <c r="G83" s="512">
        <f>'SGTO POAI 2022'!BH105+'SGTO POAI 2022'!BH106</f>
        <v>17310000</v>
      </c>
      <c r="H83" s="520">
        <f t="shared" si="8"/>
        <v>0.65792474344355756</v>
      </c>
    </row>
    <row r="84" spans="1:8" ht="66" customHeight="1" thickBot="1" x14ac:dyDescent="0.3">
      <c r="A84" s="183">
        <v>2020003630024</v>
      </c>
      <c r="B84" s="180" t="s">
        <v>1170</v>
      </c>
      <c r="C84" s="329">
        <f>'SGTO POAI 2022'!BF107+'SGTO POAI 2022'!BF108+'SGTO POAI 2022'!BF109</f>
        <v>108000000</v>
      </c>
      <c r="D84" s="468">
        <f t="shared" si="11"/>
        <v>1</v>
      </c>
      <c r="E84" s="336">
        <f>'SGTO POAI 2022'!BG107+'SGTO POAI 2022'!BG108+'SGTO POAI 2022'!BG109</f>
        <v>0</v>
      </c>
      <c r="F84" s="500">
        <f t="shared" si="9"/>
        <v>0</v>
      </c>
      <c r="G84" s="512">
        <f>'SGTO POAI 2022'!BH107+'SGTO POAI 2022'!BH108+'SGTO POAI 2022'!BH109</f>
        <v>0</v>
      </c>
      <c r="H84" s="520" t="e">
        <f t="shared" si="8"/>
        <v>#DIV/0!</v>
      </c>
    </row>
    <row r="85" spans="1:8" ht="66" customHeight="1" x14ac:dyDescent="0.25">
      <c r="A85" s="183">
        <v>2020003630085</v>
      </c>
      <c r="B85" s="180" t="s">
        <v>1316</v>
      </c>
      <c r="C85" s="329">
        <f>'SGTO POAI 2022'!BF110+'SGTO POAI 2022'!BF111</f>
        <v>45558000</v>
      </c>
      <c r="D85" s="468">
        <f t="shared" si="11"/>
        <v>1</v>
      </c>
      <c r="E85" s="336">
        <f>'SGTO POAI 2022'!BG110+'SGTO POAI 2022'!BG111</f>
        <v>45558000</v>
      </c>
      <c r="F85" s="500">
        <f t="shared" si="9"/>
        <v>1</v>
      </c>
      <c r="G85" s="512">
        <f>'SGTO POAI 2022'!BH110+'SGTO POAI 2022'!BH111</f>
        <v>31310000</v>
      </c>
      <c r="H85" s="520">
        <f t="shared" si="8"/>
        <v>0.68725580578603096</v>
      </c>
    </row>
    <row r="86" spans="1:8" ht="36.75" customHeight="1" thickBot="1" x14ac:dyDescent="0.3">
      <c r="A86" s="501">
        <v>3</v>
      </c>
      <c r="B86" s="505" t="s">
        <v>150</v>
      </c>
      <c r="C86" s="498">
        <f>SUM(C87:C93)</f>
        <v>2521596480.8400002</v>
      </c>
      <c r="D86" s="506">
        <f t="shared" si="11"/>
        <v>1</v>
      </c>
      <c r="E86" s="498">
        <f>SUM(E87:E93)</f>
        <v>915195000</v>
      </c>
      <c r="F86" s="477">
        <f t="shared" si="9"/>
        <v>0.36294268609350538</v>
      </c>
      <c r="G86" s="515">
        <f>SUM(G87:G93)</f>
        <v>553627333</v>
      </c>
      <c r="H86" s="518">
        <f t="shared" si="8"/>
        <v>0.60492827539486116</v>
      </c>
    </row>
    <row r="87" spans="1:8" ht="66" customHeight="1" thickBot="1" x14ac:dyDescent="0.3">
      <c r="A87" s="183">
        <v>2020003630027</v>
      </c>
      <c r="B87" s="179" t="s">
        <v>470</v>
      </c>
      <c r="C87" s="329">
        <f>'SGTO POAI 2022'!BF112+'SGTO POAI 2022'!BF113</f>
        <v>112775000</v>
      </c>
      <c r="D87" s="468">
        <f t="shared" si="11"/>
        <v>1</v>
      </c>
      <c r="E87" s="336">
        <f>'SGTO POAI 2022'!BG112+'SGTO POAI 2022'!BG113</f>
        <v>51290000</v>
      </c>
      <c r="F87" s="500">
        <f t="shared" si="9"/>
        <v>0.45479937929505654</v>
      </c>
      <c r="G87" s="512">
        <f>'SGTO POAI 2022'!BH112+'SGTO POAI 2022'!BH113</f>
        <v>33095000</v>
      </c>
      <c r="H87" s="520">
        <f t="shared" si="8"/>
        <v>0.64525248586469097</v>
      </c>
    </row>
    <row r="88" spans="1:8" ht="66" customHeight="1" thickBot="1" x14ac:dyDescent="0.3">
      <c r="A88" s="183">
        <v>2020003630086</v>
      </c>
      <c r="B88" s="180" t="s">
        <v>476</v>
      </c>
      <c r="C88" s="329">
        <f>'SGTO POAI 2022'!BF114+'SGTO POAI 2022'!BF115+'SGTO POAI 2022'!BF116</f>
        <v>1786476480.8400002</v>
      </c>
      <c r="D88" s="468">
        <f t="shared" si="11"/>
        <v>1</v>
      </c>
      <c r="E88" s="336">
        <f>'SGTO POAI 2022'!BG114+'SGTO POAI 2022'!BG115+'SGTO POAI 2022'!BG116</f>
        <v>496445000</v>
      </c>
      <c r="F88" s="500">
        <f t="shared" si="9"/>
        <v>0.27789058816300333</v>
      </c>
      <c r="G88" s="512">
        <f>'SGTO POAI 2022'!BH114+'SGTO POAI 2022'!BH115+'SGTO POAI 2022'!BH116</f>
        <v>285992333</v>
      </c>
      <c r="H88" s="520">
        <f t="shared" si="8"/>
        <v>0.57608059905931175</v>
      </c>
    </row>
    <row r="89" spans="1:8" ht="45" customHeight="1" thickBot="1" x14ac:dyDescent="0.3">
      <c r="A89" s="183">
        <v>2020003630028</v>
      </c>
      <c r="B89" s="180" t="s">
        <v>492</v>
      </c>
      <c r="C89" s="329">
        <f>'SGTO POAI 2022'!BF117</f>
        <v>51395000</v>
      </c>
      <c r="D89" s="468">
        <f t="shared" si="11"/>
        <v>1</v>
      </c>
      <c r="E89" s="336">
        <f>'SGTO POAI 2022'!BG117</f>
        <v>45900000</v>
      </c>
      <c r="F89" s="500">
        <f t="shared" si="9"/>
        <v>0.89308298472614067</v>
      </c>
      <c r="G89" s="512">
        <f>'SGTO POAI 2022'!BH117</f>
        <v>33830000</v>
      </c>
      <c r="H89" s="520">
        <f t="shared" si="8"/>
        <v>0.73703703703703705</v>
      </c>
    </row>
    <row r="90" spans="1:8" ht="67.5" customHeight="1" thickBot="1" x14ac:dyDescent="0.3">
      <c r="A90" s="183">
        <v>2020003630087</v>
      </c>
      <c r="B90" s="180" t="s">
        <v>496</v>
      </c>
      <c r="C90" s="329">
        <f>'SGTO POAI 2022'!BF118</f>
        <v>68980000</v>
      </c>
      <c r="D90" s="468">
        <f t="shared" si="11"/>
        <v>1</v>
      </c>
      <c r="E90" s="336">
        <f>'SGTO POAI 2022'!BG118</f>
        <v>50282500</v>
      </c>
      <c r="F90" s="500">
        <f t="shared" si="9"/>
        <v>0.72894317193389391</v>
      </c>
      <c r="G90" s="512">
        <f>'SGTO POAI 2022'!BH118</f>
        <v>29930000</v>
      </c>
      <c r="H90" s="520">
        <f t="shared" si="8"/>
        <v>0.59523691145030577</v>
      </c>
    </row>
    <row r="91" spans="1:8" ht="61.5" customHeight="1" thickBot="1" x14ac:dyDescent="0.3">
      <c r="A91" s="183">
        <v>2020003630029</v>
      </c>
      <c r="B91" s="180" t="s">
        <v>503</v>
      </c>
      <c r="C91" s="329">
        <f>'SGTO POAI 2022'!BF119</f>
        <v>136200000</v>
      </c>
      <c r="D91" s="468">
        <f t="shared" si="11"/>
        <v>1</v>
      </c>
      <c r="E91" s="336">
        <f>'SGTO POAI 2022'!BG119</f>
        <v>72800000</v>
      </c>
      <c r="F91" s="500">
        <f t="shared" si="9"/>
        <v>0.53450807635829667</v>
      </c>
      <c r="G91" s="512">
        <f>'SGTO POAI 2022'!BH119</f>
        <v>62900000</v>
      </c>
      <c r="H91" s="520">
        <f t="shared" si="8"/>
        <v>0.86401098901098905</v>
      </c>
    </row>
    <row r="92" spans="1:8" ht="66" customHeight="1" thickBot="1" x14ac:dyDescent="0.3">
      <c r="A92" s="183">
        <v>2020003630030</v>
      </c>
      <c r="B92" s="180" t="s">
        <v>1183</v>
      </c>
      <c r="C92" s="329">
        <f>'SGTO POAI 2022'!BF120+'SGTO POAI 2022'!BF121+'SGTO POAI 2022'!BF122</f>
        <v>167770000</v>
      </c>
      <c r="D92" s="468">
        <f t="shared" si="11"/>
        <v>1</v>
      </c>
      <c r="E92" s="336">
        <f>'SGTO POAI 2022'!BG120+'SGTO POAI 2022'!BG121+'SGTO POAI 2022'!BG122</f>
        <v>93080000</v>
      </c>
      <c r="F92" s="500">
        <f t="shared" si="9"/>
        <v>0.55480717649162548</v>
      </c>
      <c r="G92" s="512">
        <f>'SGTO POAI 2022'!BH120+'SGTO POAI 2022'!BH121+'SGTO POAI 2022'!BH122</f>
        <v>10810000</v>
      </c>
      <c r="H92" s="520">
        <f t="shared" si="8"/>
        <v>0.11613665663944994</v>
      </c>
    </row>
    <row r="93" spans="1:8" ht="39.75" customHeight="1" thickBot="1" x14ac:dyDescent="0.3">
      <c r="A93" s="183">
        <v>2020003630088</v>
      </c>
      <c r="B93" s="180" t="s">
        <v>1184</v>
      </c>
      <c r="C93" s="329">
        <f>'SGTO POAI 2022'!BF123+'SGTO POAI 2022'!BF124+'SGTO POAI 2022'!BF125</f>
        <v>198000000</v>
      </c>
      <c r="D93" s="468">
        <f t="shared" si="11"/>
        <v>1</v>
      </c>
      <c r="E93" s="336">
        <f>'SGTO POAI 2022'!BG123+'SGTO POAI 2022'!BG124+'SGTO POAI 2022'!BG125</f>
        <v>105397500</v>
      </c>
      <c r="F93" s="500">
        <f t="shared" si="9"/>
        <v>0.5323106060606061</v>
      </c>
      <c r="G93" s="512">
        <f>'SGTO POAI 2022'!BH123+'SGTO POAI 2022'!BH124+'SGTO POAI 2022'!BH125</f>
        <v>97070000</v>
      </c>
      <c r="H93" s="520">
        <f t="shared" si="8"/>
        <v>0.92098958703954081</v>
      </c>
    </row>
    <row r="94" spans="1:8" ht="31.5" customHeight="1" thickBot="1" x14ac:dyDescent="0.3">
      <c r="A94" s="637" t="s">
        <v>1512</v>
      </c>
      <c r="B94" s="638"/>
      <c r="C94" s="487">
        <f>C95</f>
        <v>2272052800</v>
      </c>
      <c r="D94" s="470">
        <f t="shared" si="11"/>
        <v>1</v>
      </c>
      <c r="E94" s="487">
        <f>E95</f>
        <v>1635737537</v>
      </c>
      <c r="F94" s="448">
        <f t="shared" si="9"/>
        <v>0.71993817089109902</v>
      </c>
      <c r="G94" s="514">
        <f>G95</f>
        <v>985433386</v>
      </c>
      <c r="H94" s="489">
        <f t="shared" si="8"/>
        <v>0.60243979471628395</v>
      </c>
    </row>
    <row r="95" spans="1:8" ht="29.25" customHeight="1" thickBot="1" x14ac:dyDescent="0.3">
      <c r="A95" s="508">
        <v>4</v>
      </c>
      <c r="B95" s="505" t="s">
        <v>27</v>
      </c>
      <c r="C95" s="498">
        <f>SUM(C96:C98)</f>
        <v>2272052800</v>
      </c>
      <c r="D95" s="506">
        <f t="shared" si="11"/>
        <v>1</v>
      </c>
      <c r="E95" s="498">
        <f>SUM(E96:E98)</f>
        <v>1635737537</v>
      </c>
      <c r="F95" s="477">
        <f t="shared" si="9"/>
        <v>0.71993817089109902</v>
      </c>
      <c r="G95" s="515">
        <f>SUM(G96:G98)</f>
        <v>985433386</v>
      </c>
      <c r="H95" s="518">
        <f t="shared" si="8"/>
        <v>0.60243979471628395</v>
      </c>
    </row>
    <row r="96" spans="1:8" ht="66" customHeight="1" thickBot="1" x14ac:dyDescent="0.3">
      <c r="A96" s="183">
        <v>2021003630005</v>
      </c>
      <c r="B96" s="181" t="s">
        <v>532</v>
      </c>
      <c r="C96" s="329">
        <f>'SGTO POAI 2022'!BF126</f>
        <v>281200000</v>
      </c>
      <c r="D96" s="468">
        <f t="shared" si="11"/>
        <v>1</v>
      </c>
      <c r="E96" s="336">
        <f>'SGTO POAI 2022'!BG126</f>
        <v>235795000</v>
      </c>
      <c r="F96" s="500">
        <f t="shared" si="9"/>
        <v>0.83853129445234709</v>
      </c>
      <c r="G96" s="512">
        <f>'SGTO POAI 2022'!BH126</f>
        <v>176531500</v>
      </c>
      <c r="H96" s="520">
        <f t="shared" si="8"/>
        <v>0.74866515405330902</v>
      </c>
    </row>
    <row r="97" spans="1:8" ht="66" customHeight="1" thickBot="1" x14ac:dyDescent="0.3">
      <c r="A97" s="183">
        <v>2020003630090</v>
      </c>
      <c r="B97" s="179" t="s">
        <v>536</v>
      </c>
      <c r="C97" s="329">
        <f>'SGTO POAI 2022'!BF127</f>
        <v>1719400000</v>
      </c>
      <c r="D97" s="468">
        <f t="shared" si="11"/>
        <v>1</v>
      </c>
      <c r="E97" s="336">
        <f>'SGTO POAI 2022'!BG127</f>
        <v>1176256705</v>
      </c>
      <c r="F97" s="500">
        <f t="shared" si="9"/>
        <v>0.68410881993718742</v>
      </c>
      <c r="G97" s="512">
        <f>'SGTO POAI 2022'!BH127</f>
        <v>654601886</v>
      </c>
      <c r="H97" s="520">
        <f t="shared" si="8"/>
        <v>0.55651277754034145</v>
      </c>
    </row>
    <row r="98" spans="1:8" ht="66" customHeight="1" thickBot="1" x14ac:dyDescent="0.3">
      <c r="A98" s="183">
        <v>2020003630031</v>
      </c>
      <c r="B98" s="180" t="s">
        <v>540</v>
      </c>
      <c r="C98" s="329">
        <f>'SGTO POAI 2022'!BF128</f>
        <v>271452800</v>
      </c>
      <c r="D98" s="468">
        <f t="shared" si="11"/>
        <v>1</v>
      </c>
      <c r="E98" s="336">
        <f>'SGTO POAI 2022'!BG128</f>
        <v>223685832</v>
      </c>
      <c r="F98" s="500">
        <f t="shared" si="9"/>
        <v>0.82403214113098111</v>
      </c>
      <c r="G98" s="512">
        <f>'SGTO POAI 2022'!BH128</f>
        <v>154300000</v>
      </c>
      <c r="H98" s="520">
        <f t="shared" si="8"/>
        <v>0.68980676433722454</v>
      </c>
    </row>
    <row r="99" spans="1:8" ht="35.25" customHeight="1" thickBot="1" x14ac:dyDescent="0.3">
      <c r="A99" s="637" t="s">
        <v>1317</v>
      </c>
      <c r="B99" s="638"/>
      <c r="C99" s="487">
        <f>C100+C109</f>
        <v>209016995039.20996</v>
      </c>
      <c r="D99" s="470">
        <f t="shared" si="11"/>
        <v>1</v>
      </c>
      <c r="E99" s="487">
        <f>E100+E109</f>
        <v>143507674122.94</v>
      </c>
      <c r="F99" s="448">
        <f t="shared" si="9"/>
        <v>0.68658375887577505</v>
      </c>
      <c r="G99" s="514">
        <f>G100+G109</f>
        <v>131392622465.19</v>
      </c>
      <c r="H99" s="489">
        <f t="shared" si="8"/>
        <v>0.91557906758790275</v>
      </c>
    </row>
    <row r="100" spans="1:8" ht="33.75" customHeight="1" thickBot="1" x14ac:dyDescent="0.3">
      <c r="A100" s="502">
        <v>1</v>
      </c>
      <c r="B100" s="497" t="s">
        <v>112</v>
      </c>
      <c r="C100" s="498">
        <f>SUM(C101:C108)</f>
        <v>208999480361.20996</v>
      </c>
      <c r="D100" s="506">
        <f t="shared" si="11"/>
        <v>1</v>
      </c>
      <c r="E100" s="498">
        <f>SUM(E101:E108)</f>
        <v>143507674122.94</v>
      </c>
      <c r="F100" s="477">
        <f t="shared" si="9"/>
        <v>0.68664129630809767</v>
      </c>
      <c r="G100" s="515">
        <f>SUM(G101:G108)</f>
        <v>131392622465.19</v>
      </c>
      <c r="H100" s="518">
        <f>G100/E100</f>
        <v>0.91557906758790275</v>
      </c>
    </row>
    <row r="101" spans="1:8" ht="66" customHeight="1" thickBot="1" x14ac:dyDescent="0.3">
      <c r="A101" s="183">
        <v>2020003630091</v>
      </c>
      <c r="B101" s="179" t="s">
        <v>546</v>
      </c>
      <c r="C101" s="329">
        <f>SUM('SGTO POAI 2022'!BF129:BF138)</f>
        <v>17915823336.239998</v>
      </c>
      <c r="D101" s="468">
        <f t="shared" si="11"/>
        <v>1</v>
      </c>
      <c r="E101" s="336">
        <f>SUM('SGTO POAI 2022'!BG129:BG138)</f>
        <v>14705980226.68</v>
      </c>
      <c r="F101" s="500">
        <f t="shared" si="9"/>
        <v>0.82083753287145056</v>
      </c>
      <c r="G101" s="512">
        <f>SUM('SGTO POAI 2022'!BH129:BH138)</f>
        <v>7743997463.0500002</v>
      </c>
      <c r="H101" s="520">
        <f t="shared" ref="H101:H169" si="12">G101/E101</f>
        <v>0.52658832282397772</v>
      </c>
    </row>
    <row r="102" spans="1:8" ht="66" customHeight="1" thickBot="1" x14ac:dyDescent="0.3">
      <c r="A102" s="183">
        <v>2020003630092</v>
      </c>
      <c r="B102" s="179" t="s">
        <v>574</v>
      </c>
      <c r="C102" s="329">
        <f>SUM('SGTO POAI 2022'!BF139:BF140)</f>
        <v>23080000</v>
      </c>
      <c r="D102" s="468">
        <f t="shared" si="11"/>
        <v>1</v>
      </c>
      <c r="E102" s="336">
        <f>SUM('SGTO POAI 2022'!BG139:BG140)</f>
        <v>23080000</v>
      </c>
      <c r="F102" s="500">
        <f t="shared" si="9"/>
        <v>1</v>
      </c>
      <c r="G102" s="512">
        <f>SUM('SGTO POAI 2022'!BH139:BH140)</f>
        <v>17310000</v>
      </c>
      <c r="H102" s="520">
        <f t="shared" si="12"/>
        <v>0.75</v>
      </c>
    </row>
    <row r="103" spans="1:8" ht="48" customHeight="1" thickBot="1" x14ac:dyDescent="0.3">
      <c r="A103" s="183">
        <v>2020003630093</v>
      </c>
      <c r="B103" s="179" t="s">
        <v>582</v>
      </c>
      <c r="C103" s="329">
        <f>SUM('SGTO POAI 2022'!BF141:BF150)</f>
        <v>167540000</v>
      </c>
      <c r="D103" s="468">
        <f t="shared" si="11"/>
        <v>1</v>
      </c>
      <c r="E103" s="336">
        <f>SUM('SGTO POAI 2022'!BG141:BG150)</f>
        <v>70096500</v>
      </c>
      <c r="F103" s="500">
        <f t="shared" si="9"/>
        <v>0.41838665393338903</v>
      </c>
      <c r="G103" s="512">
        <f>SUM('SGTO POAI 2022'!BH141:BH150)</f>
        <v>53845000</v>
      </c>
      <c r="H103" s="520">
        <f t="shared" si="12"/>
        <v>0.76815532872539993</v>
      </c>
    </row>
    <row r="104" spans="1:8" ht="66" customHeight="1" thickBot="1" x14ac:dyDescent="0.3">
      <c r="A104" s="183">
        <v>2020003630016</v>
      </c>
      <c r="B104" s="179" t="s">
        <v>607</v>
      </c>
      <c r="C104" s="329">
        <f>SUM('SGTO POAI 2022'!BF151:BF154)</f>
        <v>190063860129.96997</v>
      </c>
      <c r="D104" s="468">
        <f t="shared" si="11"/>
        <v>1</v>
      </c>
      <c r="E104" s="336">
        <f>SUM('SGTO POAI 2022'!BG151:BG154)</f>
        <v>128013059361.33</v>
      </c>
      <c r="F104" s="500">
        <f t="shared" si="9"/>
        <v>0.67352656772198449</v>
      </c>
      <c r="G104" s="512">
        <f>SUM('SGTO POAI 2022'!BH151:BH154)</f>
        <v>123446782173.14</v>
      </c>
      <c r="H104" s="520">
        <f t="shared" si="12"/>
        <v>0.9643295987849082</v>
      </c>
    </row>
    <row r="105" spans="1:8" ht="66" customHeight="1" thickBot="1" x14ac:dyDescent="0.3">
      <c r="A105" s="183">
        <v>2020003630094</v>
      </c>
      <c r="B105" s="179" t="s">
        <v>617</v>
      </c>
      <c r="C105" s="329">
        <f>SUM('SGTO POAI 2022'!BF155:BF157)</f>
        <v>621015941</v>
      </c>
      <c r="D105" s="468">
        <f t="shared" si="11"/>
        <v>1</v>
      </c>
      <c r="E105" s="336">
        <f>SUM('SGTO POAI 2022'!BG155:BG157)</f>
        <v>575965205.92999995</v>
      </c>
      <c r="F105" s="500">
        <f t="shared" si="9"/>
        <v>0.92745639508471156</v>
      </c>
      <c r="G105" s="512">
        <f>SUM('SGTO POAI 2022'!BH155:BH157)</f>
        <v>20195000</v>
      </c>
      <c r="H105" s="520">
        <f t="shared" si="12"/>
        <v>3.5062881910360402E-2</v>
      </c>
    </row>
    <row r="106" spans="1:8" ht="66" customHeight="1" thickBot="1" x14ac:dyDescent="0.3">
      <c r="A106" s="183">
        <v>2020003630015</v>
      </c>
      <c r="B106" s="179" t="s">
        <v>626</v>
      </c>
      <c r="C106" s="329">
        <f>SUM('SGTO POAI 2022'!BF158:BF160)</f>
        <v>25000000</v>
      </c>
      <c r="D106" s="468">
        <f t="shared" si="11"/>
        <v>1</v>
      </c>
      <c r="E106" s="336">
        <f>SUM('SGTO POAI 2022'!BG158:BG160)</f>
        <v>17655000</v>
      </c>
      <c r="F106" s="500">
        <f t="shared" si="9"/>
        <v>0.70620000000000005</v>
      </c>
      <c r="G106" s="512">
        <f>SUM('SGTO POAI 2022'!BH158:BH160)</f>
        <v>17655000</v>
      </c>
      <c r="H106" s="520">
        <f t="shared" si="12"/>
        <v>1</v>
      </c>
    </row>
    <row r="107" spans="1:8" ht="66" customHeight="1" thickBot="1" x14ac:dyDescent="0.3">
      <c r="A107" s="183">
        <v>2020003630095</v>
      </c>
      <c r="B107" s="179" t="s">
        <v>632</v>
      </c>
      <c r="C107" s="329">
        <f>SUM('SGTO POAI 2022'!BF161:BF162)</f>
        <v>33149600</v>
      </c>
      <c r="D107" s="468">
        <f t="shared" si="11"/>
        <v>1</v>
      </c>
      <c r="E107" s="336">
        <f>SUM('SGTO POAI 2022'!BG161:BG162)</f>
        <v>27000000</v>
      </c>
      <c r="F107" s="500">
        <f t="shared" si="9"/>
        <v>0.81448946593624061</v>
      </c>
      <c r="G107" s="512">
        <f>SUM('SGTO POAI 2022'!BH161:BH162)</f>
        <v>18000000</v>
      </c>
      <c r="H107" s="520">
        <f t="shared" si="12"/>
        <v>0.66666666666666663</v>
      </c>
    </row>
    <row r="108" spans="1:8" ht="66" customHeight="1" x14ac:dyDescent="0.25">
      <c r="A108" s="183">
        <v>2020003630096</v>
      </c>
      <c r="B108" s="180" t="s">
        <v>640</v>
      </c>
      <c r="C108" s="329">
        <f>'SGTO POAI 2022'!BF163</f>
        <v>150011354</v>
      </c>
      <c r="D108" s="468">
        <f t="shared" si="11"/>
        <v>1</v>
      </c>
      <c r="E108" s="336">
        <f>'SGTO POAI 2022'!BG163</f>
        <v>74837829</v>
      </c>
      <c r="F108" s="500">
        <f t="shared" si="9"/>
        <v>0.49888109802675334</v>
      </c>
      <c r="G108" s="512">
        <f>'SGTO POAI 2022'!BH163</f>
        <v>74837829</v>
      </c>
      <c r="H108" s="520">
        <f t="shared" si="12"/>
        <v>1</v>
      </c>
    </row>
    <row r="109" spans="1:8" ht="36.75" customHeight="1" thickBot="1" x14ac:dyDescent="0.3">
      <c r="A109" s="501">
        <v>2</v>
      </c>
      <c r="B109" s="497" t="s">
        <v>333</v>
      </c>
      <c r="C109" s="498">
        <f>C110</f>
        <v>17514678</v>
      </c>
      <c r="D109" s="506">
        <f t="shared" si="11"/>
        <v>1</v>
      </c>
      <c r="E109" s="498">
        <f>E110</f>
        <v>0</v>
      </c>
      <c r="F109" s="477">
        <f t="shared" ref="F109" si="13">E109/C109</f>
        <v>0</v>
      </c>
      <c r="G109" s="515">
        <f>G110</f>
        <v>0</v>
      </c>
      <c r="H109" s="518">
        <v>0</v>
      </c>
    </row>
    <row r="110" spans="1:8" ht="66" customHeight="1" thickBot="1" x14ac:dyDescent="0.3">
      <c r="A110" s="183">
        <v>2020003630097</v>
      </c>
      <c r="B110" s="179" t="s">
        <v>647</v>
      </c>
      <c r="C110" s="329">
        <f>'SGTO POAI 2022'!BF164</f>
        <v>17514678</v>
      </c>
      <c r="D110" s="468">
        <f t="shared" si="11"/>
        <v>1</v>
      </c>
      <c r="E110" s="336">
        <f>'SGTO POAI 2022'!BG164</f>
        <v>0</v>
      </c>
      <c r="F110" s="500">
        <f t="shared" si="9"/>
        <v>0</v>
      </c>
      <c r="G110" s="512">
        <f>'SGTO POAI 2022'!BH164</f>
        <v>0</v>
      </c>
      <c r="H110" s="520">
        <v>0</v>
      </c>
    </row>
    <row r="111" spans="1:8" ht="33" customHeight="1" thickBot="1" x14ac:dyDescent="0.3">
      <c r="A111" s="637" t="s">
        <v>649</v>
      </c>
      <c r="B111" s="638"/>
      <c r="C111" s="333">
        <f>C112+C131+C134</f>
        <v>8435877609.1800003</v>
      </c>
      <c r="D111" s="489">
        <f t="shared" si="11"/>
        <v>1</v>
      </c>
      <c r="E111" s="333">
        <f>E112+E131+E134</f>
        <v>4557572989.25</v>
      </c>
      <c r="F111" s="448">
        <f t="shared" si="9"/>
        <v>0.54026068186318954</v>
      </c>
      <c r="G111" s="333">
        <f>G112+G131+G134</f>
        <v>3932919407.8499999</v>
      </c>
      <c r="H111" s="489">
        <f t="shared" si="12"/>
        <v>0.862941617638735</v>
      </c>
    </row>
    <row r="112" spans="1:8" ht="29.25" customHeight="1" thickBot="1" x14ac:dyDescent="0.3">
      <c r="A112" s="502">
        <v>1</v>
      </c>
      <c r="B112" s="497" t="s">
        <v>112</v>
      </c>
      <c r="C112" s="498">
        <f>SUM(C113:C130)</f>
        <v>8055282494.1800003</v>
      </c>
      <c r="D112" s="506">
        <f t="shared" ref="D112" si="14">C112/C112</f>
        <v>1</v>
      </c>
      <c r="E112" s="498">
        <f>SUM(E113:E130)</f>
        <v>4301717155.25</v>
      </c>
      <c r="F112" s="477">
        <f t="shared" ref="F112" si="15">E112/C112</f>
        <v>0.53402436951876253</v>
      </c>
      <c r="G112" s="498">
        <f>SUM(G113:G130)</f>
        <v>3767185307.8499999</v>
      </c>
      <c r="H112" s="518">
        <f>G112/E112</f>
        <v>0.87573988988382589</v>
      </c>
    </row>
    <row r="113" spans="1:8" ht="66" customHeight="1" thickBot="1" x14ac:dyDescent="0.3">
      <c r="A113" s="183">
        <v>2020003630011</v>
      </c>
      <c r="B113" s="179" t="s">
        <v>654</v>
      </c>
      <c r="C113" s="329">
        <f>SUM('SGTO POAI 2022'!BF165:BF166)</f>
        <v>182005000</v>
      </c>
      <c r="D113" s="468">
        <f t="shared" si="11"/>
        <v>1</v>
      </c>
      <c r="E113" s="336">
        <f>SUM('SGTO POAI 2022'!BG165:BG166)</f>
        <v>179299999</v>
      </c>
      <c r="F113" s="500">
        <f t="shared" si="9"/>
        <v>0.98513776544600418</v>
      </c>
      <c r="G113" s="512">
        <f>SUM('SGTO POAI 2022'!BH165:BH166)</f>
        <v>123907500</v>
      </c>
      <c r="H113" s="520">
        <f t="shared" si="12"/>
        <v>0.6910624689964443</v>
      </c>
    </row>
    <row r="114" spans="1:8" ht="66" customHeight="1" thickBot="1" x14ac:dyDescent="0.3">
      <c r="A114" s="183">
        <v>2020003630098</v>
      </c>
      <c r="B114" s="180" t="s">
        <v>1318</v>
      </c>
      <c r="C114" s="329">
        <f>'SGTO POAI 2022'!BF167</f>
        <v>28850000</v>
      </c>
      <c r="D114" s="468">
        <f t="shared" si="11"/>
        <v>1</v>
      </c>
      <c r="E114" s="336">
        <f>'SGTO POAI 2022'!BG167</f>
        <v>28850000</v>
      </c>
      <c r="F114" s="500">
        <f t="shared" si="9"/>
        <v>1</v>
      </c>
      <c r="G114" s="512">
        <f>'SGTO POAI 2022'!BH167</f>
        <v>20195000</v>
      </c>
      <c r="H114" s="520">
        <f t="shared" si="12"/>
        <v>0.7</v>
      </c>
    </row>
    <row r="115" spans="1:8" ht="66" customHeight="1" thickBot="1" x14ac:dyDescent="0.3">
      <c r="A115" s="183">
        <v>2020003630099</v>
      </c>
      <c r="B115" s="180" t="s">
        <v>1139</v>
      </c>
      <c r="C115" s="329">
        <f>SUM('SGTO POAI 2022'!BF168:BF169)</f>
        <v>74446500</v>
      </c>
      <c r="D115" s="468">
        <f t="shared" si="11"/>
        <v>1</v>
      </c>
      <c r="E115" s="336">
        <f>SUM('SGTO POAI 2022'!BG168:BG169)</f>
        <v>68126000</v>
      </c>
      <c r="F115" s="500">
        <f t="shared" si="9"/>
        <v>0.91510010544484965</v>
      </c>
      <c r="G115" s="512">
        <f>SUM('SGTO POAI 2022'!BH168:BH169)</f>
        <v>56740000</v>
      </c>
      <c r="H115" s="520">
        <f t="shared" si="12"/>
        <v>0.83286850835217097</v>
      </c>
    </row>
    <row r="116" spans="1:8" ht="66" customHeight="1" thickBot="1" x14ac:dyDescent="0.3">
      <c r="A116" s="183">
        <v>2020003630100</v>
      </c>
      <c r="B116" s="180" t="s">
        <v>1319</v>
      </c>
      <c r="C116" s="329">
        <f>'SGTO POAI 2022'!BF170</f>
        <v>138590000</v>
      </c>
      <c r="D116" s="468">
        <f t="shared" si="11"/>
        <v>1</v>
      </c>
      <c r="E116" s="336">
        <f>'SGTO POAI 2022'!BG170</f>
        <v>132050000</v>
      </c>
      <c r="F116" s="500">
        <f t="shared" si="9"/>
        <v>0.95281044808427739</v>
      </c>
      <c r="G116" s="512">
        <f>'SGTO POAI 2022'!BH170</f>
        <v>100162000</v>
      </c>
      <c r="H116" s="520">
        <f t="shared" si="12"/>
        <v>0.75851571374479365</v>
      </c>
    </row>
    <row r="117" spans="1:8" ht="66" customHeight="1" thickBot="1" x14ac:dyDescent="0.3">
      <c r="A117" s="183">
        <v>2020003630101</v>
      </c>
      <c r="B117" s="180" t="s">
        <v>681</v>
      </c>
      <c r="C117" s="329">
        <f>'SGTO POAI 2022'!BF171</f>
        <v>565563944</v>
      </c>
      <c r="D117" s="468">
        <f t="shared" si="11"/>
        <v>1</v>
      </c>
      <c r="E117" s="336">
        <f>'SGTO POAI 2022'!BG171</f>
        <v>258029005</v>
      </c>
      <c r="F117" s="500">
        <f t="shared" si="9"/>
        <v>0.45623312401258731</v>
      </c>
      <c r="G117" s="512">
        <f>'SGTO POAI 2022'!BH171</f>
        <v>166183610</v>
      </c>
      <c r="H117" s="520">
        <f t="shared" si="12"/>
        <v>0.64405011366842269</v>
      </c>
    </row>
    <row r="118" spans="1:8" ht="66" customHeight="1" thickBot="1" x14ac:dyDescent="0.3">
      <c r="A118" s="183">
        <v>2020003630102</v>
      </c>
      <c r="B118" s="180" t="s">
        <v>691</v>
      </c>
      <c r="C118" s="329">
        <f>'SGTO POAI 2022'!BF172</f>
        <v>193275000</v>
      </c>
      <c r="D118" s="468">
        <f t="shared" si="11"/>
        <v>1</v>
      </c>
      <c r="E118" s="336">
        <f>'SGTO POAI 2022'!BG172</f>
        <v>189247667</v>
      </c>
      <c r="F118" s="500">
        <f t="shared" si="9"/>
        <v>0.97916268011900143</v>
      </c>
      <c r="G118" s="512">
        <f>'SGTO POAI 2022'!BH172</f>
        <v>128337712.59999999</v>
      </c>
      <c r="H118" s="520">
        <f t="shared" si="12"/>
        <v>0.67814686772334154</v>
      </c>
    </row>
    <row r="119" spans="1:8" ht="66" customHeight="1" thickBot="1" x14ac:dyDescent="0.3">
      <c r="A119" s="183">
        <v>2021003630010</v>
      </c>
      <c r="B119" s="180" t="s">
        <v>1320</v>
      </c>
      <c r="C119" s="329">
        <f>'SGTO POAI 2022'!BF173</f>
        <v>21800000</v>
      </c>
      <c r="D119" s="468">
        <f t="shared" si="11"/>
        <v>1</v>
      </c>
      <c r="E119" s="336">
        <f>'SGTO POAI 2022'!BG173</f>
        <v>21800000</v>
      </c>
      <c r="F119" s="500">
        <f t="shared" si="9"/>
        <v>1</v>
      </c>
      <c r="G119" s="512">
        <f>'SGTO POAI 2022'!BH173</f>
        <v>18812000</v>
      </c>
      <c r="H119" s="520">
        <f t="shared" si="12"/>
        <v>0.86293577981651381</v>
      </c>
    </row>
    <row r="120" spans="1:8" ht="66" customHeight="1" thickBot="1" x14ac:dyDescent="0.3">
      <c r="A120" s="183">
        <v>2020003630033</v>
      </c>
      <c r="B120" s="180" t="s">
        <v>704</v>
      </c>
      <c r="C120" s="329">
        <f>SUM('SGTO POAI 2022'!BF174:BF175)</f>
        <v>33000000</v>
      </c>
      <c r="D120" s="468">
        <f t="shared" si="11"/>
        <v>1</v>
      </c>
      <c r="E120" s="336">
        <f>SUM('SGTO POAI 2022'!BG174:BG175)</f>
        <v>29885000</v>
      </c>
      <c r="F120" s="500">
        <f t="shared" si="9"/>
        <v>0.90560606060606064</v>
      </c>
      <c r="G120" s="512">
        <f>SUM('SGTO POAI 2022'!BH174:BH175)</f>
        <v>27010000</v>
      </c>
      <c r="H120" s="520">
        <f t="shared" si="12"/>
        <v>0.90379789191902293</v>
      </c>
    </row>
    <row r="121" spans="1:8" ht="66" customHeight="1" thickBot="1" x14ac:dyDescent="0.3">
      <c r="A121" s="183">
        <v>2020003630034</v>
      </c>
      <c r="B121" s="179" t="s">
        <v>715</v>
      </c>
      <c r="C121" s="329">
        <f>'SGTO POAI 2022'!BF176</f>
        <v>56045000</v>
      </c>
      <c r="D121" s="468">
        <f t="shared" si="11"/>
        <v>1</v>
      </c>
      <c r="E121" s="336">
        <f>'SGTO POAI 2022'!BG176</f>
        <v>54295000</v>
      </c>
      <c r="F121" s="500">
        <f t="shared" si="9"/>
        <v>0.96877509144437501</v>
      </c>
      <c r="G121" s="512">
        <f>'SGTO POAI 2022'!BH176</f>
        <v>32170000</v>
      </c>
      <c r="H121" s="520">
        <f t="shared" si="12"/>
        <v>0.59250391380421774</v>
      </c>
    </row>
    <row r="122" spans="1:8" ht="66" customHeight="1" thickBot="1" x14ac:dyDescent="0.3">
      <c r="A122" s="183">
        <v>2020003630103</v>
      </c>
      <c r="B122" s="179" t="s">
        <v>1181</v>
      </c>
      <c r="C122" s="329">
        <f>'SGTO POAI 2022'!BF177</f>
        <v>38500000</v>
      </c>
      <c r="D122" s="468">
        <f t="shared" si="11"/>
        <v>1</v>
      </c>
      <c r="E122" s="336">
        <f>'SGTO POAI 2022'!BG177</f>
        <v>19800000</v>
      </c>
      <c r="F122" s="500">
        <f t="shared" si="9"/>
        <v>0.51428571428571423</v>
      </c>
      <c r="G122" s="512">
        <f>'SGTO POAI 2022'!BH177</f>
        <v>19800000</v>
      </c>
      <c r="H122" s="520">
        <f t="shared" si="12"/>
        <v>1</v>
      </c>
    </row>
    <row r="123" spans="1:8" ht="66" customHeight="1" thickBot="1" x14ac:dyDescent="0.3">
      <c r="A123" s="183">
        <v>2020003630104</v>
      </c>
      <c r="B123" s="179" t="s">
        <v>1321</v>
      </c>
      <c r="C123" s="329">
        <f>'SGTO POAI 2022'!BF178</f>
        <v>49300000</v>
      </c>
      <c r="D123" s="468">
        <f t="shared" si="11"/>
        <v>1</v>
      </c>
      <c r="E123" s="336">
        <f>'SGTO POAI 2022'!BG178</f>
        <v>35948279</v>
      </c>
      <c r="F123" s="500">
        <f t="shared" si="9"/>
        <v>0.72917401622718048</v>
      </c>
      <c r="G123" s="512">
        <f>'SGTO POAI 2022'!BH178</f>
        <v>23080000</v>
      </c>
      <c r="H123" s="520">
        <f t="shared" si="12"/>
        <v>0.64203351709827328</v>
      </c>
    </row>
    <row r="124" spans="1:8" ht="66" customHeight="1" thickBot="1" x14ac:dyDescent="0.3">
      <c r="A124" s="183">
        <v>2020003630105</v>
      </c>
      <c r="B124" s="179" t="s">
        <v>1175</v>
      </c>
      <c r="C124" s="329">
        <f>'SGTO POAI 2022'!BF179</f>
        <v>29000000</v>
      </c>
      <c r="D124" s="468">
        <f t="shared" si="11"/>
        <v>1</v>
      </c>
      <c r="E124" s="336">
        <f>'SGTO POAI 2022'!BG179</f>
        <v>26000000</v>
      </c>
      <c r="F124" s="500">
        <f t="shared" si="9"/>
        <v>0.89655172413793105</v>
      </c>
      <c r="G124" s="512">
        <f>'SGTO POAI 2022'!BH179</f>
        <v>18310000</v>
      </c>
      <c r="H124" s="520">
        <f t="shared" si="12"/>
        <v>0.70423076923076922</v>
      </c>
    </row>
    <row r="125" spans="1:8" ht="66" customHeight="1" thickBot="1" x14ac:dyDescent="0.3">
      <c r="A125" s="183">
        <v>2020003630106</v>
      </c>
      <c r="B125" s="179" t="s">
        <v>1322</v>
      </c>
      <c r="C125" s="329">
        <f>'SGTO POAI 2022'!BF180</f>
        <v>30000000</v>
      </c>
      <c r="D125" s="468">
        <f t="shared" si="11"/>
        <v>1</v>
      </c>
      <c r="E125" s="336">
        <f>'SGTO POAI 2022'!BG180</f>
        <v>23364500</v>
      </c>
      <c r="F125" s="500">
        <f t="shared" si="9"/>
        <v>0.77881666666666671</v>
      </c>
      <c r="G125" s="512">
        <f>'SGTO POAI 2022'!BH180</f>
        <v>11130000</v>
      </c>
      <c r="H125" s="520">
        <f t="shared" si="12"/>
        <v>0.47636371418177148</v>
      </c>
    </row>
    <row r="126" spans="1:8" ht="66" customHeight="1" thickBot="1" x14ac:dyDescent="0.3">
      <c r="A126" s="183">
        <v>2020003630036</v>
      </c>
      <c r="B126" s="180" t="s">
        <v>1323</v>
      </c>
      <c r="C126" s="329">
        <f>'SGTO POAI 2022'!BF181+'SGTO POAI 2022'!BF182</f>
        <v>91300000</v>
      </c>
      <c r="D126" s="468">
        <f t="shared" si="11"/>
        <v>1</v>
      </c>
      <c r="E126" s="336">
        <f>'SGTO POAI 2022'!BG181+'SGTO POAI 2022'!BG182</f>
        <v>1000000</v>
      </c>
      <c r="F126" s="500">
        <f t="shared" si="9"/>
        <v>1.0952902519167579E-2</v>
      </c>
      <c r="G126" s="512">
        <f>'SGTO POAI 2022'!BH181+'SGTO POAI 2022'!BH182</f>
        <v>0</v>
      </c>
      <c r="H126" s="520">
        <f t="shared" si="12"/>
        <v>0</v>
      </c>
    </row>
    <row r="127" spans="1:8" ht="66" customHeight="1" thickBot="1" x14ac:dyDescent="0.3">
      <c r="A127" s="183">
        <v>2020003630037</v>
      </c>
      <c r="B127" s="180" t="s">
        <v>1179</v>
      </c>
      <c r="C127" s="329">
        <f>'SGTO POAI 2022'!BF183</f>
        <v>40679946</v>
      </c>
      <c r="D127" s="468">
        <f t="shared" si="11"/>
        <v>1</v>
      </c>
      <c r="E127" s="336">
        <f>'SGTO POAI 2022'!BG183</f>
        <v>37620000</v>
      </c>
      <c r="F127" s="500">
        <f t="shared" si="9"/>
        <v>0.92477998864600264</v>
      </c>
      <c r="G127" s="512">
        <f>'SGTO POAI 2022'!BH183</f>
        <v>36420000</v>
      </c>
      <c r="H127" s="520">
        <f t="shared" si="12"/>
        <v>0.96810207336523124</v>
      </c>
    </row>
    <row r="128" spans="1:8" ht="66" customHeight="1" thickBot="1" x14ac:dyDescent="0.3">
      <c r="A128" s="183">
        <v>2020003630035</v>
      </c>
      <c r="B128" s="179" t="s">
        <v>1180</v>
      </c>
      <c r="C128" s="329">
        <f>'SGTO POAI 2022'!BF184+'SGTO POAI 2022'!BF185</f>
        <v>242084518.61000001</v>
      </c>
      <c r="D128" s="468">
        <f t="shared" si="11"/>
        <v>1</v>
      </c>
      <c r="E128" s="336">
        <f>'SGTO POAI 2022'!BG184+'SGTO POAI 2022'!BG185</f>
        <v>237084518</v>
      </c>
      <c r="F128" s="500">
        <f t="shared" si="9"/>
        <v>0.97934605385462481</v>
      </c>
      <c r="G128" s="512">
        <f>'SGTO POAI 2022'!BH184+'SGTO POAI 2022'!BH185</f>
        <v>107745000</v>
      </c>
      <c r="H128" s="520">
        <f t="shared" si="12"/>
        <v>0.4544581860887264</v>
      </c>
    </row>
    <row r="129" spans="1:8" ht="66" customHeight="1" thickBot="1" x14ac:dyDescent="0.3">
      <c r="A129" s="183">
        <v>2020003630012</v>
      </c>
      <c r="B129" s="180" t="s">
        <v>1166</v>
      </c>
      <c r="C129" s="329">
        <f>'SGTO POAI 2022'!BF186</f>
        <v>60000000</v>
      </c>
      <c r="D129" s="468">
        <f t="shared" si="11"/>
        <v>1</v>
      </c>
      <c r="E129" s="336">
        <f>'SGTO POAI 2022'!BG186</f>
        <v>45291720</v>
      </c>
      <c r="F129" s="500">
        <f t="shared" si="9"/>
        <v>0.75486200000000003</v>
      </c>
      <c r="G129" s="512">
        <f>'SGTO POAI 2022'!BH186</f>
        <v>22878000</v>
      </c>
      <c r="H129" s="520">
        <f t="shared" si="12"/>
        <v>0.50512544014667582</v>
      </c>
    </row>
    <row r="130" spans="1:8" ht="66" customHeight="1" x14ac:dyDescent="0.25">
      <c r="A130" s="183">
        <v>2020003630109</v>
      </c>
      <c r="B130" s="180" t="s">
        <v>763</v>
      </c>
      <c r="C130" s="329">
        <f>'SGTO POAI 2022'!BF187+'SGTO POAI 2022'!BF188</f>
        <v>6180842585.5699997</v>
      </c>
      <c r="D130" s="468">
        <f t="shared" si="11"/>
        <v>1</v>
      </c>
      <c r="E130" s="336">
        <f>'SGTO POAI 2022'!BG187+'SGTO POAI 2022'!BG188</f>
        <v>2914025467.25</v>
      </c>
      <c r="F130" s="500">
        <f t="shared" si="9"/>
        <v>0.47146087720356777</v>
      </c>
      <c r="G130" s="512">
        <f>'SGTO POAI 2022'!BH187+'SGTO POAI 2022'!BH188</f>
        <v>2854304485.25</v>
      </c>
      <c r="H130" s="520">
        <f t="shared" si="12"/>
        <v>0.97950567602404681</v>
      </c>
    </row>
    <row r="131" spans="1:8" ht="29.25" customHeight="1" thickBot="1" x14ac:dyDescent="0.3">
      <c r="A131" s="501">
        <v>2</v>
      </c>
      <c r="B131" s="497" t="s">
        <v>333</v>
      </c>
      <c r="C131" s="498">
        <f>SUM(C132:C133)</f>
        <v>42000000</v>
      </c>
      <c r="D131" s="506">
        <f t="shared" si="11"/>
        <v>1</v>
      </c>
      <c r="E131" s="498">
        <f>SUM(E132:E133)</f>
        <v>42000000</v>
      </c>
      <c r="F131" s="477">
        <f t="shared" si="9"/>
        <v>1</v>
      </c>
      <c r="G131" s="515">
        <f>SUM(G132:G133)</f>
        <v>33655000</v>
      </c>
      <c r="H131" s="518">
        <f t="shared" si="12"/>
        <v>0.8013095238095238</v>
      </c>
    </row>
    <row r="132" spans="1:8" ht="44.25" customHeight="1" thickBot="1" x14ac:dyDescent="0.3">
      <c r="A132" s="183">
        <v>2020003630113</v>
      </c>
      <c r="B132" s="180" t="s">
        <v>774</v>
      </c>
      <c r="C132" s="329">
        <f>'SGTO POAI 2022'!BF189</f>
        <v>18000000</v>
      </c>
      <c r="D132" s="468">
        <f t="shared" si="11"/>
        <v>1</v>
      </c>
      <c r="E132" s="336">
        <f>'SGTO POAI 2022'!BG189</f>
        <v>18000000</v>
      </c>
      <c r="F132" s="500">
        <f t="shared" si="9"/>
        <v>1</v>
      </c>
      <c r="G132" s="512">
        <f>'SGTO POAI 2022'!BH189</f>
        <v>16770000</v>
      </c>
      <c r="H132" s="520">
        <f t="shared" si="12"/>
        <v>0.93166666666666664</v>
      </c>
    </row>
    <row r="133" spans="1:8" ht="66" customHeight="1" x14ac:dyDescent="0.25">
      <c r="A133" s="183">
        <v>2020003630114</v>
      </c>
      <c r="B133" s="180" t="s">
        <v>779</v>
      </c>
      <c r="C133" s="329">
        <f>'SGTO POAI 2022'!BF190</f>
        <v>24000000</v>
      </c>
      <c r="D133" s="468">
        <f t="shared" si="11"/>
        <v>1</v>
      </c>
      <c r="E133" s="336">
        <f>'SGTO POAI 2022'!BG190</f>
        <v>24000000</v>
      </c>
      <c r="F133" s="500">
        <f t="shared" si="9"/>
        <v>1</v>
      </c>
      <c r="G133" s="512">
        <f>'SGTO POAI 2022'!BH190</f>
        <v>16885000</v>
      </c>
      <c r="H133" s="520">
        <f t="shared" si="12"/>
        <v>0.70354166666666662</v>
      </c>
    </row>
    <row r="134" spans="1:8" ht="44.25" customHeight="1" thickBot="1" x14ac:dyDescent="0.3">
      <c r="A134" s="501">
        <v>4</v>
      </c>
      <c r="B134" s="505" t="s">
        <v>27</v>
      </c>
      <c r="C134" s="498">
        <f>SUM(C135:C139)</f>
        <v>338595115</v>
      </c>
      <c r="D134" s="506">
        <f t="shared" si="11"/>
        <v>1</v>
      </c>
      <c r="E134" s="498">
        <f>SUM(E135:E139)</f>
        <v>213855834</v>
      </c>
      <c r="F134" s="477">
        <f t="shared" ref="F134" si="16">E134/C134</f>
        <v>0.63159751728845825</v>
      </c>
      <c r="G134" s="515">
        <f>SUM(G135:G139)</f>
        <v>132079100</v>
      </c>
      <c r="H134" s="518">
        <f t="shared" si="12"/>
        <v>0.61760812192759729</v>
      </c>
    </row>
    <row r="135" spans="1:8" ht="66" customHeight="1" thickBot="1" x14ac:dyDescent="0.3">
      <c r="A135" s="183">
        <v>2020003630115</v>
      </c>
      <c r="B135" s="180" t="s">
        <v>785</v>
      </c>
      <c r="C135" s="329">
        <f>'SGTO POAI 2022'!BF191</f>
        <v>15000000</v>
      </c>
      <c r="D135" s="468">
        <f t="shared" si="11"/>
        <v>1</v>
      </c>
      <c r="E135" s="336">
        <f>'SGTO POAI 2022'!BG191</f>
        <v>0</v>
      </c>
      <c r="F135" s="500">
        <f t="shared" ref="F135:F192" si="17">E135/C135</f>
        <v>0</v>
      </c>
      <c r="G135" s="512">
        <f>'SGTO POAI 2022'!BH191</f>
        <v>0</v>
      </c>
      <c r="H135" s="520" t="e">
        <f t="shared" si="12"/>
        <v>#DIV/0!</v>
      </c>
    </row>
    <row r="136" spans="1:8" ht="66" customHeight="1" thickBot="1" x14ac:dyDescent="0.3">
      <c r="A136" s="183">
        <v>2021003630008</v>
      </c>
      <c r="B136" s="179" t="s">
        <v>791</v>
      </c>
      <c r="C136" s="329">
        <f>'SGTO POAI 2022'!BF192</f>
        <v>86900000</v>
      </c>
      <c r="D136" s="468">
        <f t="shared" si="11"/>
        <v>1</v>
      </c>
      <c r="E136" s="336">
        <f>'SGTO POAI 2022'!BG192</f>
        <v>82450000</v>
      </c>
      <c r="F136" s="500">
        <f t="shared" si="17"/>
        <v>0.9487917146144994</v>
      </c>
      <c r="G136" s="512">
        <f>'SGTO POAI 2022'!BH192</f>
        <v>58440900</v>
      </c>
      <c r="H136" s="520">
        <f t="shared" si="12"/>
        <v>0.70880412371134016</v>
      </c>
    </row>
    <row r="137" spans="1:8" ht="66" customHeight="1" thickBot="1" x14ac:dyDescent="0.3">
      <c r="A137" s="183">
        <v>2021003630007</v>
      </c>
      <c r="B137" s="179" t="s">
        <v>1324</v>
      </c>
      <c r="C137" s="329">
        <f>'SGTO POAI 2022'!BF193</f>
        <v>90000000</v>
      </c>
      <c r="D137" s="468">
        <f t="shared" si="11"/>
        <v>1</v>
      </c>
      <c r="E137" s="336">
        <f>'SGTO POAI 2022'!BG193</f>
        <v>56020000</v>
      </c>
      <c r="F137" s="500">
        <f t="shared" si="17"/>
        <v>0.62244444444444447</v>
      </c>
      <c r="G137" s="512">
        <f>'SGTO POAI 2022'!BH193</f>
        <v>28173200</v>
      </c>
      <c r="H137" s="520">
        <f t="shared" si="12"/>
        <v>0.50291324526954662</v>
      </c>
    </row>
    <row r="138" spans="1:8" ht="66" customHeight="1" thickBot="1" x14ac:dyDescent="0.3">
      <c r="A138" s="183">
        <v>2020003630111</v>
      </c>
      <c r="B138" s="179" t="s">
        <v>1325</v>
      </c>
      <c r="C138" s="329">
        <f>'SGTO POAI 2022'!BF194</f>
        <v>62843334</v>
      </c>
      <c r="D138" s="468">
        <f t="shared" si="11"/>
        <v>1</v>
      </c>
      <c r="E138" s="336">
        <f>'SGTO POAI 2022'!BG194</f>
        <v>37649167</v>
      </c>
      <c r="F138" s="500">
        <f t="shared" si="17"/>
        <v>0.59909563359576057</v>
      </c>
      <c r="G138" s="512">
        <f>'SGTO POAI 2022'!BH194</f>
        <v>17620000</v>
      </c>
      <c r="H138" s="520">
        <f t="shared" si="12"/>
        <v>0.46800504244888075</v>
      </c>
    </row>
    <row r="139" spans="1:8" ht="66" customHeight="1" thickBot="1" x14ac:dyDescent="0.3">
      <c r="A139" s="183">
        <v>2020003630112</v>
      </c>
      <c r="B139" s="179" t="s">
        <v>801</v>
      </c>
      <c r="C139" s="329">
        <f>'SGTO POAI 2022'!BF195</f>
        <v>83851781</v>
      </c>
      <c r="D139" s="468">
        <f t="shared" si="11"/>
        <v>1</v>
      </c>
      <c r="E139" s="336">
        <f>'SGTO POAI 2022'!BG195</f>
        <v>37736667</v>
      </c>
      <c r="F139" s="500">
        <f t="shared" si="17"/>
        <v>0.4500401368934549</v>
      </c>
      <c r="G139" s="512">
        <f>'SGTO POAI 2022'!BH195</f>
        <v>27845000</v>
      </c>
      <c r="H139" s="520">
        <f t="shared" si="12"/>
        <v>0.73787650615779077</v>
      </c>
    </row>
    <row r="140" spans="1:8" ht="36.75" customHeight="1" thickBot="1" x14ac:dyDescent="0.3">
      <c r="A140" s="637" t="s">
        <v>1326</v>
      </c>
      <c r="B140" s="638"/>
      <c r="C140" s="487">
        <f>C141</f>
        <v>68331963024.719994</v>
      </c>
      <c r="D140" s="470">
        <f t="shared" si="11"/>
        <v>1</v>
      </c>
      <c r="E140" s="487">
        <f>E141</f>
        <v>54128632817.660004</v>
      </c>
      <c r="F140" s="448">
        <f t="shared" si="17"/>
        <v>0.79214221897998527</v>
      </c>
      <c r="G140" s="487">
        <f>G141</f>
        <v>42344072000.309998</v>
      </c>
      <c r="H140" s="489">
        <f>G140/E140</f>
        <v>0.78228600642754131</v>
      </c>
    </row>
    <row r="141" spans="1:8" ht="36" customHeight="1" thickBot="1" x14ac:dyDescent="0.3">
      <c r="A141" s="502">
        <v>1</v>
      </c>
      <c r="B141" s="497" t="s">
        <v>112</v>
      </c>
      <c r="C141" s="498">
        <f>SUM(C142:C164)</f>
        <v>68331963024.719994</v>
      </c>
      <c r="D141" s="506">
        <f t="shared" si="11"/>
        <v>1</v>
      </c>
      <c r="E141" s="498">
        <f>SUM(E142:E164)</f>
        <v>54128632817.660004</v>
      </c>
      <c r="F141" s="477">
        <f t="shared" si="17"/>
        <v>0.79214221897998527</v>
      </c>
      <c r="G141" s="498">
        <f>SUM(G142:G164)</f>
        <v>42344072000.309998</v>
      </c>
      <c r="H141" s="518">
        <f>G141/E141</f>
        <v>0.78228600642754131</v>
      </c>
    </row>
    <row r="142" spans="1:8" ht="66" customHeight="1" thickBot="1" x14ac:dyDescent="0.3">
      <c r="A142" s="183">
        <v>2020003630116</v>
      </c>
      <c r="B142" s="180" t="s">
        <v>810</v>
      </c>
      <c r="C142" s="329">
        <f>SUM('SGTO POAI 2022'!BF196:BF203)</f>
        <v>2361321649.6199999</v>
      </c>
      <c r="D142" s="468">
        <f t="shared" si="11"/>
        <v>1</v>
      </c>
      <c r="E142" s="336">
        <f>SUM('SGTO POAI 2022'!BG196:BG203)</f>
        <v>875119398</v>
      </c>
      <c r="F142" s="500">
        <f t="shared" si="17"/>
        <v>0.37060575722110123</v>
      </c>
      <c r="G142" s="512">
        <f>SUM('SGTO POAI 2022'!BH196:BH203)</f>
        <v>481955364</v>
      </c>
      <c r="H142" s="520">
        <f t="shared" si="12"/>
        <v>0.55073098036846391</v>
      </c>
    </row>
    <row r="143" spans="1:8" ht="66" customHeight="1" thickBot="1" x14ac:dyDescent="0.3">
      <c r="A143" s="183">
        <v>2020003630117</v>
      </c>
      <c r="B143" s="180" t="s">
        <v>835</v>
      </c>
      <c r="C143" s="329">
        <f>SUM('SGTO POAI 2022'!BF204:BF205)</f>
        <v>457363335</v>
      </c>
      <c r="D143" s="468">
        <f t="shared" si="11"/>
        <v>1</v>
      </c>
      <c r="E143" s="336">
        <f>SUM('SGTO POAI 2022'!BG204:BG205)</f>
        <v>400908940</v>
      </c>
      <c r="F143" s="500">
        <f t="shared" si="17"/>
        <v>0.87656554279760968</v>
      </c>
      <c r="G143" s="512">
        <f>SUM('SGTO POAI 2022'!BH204:BH205)</f>
        <v>259498667</v>
      </c>
      <c r="H143" s="520">
        <f t="shared" si="12"/>
        <v>0.64727583026709257</v>
      </c>
    </row>
    <row r="144" spans="1:8" ht="66" customHeight="1" thickBot="1" x14ac:dyDescent="0.3">
      <c r="A144" s="183">
        <v>2020003630118</v>
      </c>
      <c r="B144" s="180" t="s">
        <v>1171</v>
      </c>
      <c r="C144" s="329">
        <f>SUM('SGTO POAI 2022'!BF206:BF208)</f>
        <v>1326046033</v>
      </c>
      <c r="D144" s="468">
        <f t="shared" si="11"/>
        <v>1</v>
      </c>
      <c r="E144" s="336">
        <f>SUM('SGTO POAI 2022'!BG206:BG208)</f>
        <v>835978588.96000004</v>
      </c>
      <c r="F144" s="500">
        <f t="shared" si="17"/>
        <v>0.63042953876096697</v>
      </c>
      <c r="G144" s="512">
        <f>SUM('SGTO POAI 2022'!BH206:BH208)</f>
        <v>635284292</v>
      </c>
      <c r="H144" s="520">
        <f t="shared" si="12"/>
        <v>0.75992890295231852</v>
      </c>
    </row>
    <row r="145" spans="1:8" ht="66" customHeight="1" thickBot="1" x14ac:dyDescent="0.3">
      <c r="A145" s="183">
        <v>2020003630119</v>
      </c>
      <c r="B145" s="180" t="s">
        <v>849</v>
      </c>
      <c r="C145" s="329">
        <f>'SGTO POAI 2022'!BF209</f>
        <v>96954000</v>
      </c>
      <c r="D145" s="468">
        <f t="shared" si="11"/>
        <v>1</v>
      </c>
      <c r="E145" s="336">
        <f>'SGTO POAI 2022'!BG209</f>
        <v>95074000</v>
      </c>
      <c r="F145" s="500">
        <f t="shared" si="17"/>
        <v>0.98060936114033459</v>
      </c>
      <c r="G145" s="512">
        <f>'SGTO POAI 2022'!BH209</f>
        <v>40390000</v>
      </c>
      <c r="H145" s="520">
        <f t="shared" si="12"/>
        <v>0.42482697688116627</v>
      </c>
    </row>
    <row r="146" spans="1:8" ht="66" customHeight="1" thickBot="1" x14ac:dyDescent="0.3">
      <c r="A146" s="183">
        <v>2020003630120</v>
      </c>
      <c r="B146" s="180" t="s">
        <v>854</v>
      </c>
      <c r="C146" s="329">
        <f>SUM('SGTO POAI 2022'!BF210:BF213)</f>
        <v>89636000</v>
      </c>
      <c r="D146" s="468">
        <f t="shared" si="11"/>
        <v>1</v>
      </c>
      <c r="E146" s="336">
        <f>SUM('SGTO POAI 2022'!BG210:BG213)</f>
        <v>85791332</v>
      </c>
      <c r="F146" s="500">
        <f t="shared" si="17"/>
        <v>0.95710799232451249</v>
      </c>
      <c r="G146" s="512">
        <f>SUM('SGTO POAI 2022'!BH210:BH213)</f>
        <v>62705000</v>
      </c>
      <c r="H146" s="520">
        <f t="shared" si="12"/>
        <v>0.73090134560447206</v>
      </c>
    </row>
    <row r="147" spans="1:8" ht="66" customHeight="1" thickBot="1" x14ac:dyDescent="0.3">
      <c r="A147" s="183">
        <v>2020003630121</v>
      </c>
      <c r="B147" s="180" t="s">
        <v>863</v>
      </c>
      <c r="C147" s="329">
        <f>SUM('SGTO POAI 2022'!BF214:BF217)</f>
        <v>159135000</v>
      </c>
      <c r="D147" s="468">
        <f t="shared" si="11"/>
        <v>1</v>
      </c>
      <c r="E147" s="336">
        <f>SUM('SGTO POAI 2022'!BG214:BG217)</f>
        <v>159135000</v>
      </c>
      <c r="F147" s="500">
        <f t="shared" si="17"/>
        <v>1</v>
      </c>
      <c r="G147" s="512">
        <f>SUM('SGTO POAI 2022'!BH214:BH217)</f>
        <v>117890000</v>
      </c>
      <c r="H147" s="520">
        <f t="shared" si="12"/>
        <v>0.74081754485185536</v>
      </c>
    </row>
    <row r="148" spans="1:8" ht="66" customHeight="1" thickBot="1" x14ac:dyDescent="0.3">
      <c r="A148" s="183">
        <v>2020003630122</v>
      </c>
      <c r="B148" s="180" t="s">
        <v>875</v>
      </c>
      <c r="C148" s="329">
        <f>SUM('SGTO POAI 2022'!BF218:BF219)</f>
        <v>115335000</v>
      </c>
      <c r="D148" s="468">
        <f t="shared" si="11"/>
        <v>1</v>
      </c>
      <c r="E148" s="336">
        <f>SUM('SGTO POAI 2022'!BG218:BG219)</f>
        <v>110828666</v>
      </c>
      <c r="F148" s="500">
        <f t="shared" si="17"/>
        <v>0.96092830450427014</v>
      </c>
      <c r="G148" s="512">
        <f>SUM('SGTO POAI 2022'!BH218:BH219)</f>
        <v>63060000</v>
      </c>
      <c r="H148" s="520">
        <f t="shared" si="12"/>
        <v>0.56898636675821757</v>
      </c>
    </row>
    <row r="149" spans="1:8" ht="66" customHeight="1" thickBot="1" x14ac:dyDescent="0.3">
      <c r="A149" s="183">
        <v>2020003630123</v>
      </c>
      <c r="B149" s="180" t="s">
        <v>881</v>
      </c>
      <c r="C149" s="329">
        <f>SUM('SGTO POAI 2022'!BF220:BF226)</f>
        <v>299000000</v>
      </c>
      <c r="D149" s="468">
        <f t="shared" si="11"/>
        <v>1</v>
      </c>
      <c r="E149" s="336">
        <f>SUM('SGTO POAI 2022'!BG220:BG226)</f>
        <v>222177693</v>
      </c>
      <c r="F149" s="500">
        <f t="shared" si="17"/>
        <v>0.74306920735785953</v>
      </c>
      <c r="G149" s="512">
        <f>SUM('SGTO POAI 2022'!BH220:BH226)</f>
        <v>152095000</v>
      </c>
      <c r="H149" s="520">
        <f t="shared" si="12"/>
        <v>0.68456467409624244</v>
      </c>
    </row>
    <row r="150" spans="1:8" ht="66" customHeight="1" thickBot="1" x14ac:dyDescent="0.3">
      <c r="A150" s="183">
        <v>2020003630124</v>
      </c>
      <c r="B150" s="180" t="s">
        <v>903</v>
      </c>
      <c r="C150" s="329">
        <f>SUM('SGTO POAI 2022'!BF227:BF228)</f>
        <v>197445000</v>
      </c>
      <c r="D150" s="468">
        <f t="shared" si="11"/>
        <v>1</v>
      </c>
      <c r="E150" s="336">
        <f>SUM('SGTO POAI 2022'!BG227:BG228)</f>
        <v>177496332</v>
      </c>
      <c r="F150" s="500">
        <f t="shared" si="17"/>
        <v>0.89896595001139556</v>
      </c>
      <c r="G150" s="512">
        <f>SUM('SGTO POAI 2022'!BH227:BH228)</f>
        <v>100580000</v>
      </c>
      <c r="H150" s="520">
        <f t="shared" si="12"/>
        <v>0.56665959722480352</v>
      </c>
    </row>
    <row r="151" spans="1:8" ht="66" customHeight="1" thickBot="1" x14ac:dyDescent="0.3">
      <c r="A151" s="183">
        <v>2020003630125</v>
      </c>
      <c r="B151" s="180" t="s">
        <v>910</v>
      </c>
      <c r="C151" s="329">
        <f>SUM('SGTO POAI 2022'!BF229:BF231)</f>
        <v>965239644</v>
      </c>
      <c r="D151" s="468">
        <f t="shared" si="11"/>
        <v>1</v>
      </c>
      <c r="E151" s="336">
        <f>SUM('SGTO POAI 2022'!BG229:BG231)</f>
        <v>761354500</v>
      </c>
      <c r="F151" s="500">
        <f t="shared" si="17"/>
        <v>0.78877251336767518</v>
      </c>
      <c r="G151" s="512">
        <f>SUM('SGTO POAI 2022'!BH229:BH231)</f>
        <v>277695000</v>
      </c>
      <c r="H151" s="520">
        <f t="shared" si="12"/>
        <v>0.364738108200582</v>
      </c>
    </row>
    <row r="152" spans="1:8" ht="66" customHeight="1" thickBot="1" x14ac:dyDescent="0.3">
      <c r="A152" s="183">
        <v>2020003630126</v>
      </c>
      <c r="B152" s="180" t="s">
        <v>1185</v>
      </c>
      <c r="C152" s="329">
        <f>SUM('SGTO POAI 2022'!BF232:BF233)</f>
        <v>285502334</v>
      </c>
      <c r="D152" s="468">
        <f t="shared" si="11"/>
        <v>1</v>
      </c>
      <c r="E152" s="336">
        <f>SUM('SGTO POAI 2022'!BG232:BG233)</f>
        <v>238787666</v>
      </c>
      <c r="F152" s="500">
        <f t="shared" si="17"/>
        <v>0.83637728159518299</v>
      </c>
      <c r="G152" s="512">
        <f>SUM('SGTO POAI 2022'!BH232:BH233)</f>
        <v>156530000</v>
      </c>
      <c r="H152" s="520">
        <f t="shared" si="12"/>
        <v>0.65551961967750882</v>
      </c>
    </row>
    <row r="153" spans="1:8" ht="66" customHeight="1" thickBot="1" x14ac:dyDescent="0.3">
      <c r="A153" s="183">
        <v>2020003630127</v>
      </c>
      <c r="B153" s="180" t="s">
        <v>922</v>
      </c>
      <c r="C153" s="329">
        <f>SUM('SGTO POAI 2022'!BF234:BF236)</f>
        <v>578960755.84000015</v>
      </c>
      <c r="D153" s="468">
        <f t="shared" ref="D153:D192" si="18">C153/C153</f>
        <v>1</v>
      </c>
      <c r="E153" s="336">
        <f>SUM('SGTO POAI 2022'!BG234:BG236)</f>
        <v>233019835</v>
      </c>
      <c r="F153" s="500">
        <f t="shared" si="17"/>
        <v>0.40247949908438468</v>
      </c>
      <c r="G153" s="512">
        <f>SUM('SGTO POAI 2022'!BH234:BH236)</f>
        <v>156947168</v>
      </c>
      <c r="H153" s="520">
        <f t="shared" si="12"/>
        <v>0.67353565845585639</v>
      </c>
    </row>
    <row r="154" spans="1:8" ht="66" customHeight="1" thickBot="1" x14ac:dyDescent="0.3">
      <c r="A154" s="183">
        <v>2020003630128</v>
      </c>
      <c r="B154" s="180" t="s">
        <v>931</v>
      </c>
      <c r="C154" s="329">
        <f>SUM('SGTO POAI 2022'!BF237:BF238)</f>
        <v>569574860</v>
      </c>
      <c r="D154" s="468">
        <f t="shared" si="18"/>
        <v>1</v>
      </c>
      <c r="E154" s="336">
        <f>SUM('SGTO POAI 2022'!BG237:BG238)</f>
        <v>415343407</v>
      </c>
      <c r="F154" s="500">
        <f t="shared" si="17"/>
        <v>0.72921653705010792</v>
      </c>
      <c r="G154" s="512">
        <f>SUM('SGTO POAI 2022'!BH237:BH238)</f>
        <v>345643408</v>
      </c>
      <c r="H154" s="520">
        <f t="shared" si="12"/>
        <v>0.83218705816606353</v>
      </c>
    </row>
    <row r="155" spans="1:8" ht="66" customHeight="1" thickBot="1" x14ac:dyDescent="0.3">
      <c r="A155" s="183">
        <v>2020003630129</v>
      </c>
      <c r="B155" s="180" t="s">
        <v>932</v>
      </c>
      <c r="C155" s="329">
        <f>SUM('SGTO POAI 2022'!BF239:BF240)</f>
        <v>231982940</v>
      </c>
      <c r="D155" s="468">
        <f t="shared" si="18"/>
        <v>1</v>
      </c>
      <c r="E155" s="336">
        <f>SUM('SGTO POAI 2022'!BG239:BG240)</f>
        <v>170061666</v>
      </c>
      <c r="F155" s="500">
        <f t="shared" si="17"/>
        <v>0.73307832894953395</v>
      </c>
      <c r="G155" s="512">
        <f>SUM('SGTO POAI 2022'!BH239:BH240)</f>
        <v>99900000</v>
      </c>
      <c r="H155" s="520">
        <f t="shared" si="12"/>
        <v>0.58743397233330641</v>
      </c>
    </row>
    <row r="156" spans="1:8" ht="66" customHeight="1" thickBot="1" x14ac:dyDescent="0.3">
      <c r="A156" s="183">
        <v>2020003630130</v>
      </c>
      <c r="B156" s="180" t="s">
        <v>934</v>
      </c>
      <c r="C156" s="329">
        <f>'SGTO POAI 2022'!BF241</f>
        <v>451835000</v>
      </c>
      <c r="D156" s="468">
        <f t="shared" si="18"/>
        <v>1</v>
      </c>
      <c r="E156" s="336">
        <f>'SGTO POAI 2022'!BG241</f>
        <v>383246138</v>
      </c>
      <c r="F156" s="500">
        <f t="shared" si="17"/>
        <v>0.8481993161220357</v>
      </c>
      <c r="G156" s="512">
        <f>'SGTO POAI 2022'!BH241</f>
        <v>210932050</v>
      </c>
      <c r="H156" s="520">
        <f t="shared" si="12"/>
        <v>0.55038271514167225</v>
      </c>
    </row>
    <row r="157" spans="1:8" ht="56.25" customHeight="1" thickBot="1" x14ac:dyDescent="0.3">
      <c r="A157" s="183">
        <v>2020003630131</v>
      </c>
      <c r="B157" s="180" t="s">
        <v>1172</v>
      </c>
      <c r="C157" s="329">
        <f>'SGTO POAI 2022'!BF242</f>
        <v>20000000</v>
      </c>
      <c r="D157" s="468">
        <f t="shared" si="18"/>
        <v>1</v>
      </c>
      <c r="E157" s="336">
        <f>'SGTO POAI 2022'!BG242</f>
        <v>14834167</v>
      </c>
      <c r="F157" s="500">
        <f t="shared" si="17"/>
        <v>0.74170835000000002</v>
      </c>
      <c r="G157" s="512">
        <f>'SGTO POAI 2022'!BH242</f>
        <v>0</v>
      </c>
      <c r="H157" s="520">
        <f t="shared" si="12"/>
        <v>0</v>
      </c>
    </row>
    <row r="158" spans="1:8" ht="66" customHeight="1" thickBot="1" x14ac:dyDescent="0.3">
      <c r="A158" s="183">
        <v>2020003630132</v>
      </c>
      <c r="B158" s="180" t="s">
        <v>942</v>
      </c>
      <c r="C158" s="329">
        <f>'SGTO POAI 2022'!BF243</f>
        <v>93077333</v>
      </c>
      <c r="D158" s="468">
        <f t="shared" si="18"/>
        <v>1</v>
      </c>
      <c r="E158" s="336">
        <f>'SGTO POAI 2022'!BG243</f>
        <v>72894274</v>
      </c>
      <c r="F158" s="500">
        <f t="shared" si="17"/>
        <v>0.78315817235545415</v>
      </c>
      <c r="G158" s="512">
        <f>'SGTO POAI 2022'!BH243</f>
        <v>51930000</v>
      </c>
      <c r="H158" s="520">
        <f t="shared" si="12"/>
        <v>0.71240163527796441</v>
      </c>
    </row>
    <row r="159" spans="1:8" ht="66" customHeight="1" thickBot="1" x14ac:dyDescent="0.3">
      <c r="A159" s="183">
        <v>2020003630133</v>
      </c>
      <c r="B159" s="180" t="s">
        <v>945</v>
      </c>
      <c r="C159" s="329">
        <f>'SGTO POAI 2022'!BF244</f>
        <v>498400120</v>
      </c>
      <c r="D159" s="468">
        <f t="shared" si="18"/>
        <v>1</v>
      </c>
      <c r="E159" s="336">
        <f>'SGTO POAI 2022'!BG244</f>
        <v>471500000</v>
      </c>
      <c r="F159" s="500">
        <f t="shared" si="17"/>
        <v>0.94602705954404664</v>
      </c>
      <c r="G159" s="512">
        <f>'SGTO POAI 2022'!BH244</f>
        <v>334650000</v>
      </c>
      <c r="H159" s="520">
        <f t="shared" si="12"/>
        <v>0.70975609756097557</v>
      </c>
    </row>
    <row r="160" spans="1:8" ht="66" customHeight="1" thickBot="1" x14ac:dyDescent="0.3">
      <c r="A160" s="183">
        <v>2020003630134</v>
      </c>
      <c r="B160" s="180" t="s">
        <v>953</v>
      </c>
      <c r="C160" s="329">
        <f>'SGTO POAI 2022'!BF245</f>
        <v>354900000</v>
      </c>
      <c r="D160" s="468">
        <f t="shared" si="18"/>
        <v>1</v>
      </c>
      <c r="E160" s="336">
        <f>'SGTO POAI 2022'!BG245</f>
        <v>342799153</v>
      </c>
      <c r="F160" s="500">
        <f t="shared" si="17"/>
        <v>0.96590350239504086</v>
      </c>
      <c r="G160" s="512">
        <f>'SGTO POAI 2022'!BH245</f>
        <v>223716000</v>
      </c>
      <c r="H160" s="520">
        <f t="shared" si="12"/>
        <v>0.65261538146215903</v>
      </c>
    </row>
    <row r="161" spans="1:8" ht="66" customHeight="1" thickBot="1" x14ac:dyDescent="0.3">
      <c r="A161" s="183">
        <v>2020003630135</v>
      </c>
      <c r="B161" s="180" t="s">
        <v>1327</v>
      </c>
      <c r="C161" s="329">
        <f>'SGTO POAI 2022'!BF246</f>
        <v>2247761904.0999999</v>
      </c>
      <c r="D161" s="468">
        <f t="shared" si="18"/>
        <v>1</v>
      </c>
      <c r="E161" s="336">
        <f>'SGTO POAI 2022'!BG246</f>
        <v>970323439</v>
      </c>
      <c r="F161" s="500">
        <f t="shared" si="17"/>
        <v>0.43168426212317884</v>
      </c>
      <c r="G161" s="512">
        <f>'SGTO POAI 2022'!BH246</f>
        <v>617746000</v>
      </c>
      <c r="H161" s="520">
        <f t="shared" si="12"/>
        <v>0.63663926395165649</v>
      </c>
    </row>
    <row r="162" spans="1:8" ht="66" customHeight="1" thickBot="1" x14ac:dyDescent="0.3">
      <c r="A162" s="183">
        <v>2020003630136</v>
      </c>
      <c r="B162" s="180" t="s">
        <v>957</v>
      </c>
      <c r="C162" s="329">
        <f>'SGTO POAI 2022'!BF247</f>
        <v>39354087958.649994</v>
      </c>
      <c r="D162" s="468">
        <f t="shared" si="18"/>
        <v>1</v>
      </c>
      <c r="E162" s="336">
        <f>'SGTO POAI 2022'!BG247</f>
        <v>35427242542.700005</v>
      </c>
      <c r="F162" s="500">
        <f t="shared" si="17"/>
        <v>0.90021759823081171</v>
      </c>
      <c r="G162" s="512">
        <f>'SGTO POAI 2022'!BH247</f>
        <v>27986686301.309998</v>
      </c>
      <c r="H162" s="520">
        <f t="shared" si="12"/>
        <v>0.7899764218899622</v>
      </c>
    </row>
    <row r="163" spans="1:8" ht="66" customHeight="1" thickBot="1" x14ac:dyDescent="0.3">
      <c r="A163" s="183">
        <v>2020003630137</v>
      </c>
      <c r="B163" s="180" t="s">
        <v>1173</v>
      </c>
      <c r="C163" s="329">
        <f>SUM('SGTO POAI 2022'!BF248:BF250)</f>
        <v>16830250003.390001</v>
      </c>
      <c r="D163" s="468">
        <f t="shared" si="18"/>
        <v>1</v>
      </c>
      <c r="E163" s="336">
        <f>SUM('SGTO POAI 2022'!BG248:BG250)</f>
        <v>11086226926</v>
      </c>
      <c r="F163" s="500">
        <f t="shared" si="17"/>
        <v>0.65870839255310987</v>
      </c>
      <c r="G163" s="512">
        <f>SUM('SGTO POAI 2022'!BH248:BH250)</f>
        <v>9415033596</v>
      </c>
      <c r="H163" s="520">
        <f t="shared" si="12"/>
        <v>0.84925499530587545</v>
      </c>
    </row>
    <row r="164" spans="1:8" ht="39.75" customHeight="1" thickBot="1" x14ac:dyDescent="0.3">
      <c r="A164" s="183">
        <v>2020003630138</v>
      </c>
      <c r="B164" s="180" t="s">
        <v>977</v>
      </c>
      <c r="C164" s="329">
        <f>'SGTO POAI 2022'!BF251+'SGTO POAI 2022'!BF252+'SGTO POAI 2022'!BF253+'SGTO POAI 2022'!BF254</f>
        <v>748154154.12</v>
      </c>
      <c r="D164" s="468">
        <f t="shared" si="18"/>
        <v>1</v>
      </c>
      <c r="E164" s="336">
        <f>'SGTO POAI 2022'!BG251+'SGTO POAI 2022'!BG252+'SGTO POAI 2022'!BG253+'SGTO POAI 2022'!BG254</f>
        <v>578489154</v>
      </c>
      <c r="F164" s="500">
        <f t="shared" si="17"/>
        <v>0.77322186987043495</v>
      </c>
      <c r="G164" s="512">
        <f>'SGTO POAI 2022'!BH251+'SGTO POAI 2022'!BH252+'SGTO POAI 2022'!BH253+'SGTO POAI 2022'!BH254</f>
        <v>553204154</v>
      </c>
      <c r="H164" s="520">
        <f t="shared" si="12"/>
        <v>0.95629131535973444</v>
      </c>
    </row>
    <row r="165" spans="1:8" ht="46.5" customHeight="1" thickBot="1" x14ac:dyDescent="0.3">
      <c r="A165" s="639" t="s">
        <v>1328</v>
      </c>
      <c r="B165" s="640"/>
      <c r="C165" s="487">
        <f>C166+C170+C173</f>
        <v>1631066000</v>
      </c>
      <c r="D165" s="470">
        <f t="shared" si="18"/>
        <v>1</v>
      </c>
      <c r="E165" s="487">
        <f>E166+E170+E173</f>
        <v>1404330638</v>
      </c>
      <c r="F165" s="448">
        <f t="shared" si="17"/>
        <v>0.86098946210637706</v>
      </c>
      <c r="G165" s="487">
        <f>G166+G170+G173</f>
        <v>957387066</v>
      </c>
      <c r="H165" s="489">
        <f t="shared" si="12"/>
        <v>0.6817390720489287</v>
      </c>
    </row>
    <row r="166" spans="1:8" ht="31.5" customHeight="1" thickBot="1" x14ac:dyDescent="0.3">
      <c r="A166" s="502">
        <v>1</v>
      </c>
      <c r="B166" s="497" t="s">
        <v>112</v>
      </c>
      <c r="C166" s="498">
        <f>SUM(C167:C169)</f>
        <v>1102506000</v>
      </c>
      <c r="D166" s="506">
        <f t="shared" si="18"/>
        <v>1</v>
      </c>
      <c r="E166" s="498">
        <f>SUM(E167:E169)</f>
        <v>889052257.03999996</v>
      </c>
      <c r="F166" s="477">
        <f t="shared" ref="F166" si="19">E166/C166</f>
        <v>0.80639221649587389</v>
      </c>
      <c r="G166" s="498">
        <f>SUM(G167:G169)</f>
        <v>637514019.03999996</v>
      </c>
      <c r="H166" s="518">
        <f>G166/E166</f>
        <v>0.71707148144759403</v>
      </c>
    </row>
    <row r="167" spans="1:8" ht="66" customHeight="1" thickBot="1" x14ac:dyDescent="0.3">
      <c r="A167" s="183">
        <v>2020003630038</v>
      </c>
      <c r="B167" s="180" t="s">
        <v>991</v>
      </c>
      <c r="C167" s="329">
        <f>SUM('SGTO POAI 2022'!BF255:BF258)</f>
        <v>245611000</v>
      </c>
      <c r="D167" s="468">
        <f t="shared" si="18"/>
        <v>1</v>
      </c>
      <c r="E167" s="336">
        <f>SUM('SGTO POAI 2022'!BG255:BG258)</f>
        <v>128620038</v>
      </c>
      <c r="F167" s="500">
        <f t="shared" si="17"/>
        <v>0.52367376868299875</v>
      </c>
      <c r="G167" s="512">
        <f>SUM('SGTO POAI 2022'!BH255:BH258)</f>
        <v>81820000</v>
      </c>
      <c r="H167" s="520">
        <f t="shared" si="12"/>
        <v>0.63613727123918284</v>
      </c>
    </row>
    <row r="168" spans="1:8" ht="30" customHeight="1" thickBot="1" x14ac:dyDescent="0.3">
      <c r="A168" s="183">
        <v>2020003630139</v>
      </c>
      <c r="B168" s="180" t="s">
        <v>1329</v>
      </c>
      <c r="C168" s="329">
        <f>SUM('SGTO POAI 2022'!BF259:BF263)</f>
        <v>570895000</v>
      </c>
      <c r="D168" s="468">
        <f t="shared" si="18"/>
        <v>1</v>
      </c>
      <c r="E168" s="336">
        <f>SUM('SGTO POAI 2022'!BG259:BG263)</f>
        <v>502437219.04000002</v>
      </c>
      <c r="F168" s="500">
        <f t="shared" si="17"/>
        <v>0.88008691447639242</v>
      </c>
      <c r="G168" s="512">
        <f>SUM('SGTO POAI 2022'!BH259:BH263)</f>
        <v>364415219.04000002</v>
      </c>
      <c r="H168" s="520">
        <f t="shared" si="12"/>
        <v>0.72529503235505366</v>
      </c>
    </row>
    <row r="169" spans="1:8" ht="66" customHeight="1" x14ac:dyDescent="0.25">
      <c r="A169" s="183">
        <v>2020003630039</v>
      </c>
      <c r="B169" s="180" t="s">
        <v>1012</v>
      </c>
      <c r="C169" s="329">
        <f>SUM('SGTO POAI 2022'!BF264:BF268)</f>
        <v>286000000</v>
      </c>
      <c r="D169" s="468">
        <f t="shared" si="18"/>
        <v>1</v>
      </c>
      <c r="E169" s="336">
        <f>SUM('SGTO POAI 2022'!BG264:BG268)</f>
        <v>257995000</v>
      </c>
      <c r="F169" s="500">
        <f t="shared" si="17"/>
        <v>0.90208041958041962</v>
      </c>
      <c r="G169" s="512">
        <f>SUM('SGTO POAI 2022'!BH264:BH268)</f>
        <v>191278800</v>
      </c>
      <c r="H169" s="520">
        <f t="shared" si="12"/>
        <v>0.74140506598965095</v>
      </c>
    </row>
    <row r="170" spans="1:8" ht="30.75" customHeight="1" thickBot="1" x14ac:dyDescent="0.3">
      <c r="A170" s="501">
        <v>2</v>
      </c>
      <c r="B170" s="497" t="s">
        <v>333</v>
      </c>
      <c r="C170" s="498">
        <f>SUM(C171:C172)</f>
        <v>118000000</v>
      </c>
      <c r="D170" s="506">
        <f t="shared" si="18"/>
        <v>1</v>
      </c>
      <c r="E170" s="498">
        <f>SUM(E171:E172)</f>
        <v>113228380.96000001</v>
      </c>
      <c r="F170" s="477">
        <f t="shared" si="17"/>
        <v>0.95956255050847461</v>
      </c>
      <c r="G170" s="498">
        <f>SUM(G171:G172)</f>
        <v>104573380.96000001</v>
      </c>
      <c r="H170" s="518">
        <f t="shared" ref="H170" si="20">G170/E170</f>
        <v>0.9235615671034143</v>
      </c>
    </row>
    <row r="171" spans="1:8" ht="66" customHeight="1" thickBot="1" x14ac:dyDescent="0.3">
      <c r="A171" s="183">
        <v>2020003630140</v>
      </c>
      <c r="B171" s="180" t="s">
        <v>1029</v>
      </c>
      <c r="C171" s="329">
        <f>SUM('SGTO POAI 2022'!BF269:BF271)</f>
        <v>90000000</v>
      </c>
      <c r="D171" s="468">
        <f t="shared" si="18"/>
        <v>1</v>
      </c>
      <c r="E171" s="336">
        <f>SUM('SGTO POAI 2022'!BG269:BG271)</f>
        <v>86550000</v>
      </c>
      <c r="F171" s="500">
        <f t="shared" si="17"/>
        <v>0.96166666666666667</v>
      </c>
      <c r="G171" s="512">
        <f>SUM('SGTO POAI 2022'!BH269:BH271)</f>
        <v>86550000</v>
      </c>
      <c r="H171" s="520">
        <f t="shared" ref="H171:H192" si="21">G171/E171</f>
        <v>1</v>
      </c>
    </row>
    <row r="172" spans="1:8" ht="66" customHeight="1" x14ac:dyDescent="0.25">
      <c r="A172" s="183">
        <v>2020003630040</v>
      </c>
      <c r="B172" s="180" t="s">
        <v>1038</v>
      </c>
      <c r="C172" s="329">
        <f>'SGTO POAI 2022'!BF272</f>
        <v>28000000</v>
      </c>
      <c r="D172" s="468">
        <f t="shared" si="18"/>
        <v>1</v>
      </c>
      <c r="E172" s="336">
        <f>'SGTO POAI 2022'!BG272</f>
        <v>26678380.960000001</v>
      </c>
      <c r="F172" s="500">
        <f t="shared" si="17"/>
        <v>0.95279932000000001</v>
      </c>
      <c r="G172" s="512">
        <f>'SGTO POAI 2022'!BH272</f>
        <v>18023380.960000001</v>
      </c>
      <c r="H172" s="520">
        <f t="shared" si="21"/>
        <v>0.67558001315833971</v>
      </c>
    </row>
    <row r="173" spans="1:8" ht="33" customHeight="1" thickBot="1" x14ac:dyDescent="0.3">
      <c r="A173" s="501">
        <v>4</v>
      </c>
      <c r="B173" s="505" t="s">
        <v>27</v>
      </c>
      <c r="C173" s="498">
        <f>C174</f>
        <v>410560000</v>
      </c>
      <c r="D173" s="506">
        <f t="shared" si="18"/>
        <v>1</v>
      </c>
      <c r="E173" s="498">
        <f>E174</f>
        <v>402050000</v>
      </c>
      <c r="F173" s="477">
        <f t="shared" si="17"/>
        <v>0.97927221356196414</v>
      </c>
      <c r="G173" s="515">
        <f>G174</f>
        <v>215299666</v>
      </c>
      <c r="H173" s="518">
        <f t="shared" si="21"/>
        <v>0.53550470339510015</v>
      </c>
    </row>
    <row r="174" spans="1:8" ht="66" customHeight="1" thickBot="1" x14ac:dyDescent="0.3">
      <c r="A174" s="183">
        <v>2020003630141</v>
      </c>
      <c r="B174" s="180" t="s">
        <v>1043</v>
      </c>
      <c r="C174" s="329">
        <f>SUM('SGTO POAI 2022'!BF273:BF278)</f>
        <v>410560000</v>
      </c>
      <c r="D174" s="468">
        <f t="shared" si="18"/>
        <v>1</v>
      </c>
      <c r="E174" s="336">
        <f>SUM('SGTO POAI 2022'!BG273:BG278)</f>
        <v>402050000</v>
      </c>
      <c r="F174" s="500">
        <f t="shared" si="17"/>
        <v>0.97927221356196414</v>
      </c>
      <c r="G174" s="512">
        <f>SUM('SGTO POAI 2022'!BH273:BH278)</f>
        <v>215299666</v>
      </c>
      <c r="H174" s="520">
        <f t="shared" si="21"/>
        <v>0.53550470339510015</v>
      </c>
    </row>
    <row r="175" spans="1:8" ht="33" customHeight="1" thickBot="1" x14ac:dyDescent="0.3">
      <c r="A175" s="637" t="s">
        <v>1330</v>
      </c>
      <c r="B175" s="638"/>
      <c r="C175" s="487">
        <f>C176</f>
        <v>6744858478.1300001</v>
      </c>
      <c r="D175" s="470">
        <f t="shared" si="18"/>
        <v>1</v>
      </c>
      <c r="E175" s="487">
        <f>E176</f>
        <v>4539711210.1300001</v>
      </c>
      <c r="F175" s="448">
        <f t="shared" si="17"/>
        <v>0.67306248527672996</v>
      </c>
      <c r="G175" s="487">
        <f>G176</f>
        <v>3000763754.1300001</v>
      </c>
      <c r="H175" s="489">
        <f t="shared" si="21"/>
        <v>0.661003225807412</v>
      </c>
    </row>
    <row r="176" spans="1:8" ht="23.25" customHeight="1" thickBot="1" x14ac:dyDescent="0.3">
      <c r="A176" s="502">
        <v>1</v>
      </c>
      <c r="B176" s="497" t="s">
        <v>112</v>
      </c>
      <c r="C176" s="498">
        <f>SUM(C177:C179)</f>
        <v>6744858478.1300001</v>
      </c>
      <c r="D176" s="506">
        <f t="shared" ref="D176" si="22">C176/C176</f>
        <v>1</v>
      </c>
      <c r="E176" s="498">
        <f>SUM(E177:E179)</f>
        <v>4539711210.1300001</v>
      </c>
      <c r="F176" s="477">
        <f t="shared" si="17"/>
        <v>0.67306248527672996</v>
      </c>
      <c r="G176" s="498">
        <f>SUM(G177:G179)</f>
        <v>3000763754.1300001</v>
      </c>
      <c r="H176" s="518">
        <f>G176/E176</f>
        <v>0.661003225807412</v>
      </c>
    </row>
    <row r="177" spans="1:8" ht="41.25" customHeight="1" thickBot="1" x14ac:dyDescent="0.3">
      <c r="A177" s="183">
        <v>2020003630009</v>
      </c>
      <c r="B177" s="180" t="s">
        <v>1058</v>
      </c>
      <c r="C177" s="329">
        <f>SUM('SGTO POAI 2022'!BF279:BF282)</f>
        <v>2301304747.0700002</v>
      </c>
      <c r="D177" s="468">
        <f t="shared" si="18"/>
        <v>1</v>
      </c>
      <c r="E177" s="336">
        <f>SUM('SGTO POAI 2022'!BG279:BG282)</f>
        <v>1543027395.1300001</v>
      </c>
      <c r="F177" s="500">
        <f t="shared" si="17"/>
        <v>0.67050111337690854</v>
      </c>
      <c r="G177" s="512">
        <f>SUM('SGTO POAI 2022'!BH279:BH282)</f>
        <v>1228613154.1300001</v>
      </c>
      <c r="H177" s="520">
        <f t="shared" si="21"/>
        <v>0.7962354770937099</v>
      </c>
    </row>
    <row r="178" spans="1:8" ht="41.25" customHeight="1" thickBot="1" x14ac:dyDescent="0.3">
      <c r="A178" s="183">
        <v>2020003630010</v>
      </c>
      <c r="B178" s="180" t="s">
        <v>1071</v>
      </c>
      <c r="C178" s="329">
        <f>SUM('SGTO POAI 2022'!BF283)</f>
        <v>4390203419.1800003</v>
      </c>
      <c r="D178" s="468">
        <f t="shared" si="18"/>
        <v>1</v>
      </c>
      <c r="E178" s="336">
        <f>SUM('SGTO POAI 2022'!BG283)</f>
        <v>2965683815</v>
      </c>
      <c r="F178" s="500">
        <f t="shared" si="17"/>
        <v>0.67552309809688238</v>
      </c>
      <c r="G178" s="512">
        <f>SUM('SGTO POAI 2022'!BH283)</f>
        <v>1760150600</v>
      </c>
      <c r="H178" s="520">
        <f t="shared" si="21"/>
        <v>0.5935058184886105</v>
      </c>
    </row>
    <row r="179" spans="1:8" ht="41.25" customHeight="1" thickBot="1" x14ac:dyDescent="0.3">
      <c r="A179" s="183">
        <v>2020003630013</v>
      </c>
      <c r="B179" s="180" t="s">
        <v>1076</v>
      </c>
      <c r="C179" s="329">
        <f>'SGTO POAI 2022'!BF284</f>
        <v>53350311.879999995</v>
      </c>
      <c r="D179" s="468">
        <f t="shared" si="18"/>
        <v>1</v>
      </c>
      <c r="E179" s="336">
        <f>'SGTO POAI 2022'!BG284</f>
        <v>31000000</v>
      </c>
      <c r="F179" s="500">
        <f t="shared" si="17"/>
        <v>0.58106501925851539</v>
      </c>
      <c r="G179" s="512">
        <f>'SGTO POAI 2022'!BH284</f>
        <v>12000000</v>
      </c>
      <c r="H179" s="520">
        <f t="shared" si="21"/>
        <v>0.38709677419354838</v>
      </c>
    </row>
    <row r="180" spans="1:8" ht="33" customHeight="1" thickBot="1" x14ac:dyDescent="0.3">
      <c r="A180" s="637" t="s">
        <v>1507</v>
      </c>
      <c r="B180" s="638"/>
      <c r="C180" s="487">
        <f>C181+C184+C187</f>
        <v>3175054512</v>
      </c>
      <c r="D180" s="489">
        <f t="shared" si="18"/>
        <v>1</v>
      </c>
      <c r="E180" s="487">
        <f>E181+E184+E187</f>
        <v>1108224927.79</v>
      </c>
      <c r="F180" s="448">
        <f t="shared" si="17"/>
        <v>0.34904122861560494</v>
      </c>
      <c r="G180" s="487">
        <f>G181+G184+G187</f>
        <v>759933973.39999998</v>
      </c>
      <c r="H180" s="489">
        <f t="shared" si="21"/>
        <v>0.68572178295560016</v>
      </c>
    </row>
    <row r="181" spans="1:8" ht="25.5" customHeight="1" thickBot="1" x14ac:dyDescent="0.3">
      <c r="A181" s="502">
        <v>1</v>
      </c>
      <c r="B181" s="497" t="s">
        <v>112</v>
      </c>
      <c r="C181" s="498">
        <f>SUM(C182:C183)</f>
        <v>1597009971</v>
      </c>
      <c r="D181" s="506">
        <f t="shared" si="18"/>
        <v>1</v>
      </c>
      <c r="E181" s="498">
        <f>SUM(E182:E183)</f>
        <v>426731559.54000002</v>
      </c>
      <c r="F181" s="477">
        <f t="shared" ref="F181" si="23">E181/C181</f>
        <v>0.26720657183673902</v>
      </c>
      <c r="G181" s="498">
        <f>SUM(G182:G183)</f>
        <v>277840656.64999998</v>
      </c>
      <c r="H181" s="518">
        <f>G181/E181</f>
        <v>0.6510900130037286</v>
      </c>
    </row>
    <row r="182" spans="1:8" ht="44.25" customHeight="1" thickBot="1" x14ac:dyDescent="0.3">
      <c r="A182" s="183">
        <v>2020003630142</v>
      </c>
      <c r="B182" s="180" t="s">
        <v>1080</v>
      </c>
      <c r="C182" s="329">
        <f>'SGTO POAI 2022'!BF285</f>
        <v>798809971</v>
      </c>
      <c r="D182" s="468">
        <f t="shared" si="18"/>
        <v>1</v>
      </c>
      <c r="E182" s="336">
        <f>'SGTO POAI 2022'!BG285</f>
        <v>232544491.30000001</v>
      </c>
      <c r="F182" s="500">
        <f t="shared" si="17"/>
        <v>0.29111365624152935</v>
      </c>
      <c r="G182" s="512">
        <f>'SGTO POAI 2022'!BH285</f>
        <v>175812721.41</v>
      </c>
      <c r="H182" s="520">
        <f t="shared" si="21"/>
        <v>0.7560390720379967</v>
      </c>
    </row>
    <row r="183" spans="1:8" ht="44.25" customHeight="1" x14ac:dyDescent="0.25">
      <c r="A183" s="183">
        <v>2020003630143</v>
      </c>
      <c r="B183" s="180" t="s">
        <v>1082</v>
      </c>
      <c r="C183" s="329">
        <f>'SGTO POAI 2022'!BF286</f>
        <v>798200000</v>
      </c>
      <c r="D183" s="468">
        <f t="shared" si="18"/>
        <v>1</v>
      </c>
      <c r="E183" s="336">
        <f>'SGTO POAI 2022'!BG286</f>
        <v>194187068.24000001</v>
      </c>
      <c r="F183" s="500">
        <f t="shared" si="17"/>
        <v>0.24328121804059133</v>
      </c>
      <c r="G183" s="512">
        <f>'SGTO POAI 2022'!BH286</f>
        <v>102027935.23999999</v>
      </c>
      <c r="H183" s="520">
        <f t="shared" si="21"/>
        <v>0.52541055470234221</v>
      </c>
    </row>
    <row r="184" spans="1:8" ht="44.25" customHeight="1" thickBot="1" x14ac:dyDescent="0.3">
      <c r="A184" s="501">
        <v>3</v>
      </c>
      <c r="B184" s="505" t="s">
        <v>150</v>
      </c>
      <c r="C184" s="498">
        <f>SUM(C185:C186)</f>
        <v>1528044541</v>
      </c>
      <c r="D184" s="506">
        <f t="shared" si="18"/>
        <v>1</v>
      </c>
      <c r="E184" s="498">
        <f>SUM(E185:E186)</f>
        <v>678048368.25</v>
      </c>
      <c r="F184" s="477">
        <f t="shared" si="17"/>
        <v>0.44373599725454599</v>
      </c>
      <c r="G184" s="498">
        <f>SUM(G185:G186)</f>
        <v>482093316.75</v>
      </c>
      <c r="H184" s="518">
        <f t="shared" si="21"/>
        <v>0.71100136704738692</v>
      </c>
    </row>
    <row r="185" spans="1:8" ht="44.25" customHeight="1" thickBot="1" x14ac:dyDescent="0.3">
      <c r="A185" s="183">
        <v>2020003630144</v>
      </c>
      <c r="B185" s="180" t="s">
        <v>1331</v>
      </c>
      <c r="C185" s="329">
        <f>'SGTO POAI 2022'!BF287</f>
        <v>325000000</v>
      </c>
      <c r="D185" s="468">
        <f t="shared" si="18"/>
        <v>1</v>
      </c>
      <c r="E185" s="336">
        <f>'SGTO POAI 2022'!BG287</f>
        <v>318894006.02999997</v>
      </c>
      <c r="F185" s="500">
        <f t="shared" si="17"/>
        <v>0.98121232624615373</v>
      </c>
      <c r="G185" s="512">
        <f>'SGTO POAI 2022'!BH287</f>
        <v>225173923.61000001</v>
      </c>
      <c r="H185" s="520">
        <f t="shared" si="21"/>
        <v>0.7061089871623889</v>
      </c>
    </row>
    <row r="186" spans="1:8" ht="44.25" customHeight="1" thickBot="1" x14ac:dyDescent="0.3">
      <c r="A186" s="183">
        <v>2020003630145</v>
      </c>
      <c r="B186" s="180" t="s">
        <v>1332</v>
      </c>
      <c r="C186" s="329">
        <f>SUM('SGTO POAI 2022'!BF288:BF294)</f>
        <v>1203044541</v>
      </c>
      <c r="D186" s="468">
        <f t="shared" si="18"/>
        <v>1</v>
      </c>
      <c r="E186" s="336">
        <f>SUM('SGTO POAI 2022'!BG288:BG294)</f>
        <v>359154362.22000003</v>
      </c>
      <c r="F186" s="500">
        <f t="shared" si="17"/>
        <v>0.29853787617993111</v>
      </c>
      <c r="G186" s="512">
        <f>SUM('SGTO POAI 2022'!BH288:BH294)</f>
        <v>256919393.13999999</v>
      </c>
      <c r="H186" s="520">
        <f t="shared" si="21"/>
        <v>0.71534532269616147</v>
      </c>
    </row>
    <row r="187" spans="1:8" ht="44.25" customHeight="1" thickBot="1" x14ac:dyDescent="0.3">
      <c r="A187" s="501">
        <v>4</v>
      </c>
      <c r="B187" s="505" t="s">
        <v>27</v>
      </c>
      <c r="C187" s="498">
        <f>C188</f>
        <v>50000000</v>
      </c>
      <c r="D187" s="506">
        <f t="shared" ref="D187" si="24">C187/C187</f>
        <v>1</v>
      </c>
      <c r="E187" s="498">
        <f>E188</f>
        <v>3445000</v>
      </c>
      <c r="F187" s="500">
        <f t="shared" si="17"/>
        <v>6.8900000000000003E-2</v>
      </c>
      <c r="G187" s="498">
        <f>G188</f>
        <v>0</v>
      </c>
      <c r="H187" s="518">
        <f t="shared" ref="H187" si="25">G187/E187</f>
        <v>0</v>
      </c>
    </row>
    <row r="188" spans="1:8" ht="33" customHeight="1" thickBot="1" x14ac:dyDescent="0.3">
      <c r="A188" s="523">
        <v>2022003630006</v>
      </c>
      <c r="B188" s="524" t="s">
        <v>1503</v>
      </c>
      <c r="C188" s="525">
        <f>'SGTO POAI 2022'!BF295</f>
        <v>50000000</v>
      </c>
      <c r="D188" s="468">
        <f>C188/C188</f>
        <v>1</v>
      </c>
      <c r="E188" s="525">
        <f>'SGTO POAI 2022'!BG295</f>
        <v>3445000</v>
      </c>
      <c r="F188" s="500">
        <f t="shared" si="17"/>
        <v>6.8900000000000003E-2</v>
      </c>
      <c r="G188" s="525">
        <f>'SGTO POAI 2022'!BH295</f>
        <v>0</v>
      </c>
      <c r="H188" s="520">
        <f t="shared" si="21"/>
        <v>0</v>
      </c>
    </row>
    <row r="189" spans="1:8" ht="23.25" customHeight="1" thickBot="1" x14ac:dyDescent="0.3">
      <c r="A189" s="637" t="s">
        <v>1334</v>
      </c>
      <c r="B189" s="638"/>
      <c r="C189" s="487">
        <f>C190</f>
        <v>113516300</v>
      </c>
      <c r="D189" s="470">
        <f t="shared" si="18"/>
        <v>1</v>
      </c>
      <c r="E189" s="487">
        <f>E190</f>
        <v>79300000</v>
      </c>
      <c r="F189" s="448">
        <f t="shared" si="17"/>
        <v>0.69857808966641799</v>
      </c>
      <c r="G189" s="487">
        <f>G190</f>
        <v>3750000</v>
      </c>
      <c r="H189" s="490">
        <f t="shared" si="21"/>
        <v>4.728877679697352E-2</v>
      </c>
    </row>
    <row r="190" spans="1:8" ht="39" customHeight="1" thickBot="1" x14ac:dyDescent="0.3">
      <c r="A190" s="501">
        <v>3</v>
      </c>
      <c r="B190" s="505" t="s">
        <v>150</v>
      </c>
      <c r="C190" s="498">
        <f>C191</f>
        <v>113516300</v>
      </c>
      <c r="D190" s="506">
        <f t="shared" ref="D190" si="26">C190/C190</f>
        <v>1</v>
      </c>
      <c r="E190" s="498">
        <f>E191</f>
        <v>79300000</v>
      </c>
      <c r="F190" s="477">
        <f t="shared" ref="F190" si="27">E190/C190</f>
        <v>0.69857808966641799</v>
      </c>
      <c r="G190" s="498">
        <f>G191</f>
        <v>3750000</v>
      </c>
      <c r="H190" s="518">
        <f t="shared" ref="H190" si="28">G190/E190</f>
        <v>4.728877679697352E-2</v>
      </c>
    </row>
    <row r="191" spans="1:8" ht="42" customHeight="1" thickBot="1" x14ac:dyDescent="0.3">
      <c r="A191" s="184">
        <v>2020003630149</v>
      </c>
      <c r="B191" s="185" t="s">
        <v>1114</v>
      </c>
      <c r="C191" s="334">
        <f>SUM('SGTO POAI 2022'!BF296:BF299)</f>
        <v>113516300</v>
      </c>
      <c r="D191" s="472">
        <f t="shared" si="18"/>
        <v>1</v>
      </c>
      <c r="E191" s="339">
        <f>SUM('SGTO POAI 2022'!BG296:BG299)</f>
        <v>79300000</v>
      </c>
      <c r="F191" s="500">
        <f t="shared" si="17"/>
        <v>0.69857808966641799</v>
      </c>
      <c r="G191" s="513">
        <f>SUM('SGTO POAI 2022'!BH296:BH299)</f>
        <v>3750000</v>
      </c>
      <c r="H191" s="522">
        <f t="shared" si="21"/>
        <v>4.728877679697352E-2</v>
      </c>
    </row>
    <row r="192" spans="1:8" ht="33.75" customHeight="1" thickBot="1" x14ac:dyDescent="0.3">
      <c r="A192" s="644" t="s">
        <v>1337</v>
      </c>
      <c r="B192" s="645"/>
      <c r="C192" s="335">
        <f>C189+C180+C175+C165+C140+C111+C99+C94+C72+C65+C59+C43+C22+C18+C9+C3</f>
        <v>358380943965.87</v>
      </c>
      <c r="D192" s="473">
        <f t="shared" si="18"/>
        <v>1</v>
      </c>
      <c r="E192" s="335">
        <f>E189+E180+E175+E165+E140+E111+E99+E94+E72+E65+E59+E43+E22+E18+E9+E3</f>
        <v>243434804509.23004</v>
      </c>
      <c r="F192" s="448">
        <f t="shared" si="17"/>
        <v>0.67926269130094508</v>
      </c>
      <c r="G192" s="335">
        <f>G189+G180+G175+G165+G140+G111+G99+G94+G72+G65+G59+G43+G22+G18+G9+G3</f>
        <v>199743346849.69</v>
      </c>
      <c r="H192" s="483">
        <f t="shared" si="21"/>
        <v>0.82052090806151168</v>
      </c>
    </row>
    <row r="198" spans="2:2" ht="15.75" thickBot="1" x14ac:dyDescent="0.3"/>
    <row r="199" spans="2:2" ht="15.75" x14ac:dyDescent="0.25">
      <c r="B199" s="461" t="s">
        <v>1497</v>
      </c>
    </row>
    <row r="200" spans="2:2" x14ac:dyDescent="0.25">
      <c r="B200" s="462" t="s">
        <v>1449</v>
      </c>
    </row>
    <row r="201" spans="2:2" x14ac:dyDescent="0.25">
      <c r="B201" s="463" t="s">
        <v>1451</v>
      </c>
    </row>
    <row r="202" spans="2:2" x14ac:dyDescent="0.25">
      <c r="B202" s="464" t="s">
        <v>1453</v>
      </c>
    </row>
    <row r="203" spans="2:2" x14ac:dyDescent="0.25">
      <c r="B203" s="465" t="s">
        <v>1455</v>
      </c>
    </row>
    <row r="204" spans="2:2" ht="15.75" thickBot="1" x14ac:dyDescent="0.3">
      <c r="B204" s="466" t="s">
        <v>1456</v>
      </c>
    </row>
  </sheetData>
  <mergeCells count="18">
    <mergeCell ref="A111:B111"/>
    <mergeCell ref="A140:B140"/>
    <mergeCell ref="A3:B3"/>
    <mergeCell ref="A9:B9"/>
    <mergeCell ref="A18:B18"/>
    <mergeCell ref="A22:B22"/>
    <mergeCell ref="A43:B43"/>
    <mergeCell ref="A59:B59"/>
    <mergeCell ref="A192:B192"/>
    <mergeCell ref="A165:B165"/>
    <mergeCell ref="A175:B175"/>
    <mergeCell ref="A180:B180"/>
    <mergeCell ref="A189:B189"/>
    <mergeCell ref="A65:B65"/>
    <mergeCell ref="A72:B72"/>
    <mergeCell ref="A1:H1"/>
    <mergeCell ref="A94:B94"/>
    <mergeCell ref="A99:B99"/>
  </mergeCells>
  <conditionalFormatting sqref="F3:F9 F11:F18 F20:F22 F24:F29 F31:F32 F34:F39 F41:F43 F45:F52 F54:F55 F57:F59 F61:F65 F67:F72 F74:F85 F87:F94 F96:F99 F101:F108 F110:F111 F113:F130 F132:F133 F135:F140 F142:F165 F167:F169 F171:F172 F174:F175 F177:F180 F182:F183 F185:F186 F188:F189 F191:F192">
    <cfRule type="cellIs" dxfId="144" priority="151" operator="between">
      <formula>0</formula>
      <formula>0.3999</formula>
    </cfRule>
    <cfRule type="cellIs" dxfId="143" priority="152" operator="between">
      <formula>0.4</formula>
      <formula>0.59</formula>
    </cfRule>
    <cfRule type="cellIs" dxfId="142" priority="153" operator="between">
      <formula>0.595</formula>
      <formula>0.69</formula>
    </cfRule>
    <cfRule type="cellIs" dxfId="141" priority="154" operator="between">
      <formula>0.695</formula>
      <formula>0.7949</formula>
    </cfRule>
    <cfRule type="cellIs" dxfId="140" priority="155" operator="between">
      <formula>0.795</formula>
      <formula>1</formula>
    </cfRule>
  </conditionalFormatting>
  <conditionalFormatting sqref="F10">
    <cfRule type="cellIs" dxfId="139" priority="141" operator="between">
      <formula>0</formula>
      <formula>0.3999</formula>
    </cfRule>
    <cfRule type="cellIs" dxfId="138" priority="142" operator="between">
      <formula>0.4</formula>
      <formula>0.59</formula>
    </cfRule>
    <cfRule type="cellIs" dxfId="137" priority="143" operator="between">
      <formula>0.595</formula>
      <formula>0.69</formula>
    </cfRule>
    <cfRule type="cellIs" dxfId="136" priority="144" operator="between">
      <formula>0.695</formula>
      <formula>0.7949</formula>
    </cfRule>
    <cfRule type="cellIs" dxfId="135" priority="145" operator="between">
      <formula>0.795</formula>
      <formula>1</formula>
    </cfRule>
  </conditionalFormatting>
  <conditionalFormatting sqref="F19">
    <cfRule type="cellIs" dxfId="134" priority="136" operator="between">
      <formula>0</formula>
      <formula>0.3999</formula>
    </cfRule>
    <cfRule type="cellIs" dxfId="133" priority="137" operator="between">
      <formula>0.4</formula>
      <formula>0.59</formula>
    </cfRule>
    <cfRule type="cellIs" dxfId="132" priority="138" operator="between">
      <formula>0.595</formula>
      <formula>0.69</formula>
    </cfRule>
    <cfRule type="cellIs" dxfId="131" priority="139" operator="between">
      <formula>0.695</formula>
      <formula>0.7949</formula>
    </cfRule>
    <cfRule type="cellIs" dxfId="130" priority="140" operator="between">
      <formula>0.795</formula>
      <formula>1</formula>
    </cfRule>
  </conditionalFormatting>
  <conditionalFormatting sqref="F23">
    <cfRule type="cellIs" dxfId="129" priority="131" operator="between">
      <formula>0</formula>
      <formula>0.3999</formula>
    </cfRule>
    <cfRule type="cellIs" dxfId="128" priority="132" operator="between">
      <formula>0.4</formula>
      <formula>0.59</formula>
    </cfRule>
    <cfRule type="cellIs" dxfId="127" priority="133" operator="between">
      <formula>0.595</formula>
      <formula>0.69</formula>
    </cfRule>
    <cfRule type="cellIs" dxfId="126" priority="134" operator="between">
      <formula>0.695</formula>
      <formula>0.7949</formula>
    </cfRule>
    <cfRule type="cellIs" dxfId="125" priority="135" operator="between">
      <formula>0.795</formula>
      <formula>1</formula>
    </cfRule>
  </conditionalFormatting>
  <conditionalFormatting sqref="F30">
    <cfRule type="cellIs" dxfId="124" priority="126" operator="between">
      <formula>0</formula>
      <formula>0.3999</formula>
    </cfRule>
    <cfRule type="cellIs" dxfId="123" priority="127" operator="between">
      <formula>0.4</formula>
      <formula>0.59</formula>
    </cfRule>
    <cfRule type="cellIs" dxfId="122" priority="128" operator="between">
      <formula>0.595</formula>
      <formula>0.69</formula>
    </cfRule>
    <cfRule type="cellIs" dxfId="121" priority="129" operator="between">
      <formula>0.695</formula>
      <formula>0.7949</formula>
    </cfRule>
    <cfRule type="cellIs" dxfId="120" priority="130" operator="between">
      <formula>0.795</formula>
      <formula>1</formula>
    </cfRule>
  </conditionalFormatting>
  <conditionalFormatting sqref="F33">
    <cfRule type="cellIs" dxfId="119" priority="121" operator="between">
      <formula>0</formula>
      <formula>0.3999</formula>
    </cfRule>
    <cfRule type="cellIs" dxfId="118" priority="122" operator="between">
      <formula>0.4</formula>
      <formula>0.59</formula>
    </cfRule>
    <cfRule type="cellIs" dxfId="117" priority="123" operator="between">
      <formula>0.595</formula>
      <formula>0.69</formula>
    </cfRule>
    <cfRule type="cellIs" dxfId="116" priority="124" operator="between">
      <formula>0.695</formula>
      <formula>0.7949</formula>
    </cfRule>
    <cfRule type="cellIs" dxfId="115" priority="125" operator="between">
      <formula>0.795</formula>
      <formula>1</formula>
    </cfRule>
  </conditionalFormatting>
  <conditionalFormatting sqref="F40">
    <cfRule type="cellIs" dxfId="114" priority="116" operator="between">
      <formula>0</formula>
      <formula>0.3999</formula>
    </cfRule>
    <cfRule type="cellIs" dxfId="113" priority="117" operator="between">
      <formula>0.4</formula>
      <formula>0.59</formula>
    </cfRule>
    <cfRule type="cellIs" dxfId="112" priority="118" operator="between">
      <formula>0.595</formula>
      <formula>0.69</formula>
    </cfRule>
    <cfRule type="cellIs" dxfId="111" priority="119" operator="between">
      <formula>0.695</formula>
      <formula>0.7949</formula>
    </cfRule>
    <cfRule type="cellIs" dxfId="110" priority="120" operator="between">
      <formula>0.795</formula>
      <formula>1</formula>
    </cfRule>
  </conditionalFormatting>
  <conditionalFormatting sqref="F44">
    <cfRule type="cellIs" dxfId="109" priority="111" operator="between">
      <formula>0</formula>
      <formula>0.3999</formula>
    </cfRule>
    <cfRule type="cellIs" dxfId="108" priority="112" operator="between">
      <formula>0.4</formula>
      <formula>0.59</formula>
    </cfRule>
    <cfRule type="cellIs" dxfId="107" priority="113" operator="between">
      <formula>0.595</formula>
      <formula>0.69</formula>
    </cfRule>
    <cfRule type="cellIs" dxfId="106" priority="114" operator="between">
      <formula>0.695</formula>
      <formula>0.7949</formula>
    </cfRule>
    <cfRule type="cellIs" dxfId="105" priority="115" operator="between">
      <formula>0.795</formula>
      <formula>1</formula>
    </cfRule>
  </conditionalFormatting>
  <conditionalFormatting sqref="F53">
    <cfRule type="cellIs" dxfId="104" priority="106" operator="between">
      <formula>0</formula>
      <formula>0.3999</formula>
    </cfRule>
    <cfRule type="cellIs" dxfId="103" priority="107" operator="between">
      <formula>0.4</formula>
      <formula>0.59</formula>
    </cfRule>
    <cfRule type="cellIs" dxfId="102" priority="108" operator="between">
      <formula>0.595</formula>
      <formula>0.69</formula>
    </cfRule>
    <cfRule type="cellIs" dxfId="101" priority="109" operator="between">
      <formula>0.695</formula>
      <formula>0.7949</formula>
    </cfRule>
    <cfRule type="cellIs" dxfId="100" priority="110" operator="between">
      <formula>0.795</formula>
      <formula>1</formula>
    </cfRule>
  </conditionalFormatting>
  <conditionalFormatting sqref="F56">
    <cfRule type="cellIs" dxfId="99" priority="101" operator="between">
      <formula>0</formula>
      <formula>0.3999</formula>
    </cfRule>
    <cfRule type="cellIs" dxfId="98" priority="102" operator="between">
      <formula>0.4</formula>
      <formula>0.59</formula>
    </cfRule>
    <cfRule type="cellIs" dxfId="97" priority="103" operator="between">
      <formula>0.595</formula>
      <formula>0.69</formula>
    </cfRule>
    <cfRule type="cellIs" dxfId="96" priority="104" operator="between">
      <formula>0.695</formula>
      <formula>0.7949</formula>
    </cfRule>
    <cfRule type="cellIs" dxfId="95" priority="105" operator="between">
      <formula>0.795</formula>
      <formula>1</formula>
    </cfRule>
  </conditionalFormatting>
  <conditionalFormatting sqref="F60">
    <cfRule type="cellIs" dxfId="94" priority="96" operator="between">
      <formula>0</formula>
      <formula>0.3999</formula>
    </cfRule>
    <cfRule type="cellIs" dxfId="93" priority="97" operator="between">
      <formula>0.4</formula>
      <formula>0.59</formula>
    </cfRule>
    <cfRule type="cellIs" dxfId="92" priority="98" operator="between">
      <formula>0.595</formula>
      <formula>0.69</formula>
    </cfRule>
    <cfRule type="cellIs" dxfId="91" priority="99" operator="between">
      <formula>0.695</formula>
      <formula>0.7949</formula>
    </cfRule>
    <cfRule type="cellIs" dxfId="90" priority="100" operator="between">
      <formula>0.795</formula>
      <formula>1</formula>
    </cfRule>
  </conditionalFormatting>
  <conditionalFormatting sqref="F66">
    <cfRule type="cellIs" dxfId="89" priority="91" operator="between">
      <formula>0</formula>
      <formula>0.3999</formula>
    </cfRule>
    <cfRule type="cellIs" dxfId="88" priority="92" operator="between">
      <formula>0.4</formula>
      <formula>0.59</formula>
    </cfRule>
    <cfRule type="cellIs" dxfId="87" priority="93" operator="between">
      <formula>0.595</formula>
      <formula>0.69</formula>
    </cfRule>
    <cfRule type="cellIs" dxfId="86" priority="94" operator="between">
      <formula>0.695</formula>
      <formula>0.7949</formula>
    </cfRule>
    <cfRule type="cellIs" dxfId="85" priority="95" operator="between">
      <formula>0.795</formula>
      <formula>1</formula>
    </cfRule>
  </conditionalFormatting>
  <conditionalFormatting sqref="F73">
    <cfRule type="cellIs" dxfId="84" priority="86" operator="between">
      <formula>0</formula>
      <formula>0.3999</formula>
    </cfRule>
    <cfRule type="cellIs" dxfId="83" priority="87" operator="between">
      <formula>0.4</formula>
      <formula>0.59</formula>
    </cfRule>
    <cfRule type="cellIs" dxfId="82" priority="88" operator="between">
      <formula>0.595</formula>
      <formula>0.69</formula>
    </cfRule>
    <cfRule type="cellIs" dxfId="81" priority="89" operator="between">
      <formula>0.695</formula>
      <formula>0.7949</formula>
    </cfRule>
    <cfRule type="cellIs" dxfId="80" priority="90" operator="between">
      <formula>0.795</formula>
      <formula>1</formula>
    </cfRule>
  </conditionalFormatting>
  <conditionalFormatting sqref="F86">
    <cfRule type="cellIs" dxfId="79" priority="81" operator="between">
      <formula>0</formula>
      <formula>0.3999</formula>
    </cfRule>
    <cfRule type="cellIs" dxfId="78" priority="82" operator="between">
      <formula>0.4</formula>
      <formula>0.59</formula>
    </cfRule>
    <cfRule type="cellIs" dxfId="77" priority="83" operator="between">
      <formula>0.595</formula>
      <formula>0.69</formula>
    </cfRule>
    <cfRule type="cellIs" dxfId="76" priority="84" operator="between">
      <formula>0.695</formula>
      <formula>0.7949</formula>
    </cfRule>
    <cfRule type="cellIs" dxfId="75" priority="85" operator="between">
      <formula>0.795</formula>
      <formula>1</formula>
    </cfRule>
  </conditionalFormatting>
  <conditionalFormatting sqref="F95">
    <cfRule type="cellIs" dxfId="74" priority="76" operator="between">
      <formula>0</formula>
      <formula>0.3999</formula>
    </cfRule>
    <cfRule type="cellIs" dxfId="73" priority="77" operator="between">
      <formula>0.4</formula>
      <formula>0.59</formula>
    </cfRule>
    <cfRule type="cellIs" dxfId="72" priority="78" operator="between">
      <formula>0.595</formula>
      <formula>0.69</formula>
    </cfRule>
    <cfRule type="cellIs" dxfId="71" priority="79" operator="between">
      <formula>0.695</formula>
      <formula>0.7949</formula>
    </cfRule>
    <cfRule type="cellIs" dxfId="70" priority="80" operator="between">
      <formula>0.795</formula>
      <formula>1</formula>
    </cfRule>
  </conditionalFormatting>
  <conditionalFormatting sqref="F100">
    <cfRule type="cellIs" dxfId="69" priority="71" operator="between">
      <formula>0</formula>
      <formula>0.3999</formula>
    </cfRule>
    <cfRule type="cellIs" dxfId="68" priority="72" operator="between">
      <formula>0.4</formula>
      <formula>0.59</formula>
    </cfRule>
    <cfRule type="cellIs" dxfId="67" priority="73" operator="between">
      <formula>0.595</formula>
      <formula>0.69</formula>
    </cfRule>
    <cfRule type="cellIs" dxfId="66" priority="74" operator="between">
      <formula>0.695</formula>
      <formula>0.7949</formula>
    </cfRule>
    <cfRule type="cellIs" dxfId="65" priority="75" operator="between">
      <formula>0.795</formula>
      <formula>1</formula>
    </cfRule>
  </conditionalFormatting>
  <conditionalFormatting sqref="F109">
    <cfRule type="cellIs" dxfId="64" priority="66" operator="between">
      <formula>0</formula>
      <formula>0.3999</formula>
    </cfRule>
    <cfRule type="cellIs" dxfId="63" priority="67" operator="between">
      <formula>0.4</formula>
      <formula>0.59</formula>
    </cfRule>
    <cfRule type="cellIs" dxfId="62" priority="68" operator="between">
      <formula>0.595</formula>
      <formula>0.69</formula>
    </cfRule>
    <cfRule type="cellIs" dxfId="61" priority="69" operator="between">
      <formula>0.695</formula>
      <formula>0.7949</formula>
    </cfRule>
    <cfRule type="cellIs" dxfId="60" priority="70" operator="between">
      <formula>0.795</formula>
      <formula>1</formula>
    </cfRule>
  </conditionalFormatting>
  <conditionalFormatting sqref="F112">
    <cfRule type="cellIs" dxfId="59" priority="61" operator="between">
      <formula>0</formula>
      <formula>0.3999</formula>
    </cfRule>
    <cfRule type="cellIs" dxfId="58" priority="62" operator="between">
      <formula>0.4</formula>
      <formula>0.59</formula>
    </cfRule>
    <cfRule type="cellIs" dxfId="57" priority="63" operator="between">
      <formula>0.595</formula>
      <formula>0.69</formula>
    </cfRule>
    <cfRule type="cellIs" dxfId="56" priority="64" operator="between">
      <formula>0.695</formula>
      <formula>0.7949</formula>
    </cfRule>
    <cfRule type="cellIs" dxfId="55" priority="65" operator="between">
      <formula>0.795</formula>
      <formula>1</formula>
    </cfRule>
  </conditionalFormatting>
  <conditionalFormatting sqref="F131">
    <cfRule type="cellIs" dxfId="54" priority="56" operator="between">
      <formula>0</formula>
      <formula>0.3999</formula>
    </cfRule>
    <cfRule type="cellIs" dxfId="53" priority="57" operator="between">
      <formula>0.4</formula>
      <formula>0.59</formula>
    </cfRule>
    <cfRule type="cellIs" dxfId="52" priority="58" operator="between">
      <formula>0.595</formula>
      <formula>0.69</formula>
    </cfRule>
    <cfRule type="cellIs" dxfId="51" priority="59" operator="between">
      <formula>0.695</formula>
      <formula>0.7949</formula>
    </cfRule>
    <cfRule type="cellIs" dxfId="50" priority="60" operator="between">
      <formula>0.795</formula>
      <formula>1</formula>
    </cfRule>
  </conditionalFormatting>
  <conditionalFormatting sqref="F134">
    <cfRule type="cellIs" dxfId="49" priority="51" operator="between">
      <formula>0</formula>
      <formula>0.3999</formula>
    </cfRule>
    <cfRule type="cellIs" dxfId="48" priority="52" operator="between">
      <formula>0.4</formula>
      <formula>0.59</formula>
    </cfRule>
    <cfRule type="cellIs" dxfId="47" priority="53" operator="between">
      <formula>0.595</formula>
      <formula>0.69</formula>
    </cfRule>
    <cfRule type="cellIs" dxfId="46" priority="54" operator="between">
      <formula>0.695</formula>
      <formula>0.7949</formula>
    </cfRule>
    <cfRule type="cellIs" dxfId="45" priority="55" operator="between">
      <formula>0.795</formula>
      <formula>1</formula>
    </cfRule>
  </conditionalFormatting>
  <conditionalFormatting sqref="F141">
    <cfRule type="cellIs" dxfId="44" priority="46" operator="between">
      <formula>0</formula>
      <formula>0.3999</formula>
    </cfRule>
    <cfRule type="cellIs" dxfId="43" priority="47" operator="between">
      <formula>0.4</formula>
      <formula>0.59</formula>
    </cfRule>
    <cfRule type="cellIs" dxfId="42" priority="48" operator="between">
      <formula>0.595</formula>
      <formula>0.69</formula>
    </cfRule>
    <cfRule type="cellIs" dxfId="41" priority="49" operator="between">
      <formula>0.695</formula>
      <formula>0.7949</formula>
    </cfRule>
    <cfRule type="cellIs" dxfId="40" priority="50" operator="between">
      <formula>0.795</formula>
      <formula>1</formula>
    </cfRule>
  </conditionalFormatting>
  <conditionalFormatting sqref="F166">
    <cfRule type="cellIs" dxfId="39" priority="41" operator="between">
      <formula>0</formula>
      <formula>0.3999</formula>
    </cfRule>
    <cfRule type="cellIs" dxfId="38" priority="42" operator="between">
      <formula>0.4</formula>
      <formula>0.59</formula>
    </cfRule>
    <cfRule type="cellIs" dxfId="37" priority="43" operator="between">
      <formula>0.595</formula>
      <formula>0.69</formula>
    </cfRule>
    <cfRule type="cellIs" dxfId="36" priority="44" operator="between">
      <formula>0.695</formula>
      <formula>0.7949</formula>
    </cfRule>
    <cfRule type="cellIs" dxfId="35" priority="45" operator="between">
      <formula>0.795</formula>
      <formula>1</formula>
    </cfRule>
  </conditionalFormatting>
  <conditionalFormatting sqref="F170">
    <cfRule type="cellIs" dxfId="34" priority="36" operator="between">
      <formula>0</formula>
      <formula>0.3999</formula>
    </cfRule>
    <cfRule type="cellIs" dxfId="33" priority="37" operator="between">
      <formula>0.4</formula>
      <formula>0.59</formula>
    </cfRule>
    <cfRule type="cellIs" dxfId="32" priority="38" operator="between">
      <formula>0.595</formula>
      <formula>0.69</formula>
    </cfRule>
    <cfRule type="cellIs" dxfId="31" priority="39" operator="between">
      <formula>0.695</formula>
      <formula>0.7949</formula>
    </cfRule>
    <cfRule type="cellIs" dxfId="30" priority="40" operator="between">
      <formula>0.795</formula>
      <formula>1</formula>
    </cfRule>
  </conditionalFormatting>
  <conditionalFormatting sqref="F173">
    <cfRule type="cellIs" dxfId="29" priority="31" operator="between">
      <formula>0</formula>
      <formula>0.3999</formula>
    </cfRule>
    <cfRule type="cellIs" dxfId="28" priority="32" operator="between">
      <formula>0.4</formula>
      <formula>0.59</formula>
    </cfRule>
    <cfRule type="cellIs" dxfId="27" priority="33" operator="between">
      <formula>0.595</formula>
      <formula>0.69</formula>
    </cfRule>
    <cfRule type="cellIs" dxfId="26" priority="34" operator="between">
      <formula>0.695</formula>
      <formula>0.7949</formula>
    </cfRule>
    <cfRule type="cellIs" dxfId="25" priority="35" operator="between">
      <formula>0.795</formula>
      <formula>1</formula>
    </cfRule>
  </conditionalFormatting>
  <conditionalFormatting sqref="F176">
    <cfRule type="cellIs" dxfId="24" priority="26" operator="between">
      <formula>0</formula>
      <formula>0.3999</formula>
    </cfRule>
    <cfRule type="cellIs" dxfId="23" priority="27" operator="between">
      <formula>0.4</formula>
      <formula>0.59</formula>
    </cfRule>
    <cfRule type="cellIs" dxfId="22" priority="28" operator="between">
      <formula>0.595</formula>
      <formula>0.69</formula>
    </cfRule>
    <cfRule type="cellIs" dxfId="21" priority="29" operator="between">
      <formula>0.695</formula>
      <formula>0.7949</formula>
    </cfRule>
    <cfRule type="cellIs" dxfId="20" priority="30" operator="between">
      <formula>0.795</formula>
      <formula>1</formula>
    </cfRule>
  </conditionalFormatting>
  <conditionalFormatting sqref="F181">
    <cfRule type="cellIs" dxfId="19" priority="21" operator="between">
      <formula>0</formula>
      <formula>0.3999</formula>
    </cfRule>
    <cfRule type="cellIs" dxfId="18" priority="22" operator="between">
      <formula>0.4</formula>
      <formula>0.59</formula>
    </cfRule>
    <cfRule type="cellIs" dxfId="17" priority="23" operator="between">
      <formula>0.595</formula>
      <formula>0.69</formula>
    </cfRule>
    <cfRule type="cellIs" dxfId="16" priority="24" operator="between">
      <formula>0.695</formula>
      <formula>0.7949</formula>
    </cfRule>
    <cfRule type="cellIs" dxfId="15" priority="25" operator="between">
      <formula>0.795</formula>
      <formula>1</formula>
    </cfRule>
  </conditionalFormatting>
  <conditionalFormatting sqref="F184">
    <cfRule type="cellIs" dxfId="14" priority="16" operator="between">
      <formula>0</formula>
      <formula>0.3999</formula>
    </cfRule>
    <cfRule type="cellIs" dxfId="13" priority="17" operator="between">
      <formula>0.4</formula>
      <formula>0.59</formula>
    </cfRule>
    <cfRule type="cellIs" dxfId="12" priority="18" operator="between">
      <formula>0.595</formula>
      <formula>0.69</formula>
    </cfRule>
    <cfRule type="cellIs" dxfId="11" priority="19" operator="between">
      <formula>0.695</formula>
      <formula>0.7949</formula>
    </cfRule>
    <cfRule type="cellIs" dxfId="10" priority="20" operator="between">
      <formula>0.795</formula>
      <formula>1</formula>
    </cfRule>
  </conditionalFormatting>
  <conditionalFormatting sqref="F187">
    <cfRule type="cellIs" dxfId="9" priority="6" operator="between">
      <formula>0</formula>
      <formula>0.3999</formula>
    </cfRule>
    <cfRule type="cellIs" dxfId="8" priority="7" operator="between">
      <formula>0.4</formula>
      <formula>0.59</formula>
    </cfRule>
    <cfRule type="cellIs" dxfId="7" priority="8" operator="between">
      <formula>0.595</formula>
      <formula>0.69</formula>
    </cfRule>
    <cfRule type="cellIs" dxfId="6" priority="9" operator="between">
      <formula>0.695</formula>
      <formula>0.7949</formula>
    </cfRule>
    <cfRule type="cellIs" dxfId="5" priority="10" operator="between">
      <formula>0.795</formula>
      <formula>1</formula>
    </cfRule>
  </conditionalFormatting>
  <conditionalFormatting sqref="F190">
    <cfRule type="cellIs" dxfId="4" priority="1" operator="between">
      <formula>0</formula>
      <formula>0.3999</formula>
    </cfRule>
    <cfRule type="cellIs" dxfId="3" priority="2" operator="between">
      <formula>0.4</formula>
      <formula>0.59</formula>
    </cfRule>
    <cfRule type="cellIs" dxfId="2" priority="3" operator="between">
      <formula>0.595</formula>
      <formula>0.69</formula>
    </cfRule>
    <cfRule type="cellIs" dxfId="1" priority="4" operator="between">
      <formula>0.695</formula>
      <formula>0.7949</formula>
    </cfRule>
    <cfRule type="cellIs" dxfId="0" priority="5" operator="between">
      <formula>0.795</formula>
      <formula>1</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SGTO POAI 2022</vt:lpstr>
      <vt:lpstr>RESUMEN PROGRAMAS</vt:lpstr>
      <vt:lpstr>FUENTES POR UNIDAD</vt:lpstr>
      <vt:lpstr>LÍNEA ESTRATEGICA</vt:lpstr>
      <vt:lpstr>CONSOLIDADO UNIDADES</vt:lpstr>
      <vt:lpstr>RELACIÓN PROYECTOS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Lucia</dc:creator>
  <cp:lastModifiedBy>AUXPLANEACION03</cp:lastModifiedBy>
  <cp:revision/>
  <dcterms:created xsi:type="dcterms:W3CDTF">2020-08-12T15:20:51Z</dcterms:created>
  <dcterms:modified xsi:type="dcterms:W3CDTF">2022-11-01T15:25:54Z</dcterms:modified>
</cp:coreProperties>
</file>