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Gobernación 2022\STO PDD 2022\SGTO PDD IV TRIMESTRE  2022\"/>
    </mc:Choice>
  </mc:AlternateContent>
  <bookViews>
    <workbookView xWindow="0" yWindow="0" windowWidth="13050" windowHeight="4560"/>
  </bookViews>
  <sheets>
    <sheet name="SGTO POAI 2022" sheetId="14" r:id="rId1"/>
    <sheet name="RESUMEN PROGRAMAS" sheetId="15" r:id="rId2"/>
    <sheet name="FUENTES POR UNIDAD" sheetId="21" r:id="rId3"/>
    <sheet name="LÍNEA ESTRATEGICA" sheetId="18" r:id="rId4"/>
    <sheet name="CONSOLIDADO UNIDADES" sheetId="22" r:id="rId5"/>
    <sheet name="RELACIÓN PROYECTOS" sheetId="20" r:id="rId6"/>
    <sheet name="PASIVOS EXIGIBLES + RESERVAS" sheetId="23" r:id="rId7"/>
  </sheets>
  <externalReferences>
    <externalReference r:id="rId8"/>
    <externalReference r:id="rId9"/>
  </externalReferences>
  <definedNames>
    <definedName name="_1._Apoyo_con_equipos_para_la_seguridad_vial_Licenciamiento_de_software_para_comunicaciones" localSheetId="4">#REF!</definedName>
    <definedName name="_1._Apoyo_con_equipos_para_la_seguridad_vial_Licenciamiento_de_software_para_comunicaciones" localSheetId="2">#REF!</definedName>
    <definedName name="_1._Apoyo_con_equipos_para_la_seguridad_vial_Licenciamiento_de_software_para_comunicaciones" localSheetId="6">#REF!</definedName>
    <definedName name="_1._Apoyo_con_equipos_para_la_seguridad_vial_Licenciamiento_de_software_para_comunicaciones">#REF!</definedName>
    <definedName name="_xlnm._FilterDatabase" localSheetId="2" hidden="1">'FUENTES POR UNIDAD'!$F$1:$F$93</definedName>
    <definedName name="_xlnm._FilterDatabase" localSheetId="6" hidden="1">'PASIVOS EXIGIBLES + RESERVAS'!$A$7:$BJ$7</definedName>
    <definedName name="_xlnm._FilterDatabase" localSheetId="5" hidden="1">'RELACIÓN PROYECTOS'!$A$2:$H$200</definedName>
    <definedName name="_xlnm._FilterDatabase" localSheetId="1" hidden="1">'RESUMEN PROGRAMAS'!$J$1:$J$203</definedName>
    <definedName name="_xlnm._FilterDatabase" localSheetId="0" hidden="1">'SGTO POAI 2022'!$A$7:$BO$313</definedName>
    <definedName name="aa" localSheetId="4">#REF!</definedName>
    <definedName name="aa" localSheetId="2">#REF!</definedName>
    <definedName name="aa" localSheetId="6">#REF!</definedName>
    <definedName name="aa">#REF!</definedName>
    <definedName name="CODIGO_DIVIPOLA" localSheetId="4">#REF!</definedName>
    <definedName name="CODIGO_DIVIPOLA" localSheetId="2">#REF!</definedName>
    <definedName name="CODIGO_DIVIPOLA" localSheetId="6">#REF!</definedName>
    <definedName name="CODIGO_DIVIPOLA">#REF!</definedName>
    <definedName name="DboREGISTRO_LEY_617" localSheetId="4">#REF!</definedName>
    <definedName name="DboREGISTRO_LEY_617" localSheetId="2">#REF!</definedName>
    <definedName name="DboREGISTRO_LEY_617" localSheetId="6">#REF!</definedName>
    <definedName name="DboREGISTRO_LEY_617">#REF!</definedName>
    <definedName name="ññ" localSheetId="4">#REF!</definedName>
    <definedName name="ññ" localSheetId="2">#REF!</definedName>
    <definedName name="ññ" localSheetId="6">#REF!</definedName>
    <definedName name="ññ">#REF!</definedName>
  </definedNames>
  <calcPr calcId="162913"/>
</workbook>
</file>

<file path=xl/calcChain.xml><?xml version="1.0" encoding="utf-8"?>
<calcChain xmlns="http://schemas.openxmlformats.org/spreadsheetml/2006/main">
  <c r="H200" i="20" l="1"/>
  <c r="J193" i="15" l="1"/>
  <c r="J191" i="15"/>
  <c r="J189" i="15"/>
  <c r="J188" i="15"/>
  <c r="J187" i="15"/>
  <c r="J186" i="15"/>
  <c r="J184" i="15"/>
  <c r="J183" i="15"/>
  <c r="J182" i="15"/>
  <c r="J181" i="15"/>
  <c r="J180" i="15"/>
  <c r="J179" i="15"/>
  <c r="J178" i="15"/>
  <c r="J177" i="15"/>
  <c r="J176" i="15"/>
  <c r="J175" i="15"/>
  <c r="J174" i="15"/>
  <c r="J173" i="15"/>
  <c r="J172" i="15"/>
  <c r="J171" i="15"/>
  <c r="J169" i="15"/>
  <c r="J168" i="15"/>
  <c r="J167" i="15"/>
  <c r="J166" i="15"/>
  <c r="J165" i="15"/>
  <c r="J163" i="15"/>
  <c r="J161" i="15"/>
  <c r="J160" i="15"/>
  <c r="J159" i="15"/>
  <c r="J158" i="15"/>
  <c r="J157" i="15"/>
  <c r="J156" i="15"/>
  <c r="J155" i="15"/>
  <c r="J154" i="15"/>
  <c r="J153" i="15"/>
  <c r="J152" i="15"/>
  <c r="J151" i="15"/>
  <c r="J150" i="15"/>
  <c r="J148" i="15"/>
  <c r="J147" i="15"/>
  <c r="J146" i="15"/>
  <c r="J145" i="15"/>
  <c r="J144" i="15"/>
  <c r="J143" i="15"/>
  <c r="J141" i="15"/>
  <c r="J140" i="15"/>
  <c r="J139" i="15"/>
  <c r="J138" i="15"/>
  <c r="J137" i="15"/>
  <c r="J136" i="15"/>
  <c r="J135" i="15"/>
  <c r="J134" i="15"/>
  <c r="J133" i="15"/>
  <c r="J132" i="15"/>
  <c r="J131" i="15"/>
  <c r="J130" i="15"/>
  <c r="J129" i="15"/>
  <c r="J128" i="15"/>
  <c r="J127" i="15"/>
  <c r="J126" i="15"/>
  <c r="J125" i="15"/>
  <c r="J124" i="15"/>
  <c r="J122" i="15"/>
  <c r="J121" i="15"/>
  <c r="J120" i="15"/>
  <c r="J119" i="15"/>
  <c r="J118" i="15"/>
  <c r="J117" i="15"/>
  <c r="J116" i="15"/>
  <c r="J115" i="15"/>
  <c r="J113" i="15"/>
  <c r="J112" i="15"/>
  <c r="J111" i="15"/>
  <c r="J110" i="15"/>
  <c r="J109" i="15"/>
  <c r="J107" i="15"/>
  <c r="J106" i="15"/>
  <c r="J105" i="15"/>
  <c r="J104" i="15"/>
  <c r="J103" i="15"/>
  <c r="J102" i="15"/>
  <c r="J101" i="15"/>
  <c r="J100" i="15"/>
  <c r="J99" i="15"/>
  <c r="J98" i="15"/>
  <c r="J97" i="15"/>
  <c r="J96" i="15"/>
  <c r="J95" i="15"/>
  <c r="J94" i="15"/>
  <c r="J93" i="15"/>
  <c r="J92" i="15"/>
  <c r="J91" i="15"/>
  <c r="J90" i="15"/>
  <c r="J89" i="15"/>
  <c r="J87" i="15"/>
  <c r="J86" i="15"/>
  <c r="J85" i="15"/>
  <c r="J84" i="15"/>
  <c r="J83" i="15"/>
  <c r="J82" i="15"/>
  <c r="J80" i="15"/>
  <c r="J79" i="15"/>
  <c r="J78" i="15"/>
  <c r="J77" i="15"/>
  <c r="J76" i="15"/>
  <c r="J74" i="15"/>
  <c r="J73" i="15"/>
  <c r="J72" i="15"/>
  <c r="J71" i="15"/>
  <c r="J70" i="15"/>
  <c r="J69" i="15"/>
  <c r="J68" i="15"/>
  <c r="J67" i="15"/>
  <c r="J66" i="15"/>
  <c r="J65" i="15"/>
  <c r="J64" i="15"/>
  <c r="J63" i="15"/>
  <c r="J62" i="15"/>
  <c r="J61" i="15"/>
  <c r="J60" i="15"/>
  <c r="J59" i="15"/>
  <c r="J58" i="15"/>
  <c r="J57" i="15"/>
  <c r="J56" i="15"/>
  <c r="J55" i="15"/>
  <c r="J54" i="15"/>
  <c r="J52" i="15"/>
  <c r="J51" i="15"/>
  <c r="J50" i="15"/>
  <c r="J49" i="15"/>
  <c r="J48" i="15"/>
  <c r="J47" i="15"/>
  <c r="J46" i="15"/>
  <c r="J45" i="15"/>
  <c r="J44" i="15"/>
  <c r="J43" i="15"/>
  <c r="J42" i="15"/>
  <c r="J41" i="15"/>
  <c r="J40" i="15"/>
  <c r="J39" i="15"/>
  <c r="J38" i="15"/>
  <c r="J37" i="15"/>
  <c r="J36" i="15"/>
  <c r="J35" i="15"/>
  <c r="J34" i="15"/>
  <c r="J33" i="15"/>
  <c r="J32" i="15"/>
  <c r="J31" i="15"/>
  <c r="J30" i="15"/>
  <c r="J29" i="15"/>
  <c r="J28" i="15"/>
  <c r="J27" i="15"/>
  <c r="J26" i="15"/>
  <c r="J25" i="15"/>
  <c r="J24" i="15"/>
  <c r="J23" i="15"/>
  <c r="J21" i="15"/>
  <c r="J20" i="15"/>
  <c r="J19" i="15"/>
  <c r="J18" i="15"/>
  <c r="J16" i="15"/>
  <c r="J15" i="15"/>
  <c r="J14" i="15"/>
  <c r="J13" i="15"/>
  <c r="J12" i="15"/>
  <c r="J10" i="15"/>
  <c r="J9" i="15"/>
  <c r="J8" i="15"/>
  <c r="J7" i="15"/>
  <c r="J6" i="15"/>
  <c r="H78" i="21"/>
  <c r="H83" i="21"/>
  <c r="H85" i="21"/>
  <c r="H81" i="21"/>
  <c r="H80" i="21"/>
  <c r="H77" i="21"/>
  <c r="H76" i="21"/>
  <c r="H74" i="21"/>
  <c r="H73" i="21"/>
  <c r="H72" i="21"/>
  <c r="H71" i="21"/>
  <c r="H70" i="21"/>
  <c r="H69" i="21"/>
  <c r="H67" i="21"/>
  <c r="H65" i="21"/>
  <c r="H64" i="21"/>
  <c r="H62" i="21"/>
  <c r="H61" i="21"/>
  <c r="H60" i="21"/>
  <c r="H59" i="21"/>
  <c r="H58" i="21"/>
  <c r="H57" i="21"/>
  <c r="H55" i="21"/>
  <c r="H54" i="21"/>
  <c r="H53" i="21"/>
  <c r="H51" i="21"/>
  <c r="H50" i="21"/>
  <c r="H49" i="21"/>
  <c r="H48" i="21"/>
  <c r="H47" i="21"/>
  <c r="H46" i="21"/>
  <c r="H45" i="21"/>
  <c r="H43" i="21"/>
  <c r="H42" i="21"/>
  <c r="H40" i="21"/>
  <c r="H39" i="21"/>
  <c r="H38" i="21"/>
  <c r="H36" i="21"/>
  <c r="H35" i="21"/>
  <c r="H34" i="21"/>
  <c r="H32" i="21"/>
  <c r="H31" i="21"/>
  <c r="H30" i="21"/>
  <c r="H29" i="21"/>
  <c r="H27" i="21"/>
  <c r="H26" i="21"/>
  <c r="H25" i="21"/>
  <c r="H23" i="21"/>
  <c r="H22" i="21"/>
  <c r="H21" i="21"/>
  <c r="H20" i="21"/>
  <c r="H19" i="21"/>
  <c r="H18" i="21"/>
  <c r="H17" i="21"/>
  <c r="H15" i="21"/>
  <c r="H14" i="21"/>
  <c r="H13" i="21"/>
  <c r="H11" i="21"/>
  <c r="H10" i="21"/>
  <c r="H8" i="21"/>
  <c r="H7" i="21"/>
  <c r="H6" i="21"/>
  <c r="F17" i="22"/>
  <c r="F16" i="22"/>
  <c r="L22" i="22"/>
  <c r="L20" i="22"/>
  <c r="L19" i="22"/>
  <c r="L18" i="22"/>
  <c r="L17" i="22"/>
  <c r="L16" i="22"/>
  <c r="L15" i="22"/>
  <c r="L14" i="22"/>
  <c r="L13" i="22"/>
  <c r="L12" i="22"/>
  <c r="L11" i="22"/>
  <c r="L10" i="22"/>
  <c r="L9" i="22"/>
  <c r="L8" i="22"/>
  <c r="L7" i="22"/>
  <c r="L6" i="22"/>
  <c r="L5" i="22"/>
  <c r="L4" i="22"/>
  <c r="L3" i="22"/>
  <c r="D52" i="22"/>
  <c r="D51" i="22"/>
  <c r="D39" i="22"/>
  <c r="D38" i="22"/>
  <c r="D37" i="22"/>
  <c r="D36" i="22"/>
  <c r="D35" i="22"/>
  <c r="C39" i="22"/>
  <c r="C38" i="22"/>
  <c r="C37" i="22"/>
  <c r="C36" i="22"/>
  <c r="C35" i="22"/>
  <c r="C34" i="22"/>
  <c r="C30" i="22"/>
  <c r="C29" i="22"/>
  <c r="C28" i="22"/>
  <c r="C27" i="22"/>
  <c r="C26" i="22"/>
  <c r="C25" i="22"/>
  <c r="D29" i="22"/>
  <c r="D28" i="22"/>
  <c r="D27" i="22"/>
  <c r="H9" i="18"/>
  <c r="H8" i="18"/>
  <c r="H7" i="18"/>
  <c r="H6" i="18"/>
  <c r="H5" i="18"/>
  <c r="J22" i="22"/>
  <c r="J20" i="22"/>
  <c r="J19" i="22"/>
  <c r="J18" i="22"/>
  <c r="J17" i="22"/>
  <c r="J16" i="22"/>
  <c r="J15" i="22"/>
  <c r="J14" i="22"/>
  <c r="J13" i="22"/>
  <c r="J12" i="22"/>
  <c r="J11" i="22"/>
  <c r="J10" i="22"/>
  <c r="J9" i="22"/>
  <c r="J8" i="22"/>
  <c r="J7" i="22"/>
  <c r="J6" i="22"/>
  <c r="J5" i="22"/>
  <c r="J4" i="22"/>
  <c r="J3" i="22"/>
  <c r="H199" i="20"/>
  <c r="H198" i="20"/>
  <c r="H197" i="20"/>
  <c r="H196" i="20"/>
  <c r="H195" i="20"/>
  <c r="H194" i="20"/>
  <c r="H193" i="20"/>
  <c r="H192" i="20"/>
  <c r="H191" i="20"/>
  <c r="H190" i="20"/>
  <c r="H189" i="20"/>
  <c r="H188" i="20"/>
  <c r="H187" i="20"/>
  <c r="H186" i="20"/>
  <c r="H185" i="20"/>
  <c r="H184" i="20"/>
  <c r="H183" i="20"/>
  <c r="H182" i="20"/>
  <c r="H181" i="20"/>
  <c r="H180" i="20"/>
  <c r="H179" i="20"/>
  <c r="H178" i="20"/>
  <c r="H177" i="20"/>
  <c r="H176" i="20"/>
  <c r="H175" i="20"/>
  <c r="H174" i="20"/>
  <c r="H173" i="20"/>
  <c r="H172" i="20"/>
  <c r="H171" i="20"/>
  <c r="H170" i="20"/>
  <c r="H169" i="20"/>
  <c r="H168" i="20"/>
  <c r="H167" i="20"/>
  <c r="H166" i="20"/>
  <c r="H165" i="20"/>
  <c r="H164" i="20"/>
  <c r="H163" i="20"/>
  <c r="H162" i="20"/>
  <c r="H161" i="20"/>
  <c r="H160" i="20"/>
  <c r="H159" i="20"/>
  <c r="H158" i="20"/>
  <c r="H157" i="20"/>
  <c r="H156" i="20"/>
  <c r="H155" i="20"/>
  <c r="H154" i="20"/>
  <c r="H153" i="20"/>
  <c r="H152" i="20"/>
  <c r="H151" i="20"/>
  <c r="H150" i="20"/>
  <c r="H149" i="20"/>
  <c r="H148" i="20"/>
  <c r="H147" i="20"/>
  <c r="H146" i="20"/>
  <c r="H145" i="20"/>
  <c r="H144" i="20"/>
  <c r="H143" i="20"/>
  <c r="H142" i="20"/>
  <c r="H141" i="20"/>
  <c r="H140" i="20"/>
  <c r="H139" i="20"/>
  <c r="H138" i="20"/>
  <c r="H137" i="20"/>
  <c r="H136" i="20"/>
  <c r="H135" i="20"/>
  <c r="H134" i="20"/>
  <c r="H133" i="20"/>
  <c r="H132" i="20"/>
  <c r="H131" i="20"/>
  <c r="H130" i="20"/>
  <c r="H129" i="20"/>
  <c r="H128" i="20"/>
  <c r="H127" i="20"/>
  <c r="H126" i="20"/>
  <c r="H125" i="20"/>
  <c r="H124" i="20"/>
  <c r="H123" i="20"/>
  <c r="H122" i="20"/>
  <c r="H121" i="20"/>
  <c r="H120" i="20"/>
  <c r="H119" i="20"/>
  <c r="H118" i="20"/>
  <c r="H117" i="20"/>
  <c r="H116" i="20"/>
  <c r="H115" i="20"/>
  <c r="H114" i="20"/>
  <c r="H113" i="20"/>
  <c r="H112" i="20"/>
  <c r="H111" i="20"/>
  <c r="H110" i="20"/>
  <c r="H109" i="20"/>
  <c r="H108" i="20"/>
  <c r="H107" i="20"/>
  <c r="H106" i="20"/>
  <c r="H105" i="20"/>
  <c r="H104" i="20"/>
  <c r="H103" i="20"/>
  <c r="H102" i="20"/>
  <c r="H101" i="20"/>
  <c r="H100" i="20"/>
  <c r="H99" i="20"/>
  <c r="H98" i="20"/>
  <c r="H97" i="20"/>
  <c r="H96" i="20"/>
  <c r="H95" i="20"/>
  <c r="H94" i="20"/>
  <c r="H93" i="20"/>
  <c r="H92" i="20"/>
  <c r="H91" i="20"/>
  <c r="H90" i="20"/>
  <c r="H89" i="20"/>
  <c r="H88" i="20"/>
  <c r="H87" i="20"/>
  <c r="H86" i="20"/>
  <c r="H85" i="20"/>
  <c r="H84" i="20"/>
  <c r="H83" i="20"/>
  <c r="H82" i="20"/>
  <c r="H81" i="20"/>
  <c r="H80" i="20"/>
  <c r="H79" i="20"/>
  <c r="H78" i="20"/>
  <c r="H77" i="20"/>
  <c r="H76" i="20"/>
  <c r="H75" i="20"/>
  <c r="H74" i="20"/>
  <c r="H73" i="20"/>
  <c r="H72" i="20"/>
  <c r="H71" i="20"/>
  <c r="H70" i="20"/>
  <c r="H69" i="20"/>
  <c r="H68" i="20"/>
  <c r="H67" i="20"/>
  <c r="H66" i="20"/>
  <c r="H65" i="20"/>
  <c r="H64" i="20"/>
  <c r="H63" i="20"/>
  <c r="H62" i="20"/>
  <c r="H61" i="20"/>
  <c r="H60" i="20"/>
  <c r="H59" i="20"/>
  <c r="H58" i="20"/>
  <c r="H57" i="20"/>
  <c r="H56" i="20"/>
  <c r="H55" i="20"/>
  <c r="H54" i="20"/>
  <c r="H53" i="20"/>
  <c r="H52" i="20"/>
  <c r="H51" i="20"/>
  <c r="H50" i="20"/>
  <c r="H49" i="20"/>
  <c r="H48" i="20"/>
  <c r="H47" i="20"/>
  <c r="H46" i="20"/>
  <c r="H45" i="20"/>
  <c r="H44" i="20"/>
  <c r="H43" i="20"/>
  <c r="H42" i="20"/>
  <c r="H41" i="20"/>
  <c r="H40" i="20"/>
  <c r="H39" i="20"/>
  <c r="H38" i="20"/>
  <c r="H37" i="20"/>
  <c r="H36" i="20"/>
  <c r="H35" i="20"/>
  <c r="H34" i="20"/>
  <c r="H33" i="20"/>
  <c r="H32" i="20"/>
  <c r="H31" i="20"/>
  <c r="H30" i="20"/>
  <c r="H29" i="20"/>
  <c r="H28" i="20"/>
  <c r="H27" i="20"/>
  <c r="H26" i="20"/>
  <c r="H25" i="20"/>
  <c r="H24" i="20"/>
  <c r="H23" i="20"/>
  <c r="H22" i="20"/>
  <c r="H21" i="20"/>
  <c r="H20" i="20"/>
  <c r="H19" i="20"/>
  <c r="H18" i="20"/>
  <c r="H17" i="20"/>
  <c r="H16" i="20"/>
  <c r="H15" i="20"/>
  <c r="H14" i="20"/>
  <c r="H13" i="20"/>
  <c r="H12" i="20"/>
  <c r="H11" i="20"/>
  <c r="H10" i="20"/>
  <c r="H9" i="20"/>
  <c r="H8" i="20"/>
  <c r="H7" i="20"/>
  <c r="H6" i="20"/>
  <c r="H5" i="20"/>
  <c r="H4" i="20"/>
  <c r="H3" i="20"/>
  <c r="G23" i="21" l="1"/>
  <c r="E23" i="21"/>
  <c r="C23" i="21"/>
  <c r="W40" i="14" l="1"/>
  <c r="W39" i="14"/>
  <c r="BH54" i="14" l="1"/>
  <c r="BG54" i="14"/>
  <c r="BF54" i="14"/>
  <c r="W54" i="14" l="1"/>
  <c r="AQ45" i="14" l="1"/>
  <c r="AQ46" i="14"/>
  <c r="AQ49" i="14"/>
  <c r="AR309" i="14"/>
  <c r="AS309" i="14"/>
  <c r="AQ310" i="14"/>
  <c r="AR310" i="14"/>
  <c r="AS310" i="14"/>
  <c r="AN23" i="23"/>
  <c r="AM23" i="23"/>
  <c r="AL23" i="23"/>
  <c r="AN22" i="23"/>
  <c r="AM22" i="23"/>
  <c r="AL22" i="23"/>
  <c r="AN21" i="23"/>
  <c r="AM21" i="23"/>
  <c r="AL21" i="23"/>
  <c r="AN20" i="23"/>
  <c r="AM20" i="23"/>
  <c r="AL20" i="23"/>
  <c r="AN19" i="23"/>
  <c r="AM19" i="23"/>
  <c r="AL19" i="23"/>
  <c r="AN18" i="23"/>
  <c r="AM18" i="23"/>
  <c r="AL18" i="23"/>
  <c r="AN17" i="23"/>
  <c r="AM17" i="23"/>
  <c r="AL17" i="23"/>
  <c r="AN16" i="23"/>
  <c r="AM16" i="23"/>
  <c r="AL16" i="23"/>
  <c r="AN15" i="23"/>
  <c r="AM15" i="23"/>
  <c r="AL15" i="23"/>
  <c r="AN14" i="23"/>
  <c r="AM14" i="23"/>
  <c r="AL14" i="23"/>
  <c r="AN13" i="23"/>
  <c r="AM13" i="23"/>
  <c r="AL13" i="23"/>
  <c r="AN12" i="23"/>
  <c r="AM12" i="23"/>
  <c r="AL12" i="23"/>
  <c r="AN11" i="23"/>
  <c r="AM11" i="23"/>
  <c r="AL11" i="23"/>
  <c r="AN10" i="23"/>
  <c r="AM10" i="23"/>
  <c r="AL10" i="23"/>
  <c r="AN9" i="23"/>
  <c r="AM9" i="23"/>
  <c r="AL9" i="23"/>
  <c r="AM8" i="23"/>
  <c r="AN8" i="23"/>
  <c r="AN24" i="23" s="1"/>
  <c r="AL8" i="23"/>
  <c r="AL24" i="23" s="1"/>
  <c r="AQ309" i="14" l="1"/>
  <c r="AQ311" i="14" s="1"/>
  <c r="AR311" i="14"/>
  <c r="AM24" i="23"/>
  <c r="AS311" i="14"/>
  <c r="W53" i="14"/>
  <c r="BE310" i="14" l="1"/>
  <c r="BD310" i="14"/>
  <c r="BB310" i="14"/>
  <c r="BA310" i="14"/>
  <c r="AZ310" i="14"/>
  <c r="AY310" i="14"/>
  <c r="AX310" i="14"/>
  <c r="AV310" i="14"/>
  <c r="AU310" i="14"/>
  <c r="AT310" i="14"/>
  <c r="AP310" i="14"/>
  <c r="AO310" i="14"/>
  <c r="AN310" i="14"/>
  <c r="AM310" i="14"/>
  <c r="AL310" i="14"/>
  <c r="AJ310" i="14"/>
  <c r="AI310" i="14"/>
  <c r="AH310" i="14"/>
  <c r="AG310" i="14"/>
  <c r="AF310" i="14"/>
  <c r="AD310" i="14"/>
  <c r="AC310" i="14"/>
  <c r="BE309" i="14"/>
  <c r="BD309" i="14"/>
  <c r="BB309" i="14"/>
  <c r="BA309" i="14"/>
  <c r="AZ309" i="14"/>
  <c r="AY309" i="14"/>
  <c r="AX309" i="14"/>
  <c r="AP309" i="14"/>
  <c r="AO309" i="14"/>
  <c r="AM309" i="14"/>
  <c r="AL309" i="14"/>
  <c r="AI309" i="14"/>
  <c r="AG309" i="14"/>
  <c r="AF309" i="14"/>
  <c r="AD309" i="14"/>
  <c r="AC309" i="14"/>
  <c r="AF311" i="14" l="1"/>
  <c r="AM311" i="14"/>
  <c r="AL311" i="14"/>
  <c r="AP311" i="14"/>
  <c r="AX311" i="14"/>
  <c r="BB311" i="14"/>
  <c r="AD311" i="14"/>
  <c r="AI311" i="14"/>
  <c r="AZ311" i="14"/>
  <c r="AY311" i="14"/>
  <c r="BD311" i="14"/>
  <c r="BE311" i="14"/>
  <c r="AC311" i="14"/>
  <c r="AG311" i="14"/>
  <c r="AO311" i="14"/>
  <c r="BA311" i="14"/>
  <c r="BG264" i="14"/>
  <c r="BH264" i="14"/>
  <c r="BG265" i="14"/>
  <c r="BH265" i="14"/>
  <c r="BH236" i="14"/>
  <c r="BH237" i="14"/>
  <c r="AJ231" i="14"/>
  <c r="BG213" i="14"/>
  <c r="BH213" i="14"/>
  <c r="AH215" i="14"/>
  <c r="AH255" i="14"/>
  <c r="AJ309" i="14" l="1"/>
  <c r="AJ311" i="14" s="1"/>
  <c r="BC37" i="14"/>
  <c r="AT41" i="14"/>
  <c r="AT37" i="14"/>
  <c r="BC143" i="14"/>
  <c r="AT143" i="14"/>
  <c r="BG134" i="14"/>
  <c r="BH134" i="14"/>
  <c r="BG135" i="14"/>
  <c r="BH135" i="14"/>
  <c r="G22" i="21" l="1"/>
  <c r="E22" i="21"/>
  <c r="C22" i="21"/>
  <c r="BH53" i="14"/>
  <c r="BG53" i="14"/>
  <c r="BF53" i="14"/>
  <c r="C32" i="20" s="1"/>
  <c r="I28" i="15" l="1"/>
  <c r="G32" i="20"/>
  <c r="G28" i="15"/>
  <c r="E32" i="20"/>
  <c r="D32" i="20"/>
  <c r="E28" i="15"/>
  <c r="F32" i="20" l="1"/>
  <c r="F28" i="15"/>
  <c r="H28" i="15"/>
  <c r="BH51" i="14"/>
  <c r="G48" i="20" s="1"/>
  <c r="BG51" i="14"/>
  <c r="BF51" i="14"/>
  <c r="C48" i="20" s="1"/>
  <c r="D48" i="20" s="1"/>
  <c r="W51" i="14"/>
  <c r="E48" i="20" l="1"/>
  <c r="F48" i="20" s="1"/>
  <c r="BH52" i="14"/>
  <c r="BG52" i="14"/>
  <c r="BH50" i="14"/>
  <c r="I51" i="15" s="1"/>
  <c r="BG50" i="14"/>
  <c r="G51" i="15" s="1"/>
  <c r="BH49" i="14"/>
  <c r="BG49" i="14"/>
  <c r="BF49" i="14"/>
  <c r="BH48" i="14"/>
  <c r="BG48" i="14"/>
  <c r="BF48" i="14"/>
  <c r="BH47" i="14"/>
  <c r="BG47" i="14"/>
  <c r="BF47" i="14"/>
  <c r="BH46" i="14"/>
  <c r="BG46" i="14"/>
  <c r="BH45" i="14"/>
  <c r="BG45" i="14"/>
  <c r="BF45" i="14"/>
  <c r="BH44" i="14"/>
  <c r="BG44" i="14"/>
  <c r="BF44" i="14"/>
  <c r="BH43" i="14"/>
  <c r="BG43" i="14"/>
  <c r="BF43" i="14"/>
  <c r="BH42" i="14"/>
  <c r="BG42" i="14"/>
  <c r="BH41" i="14"/>
  <c r="BG41" i="14"/>
  <c r="BH40" i="14"/>
  <c r="G44" i="20" s="1"/>
  <c r="BG40" i="14"/>
  <c r="BF40" i="14"/>
  <c r="C44" i="20" s="1"/>
  <c r="BH38" i="14"/>
  <c r="BG38" i="14"/>
  <c r="BH37" i="14"/>
  <c r="BG37" i="14"/>
  <c r="BH36" i="14"/>
  <c r="BG36" i="14"/>
  <c r="BH35" i="14"/>
  <c r="BG35" i="14"/>
  <c r="BH34" i="14"/>
  <c r="BG34" i="14"/>
  <c r="BH33" i="14"/>
  <c r="BG33" i="14"/>
  <c r="BH32" i="14"/>
  <c r="BG32" i="14"/>
  <c r="BF32" i="14"/>
  <c r="BH31" i="14"/>
  <c r="BG31" i="14"/>
  <c r="BH30" i="14"/>
  <c r="BG30" i="14"/>
  <c r="BH29" i="14"/>
  <c r="BG29" i="14"/>
  <c r="BH28" i="14"/>
  <c r="I29" i="15" s="1"/>
  <c r="I27" i="15" s="1"/>
  <c r="BG28" i="14"/>
  <c r="BH27" i="14"/>
  <c r="BG27" i="14"/>
  <c r="BH39" i="14"/>
  <c r="G43" i="20" s="1"/>
  <c r="BG39" i="14"/>
  <c r="BF39" i="14"/>
  <c r="C43" i="20" s="1"/>
  <c r="D43" i="20" s="1"/>
  <c r="G29" i="15" l="1"/>
  <c r="G27" i="15" s="1"/>
  <c r="E43" i="20"/>
  <c r="F43" i="20" s="1"/>
  <c r="E44" i="20"/>
  <c r="F44" i="20" s="1"/>
  <c r="D44" i="20"/>
  <c r="G43" i="15"/>
  <c r="I43" i="15"/>
  <c r="D23" i="21"/>
  <c r="E30" i="20"/>
  <c r="G30" i="20"/>
  <c r="C30" i="20"/>
  <c r="D30" i="20" s="1"/>
  <c r="W32" i="14"/>
  <c r="AT13" i="14"/>
  <c r="F30" i="20" l="1"/>
  <c r="F23" i="21"/>
  <c r="G8" i="21" l="1"/>
  <c r="E8" i="21"/>
  <c r="C8" i="21"/>
  <c r="D8" i="21" s="1"/>
  <c r="BG12" i="14"/>
  <c r="BH12" i="14"/>
  <c r="G9" i="20" s="1"/>
  <c r="BF12" i="14"/>
  <c r="C9" i="20" s="1"/>
  <c r="D9" i="20" s="1"/>
  <c r="W12" i="14"/>
  <c r="E9" i="20" l="1"/>
  <c r="F9" i="20" s="1"/>
  <c r="F8" i="21"/>
  <c r="AN25" i="23" l="1"/>
  <c r="AN26" i="23" s="1"/>
  <c r="AM25" i="23"/>
  <c r="AM26" i="23" s="1"/>
  <c r="AL25" i="23"/>
  <c r="AL26" i="23" s="1"/>
  <c r="AK25" i="23"/>
  <c r="AJ25" i="23"/>
  <c r="AI25" i="23"/>
  <c r="AH25" i="23"/>
  <c r="AG25" i="23"/>
  <c r="AF25" i="23"/>
  <c r="AE25" i="23"/>
  <c r="AD25" i="23"/>
  <c r="AC25" i="23"/>
  <c r="AB25" i="23"/>
  <c r="AA25" i="23"/>
  <c r="Z25" i="23"/>
  <c r="Y25" i="23"/>
  <c r="X25" i="23"/>
  <c r="W25" i="23"/>
  <c r="AK24" i="23"/>
  <c r="AJ24" i="23"/>
  <c r="AI24" i="23"/>
  <c r="AH24" i="23"/>
  <c r="AH26" i="23" s="1"/>
  <c r="AG24" i="23"/>
  <c r="AF24" i="23"/>
  <c r="AE24" i="23"/>
  <c r="AD24" i="23"/>
  <c r="AC24" i="23"/>
  <c r="AB24" i="23"/>
  <c r="AA24" i="23"/>
  <c r="Z24" i="23"/>
  <c r="Z26" i="23" s="1"/>
  <c r="Y24" i="23"/>
  <c r="X24" i="23"/>
  <c r="W24" i="23"/>
  <c r="A78" i="20"/>
  <c r="G81" i="21"/>
  <c r="E81" i="21"/>
  <c r="G78" i="21"/>
  <c r="E78" i="21"/>
  <c r="G77" i="21"/>
  <c r="E77" i="21"/>
  <c r="G74" i="21"/>
  <c r="E74" i="21"/>
  <c r="G73" i="21"/>
  <c r="E73" i="21"/>
  <c r="C73" i="21"/>
  <c r="D73" i="21" s="1"/>
  <c r="G72" i="21"/>
  <c r="E72" i="21"/>
  <c r="G71" i="21"/>
  <c r="E71" i="21"/>
  <c r="G70" i="21"/>
  <c r="E70" i="21"/>
  <c r="G62" i="21"/>
  <c r="E62" i="21"/>
  <c r="G61" i="21"/>
  <c r="E61" i="21"/>
  <c r="G60" i="21"/>
  <c r="E60" i="21"/>
  <c r="G59" i="21"/>
  <c r="E59" i="21"/>
  <c r="G58" i="21"/>
  <c r="E58" i="21"/>
  <c r="G55" i="21"/>
  <c r="E55" i="21"/>
  <c r="G54" i="21"/>
  <c r="E54" i="21"/>
  <c r="G51" i="21"/>
  <c r="E51" i="21"/>
  <c r="C51" i="21"/>
  <c r="D51" i="21" s="1"/>
  <c r="G50" i="21"/>
  <c r="E50" i="21"/>
  <c r="C50" i="21"/>
  <c r="D50" i="21" s="1"/>
  <c r="G49" i="21"/>
  <c r="E49" i="21"/>
  <c r="G48" i="21"/>
  <c r="E48" i="21"/>
  <c r="G47" i="21"/>
  <c r="E47" i="21"/>
  <c r="G46" i="21"/>
  <c r="E46" i="21"/>
  <c r="G43" i="21"/>
  <c r="E43" i="21"/>
  <c r="E42" i="21" s="1"/>
  <c r="G40" i="21"/>
  <c r="E40" i="21"/>
  <c r="C40" i="21"/>
  <c r="D40" i="21" s="1"/>
  <c r="G39" i="21"/>
  <c r="E39" i="21"/>
  <c r="G36" i="21"/>
  <c r="E36" i="21"/>
  <c r="G35" i="21"/>
  <c r="E35" i="21"/>
  <c r="G32" i="21"/>
  <c r="E32" i="21"/>
  <c r="G31" i="21"/>
  <c r="E31" i="21"/>
  <c r="G30" i="21"/>
  <c r="E30" i="21"/>
  <c r="G27" i="21"/>
  <c r="E27" i="21"/>
  <c r="G21" i="21"/>
  <c r="E21" i="21"/>
  <c r="G20" i="21"/>
  <c r="E20" i="21"/>
  <c r="G19" i="21"/>
  <c r="E19" i="21"/>
  <c r="G18" i="21"/>
  <c r="E18" i="21"/>
  <c r="G15" i="21"/>
  <c r="E15" i="21"/>
  <c r="G14" i="21"/>
  <c r="E14" i="21"/>
  <c r="G7" i="21"/>
  <c r="E7" i="21"/>
  <c r="E6" i="21" s="1"/>
  <c r="C35" i="15"/>
  <c r="BH308" i="14"/>
  <c r="BG308" i="14"/>
  <c r="AW308" i="14"/>
  <c r="BF308" i="14" s="1"/>
  <c r="W308" i="14"/>
  <c r="BH307" i="14"/>
  <c r="BG307" i="14"/>
  <c r="AW307" i="14"/>
  <c r="BF307" i="14" s="1"/>
  <c r="W307" i="14"/>
  <c r="BH306" i="14"/>
  <c r="BG306" i="14"/>
  <c r="AW306" i="14"/>
  <c r="BF306" i="14" s="1"/>
  <c r="W306" i="14"/>
  <c r="BH305" i="14"/>
  <c r="BG305" i="14"/>
  <c r="AW305" i="14"/>
  <c r="W305" i="14"/>
  <c r="BH304" i="14"/>
  <c r="BG304" i="14"/>
  <c r="BF304" i="14"/>
  <c r="C196" i="20" s="1"/>
  <c r="BH303" i="14"/>
  <c r="BG303" i="14"/>
  <c r="AW303" i="14"/>
  <c r="BF303" i="14" s="1"/>
  <c r="W303" i="14"/>
  <c r="BH302" i="14"/>
  <c r="BG302" i="14"/>
  <c r="AW302" i="14"/>
  <c r="BF302" i="14" s="1"/>
  <c r="W302" i="14"/>
  <c r="BH301" i="14"/>
  <c r="BG301" i="14"/>
  <c r="AW301" i="14"/>
  <c r="BF301" i="14" s="1"/>
  <c r="W301" i="14"/>
  <c r="BH300" i="14"/>
  <c r="BG300" i="14"/>
  <c r="AW300" i="14"/>
  <c r="BF300" i="14" s="1"/>
  <c r="W300" i="14"/>
  <c r="BH299" i="14"/>
  <c r="BG299" i="14"/>
  <c r="BF299" i="14"/>
  <c r="W299" i="14"/>
  <c r="BH298" i="14"/>
  <c r="BG298" i="14"/>
  <c r="AW298" i="14"/>
  <c r="AB298" i="14"/>
  <c r="C77" i="21" s="1"/>
  <c r="W298" i="14"/>
  <c r="BH297" i="14"/>
  <c r="BG297" i="14"/>
  <c r="AW297" i="14"/>
  <c r="BF297" i="14" s="1"/>
  <c r="W297" i="14"/>
  <c r="BH296" i="14"/>
  <c r="BG296" i="14"/>
  <c r="AW296" i="14"/>
  <c r="BF296" i="14" s="1"/>
  <c r="W296" i="14"/>
  <c r="BH295" i="14"/>
  <c r="G191" i="20" s="1"/>
  <c r="BG295" i="14"/>
  <c r="BF295" i="14"/>
  <c r="W295" i="14"/>
  <c r="BH294" i="14"/>
  <c r="G190" i="20" s="1"/>
  <c r="BG294" i="14"/>
  <c r="BF294" i="14"/>
  <c r="W294" i="14"/>
  <c r="BH293" i="14"/>
  <c r="G187" i="20" s="1"/>
  <c r="BG293" i="14"/>
  <c r="AW293" i="14"/>
  <c r="AB293" i="14"/>
  <c r="W293" i="14"/>
  <c r="BH292" i="14"/>
  <c r="G186" i="20" s="1"/>
  <c r="BG292" i="14"/>
  <c r="AW292" i="14"/>
  <c r="AK292" i="14"/>
  <c r="AE292" i="14"/>
  <c r="AB292" i="14"/>
  <c r="W292" i="14"/>
  <c r="BH291" i="14"/>
  <c r="BG291" i="14"/>
  <c r="BF291" i="14"/>
  <c r="W291" i="14"/>
  <c r="BH290" i="14"/>
  <c r="BG290" i="14"/>
  <c r="BC290" i="14"/>
  <c r="AW290" i="14"/>
  <c r="AE290" i="14"/>
  <c r="AB290" i="14"/>
  <c r="W290" i="14"/>
  <c r="BH289" i="14"/>
  <c r="BG289" i="14"/>
  <c r="BC289" i="14"/>
  <c r="AW289" i="14"/>
  <c r="AE289" i="14"/>
  <c r="W289" i="14"/>
  <c r="BH288" i="14"/>
  <c r="BG288" i="14"/>
  <c r="BC288" i="14"/>
  <c r="AW288" i="14"/>
  <c r="AE288" i="14"/>
  <c r="AB288" i="14"/>
  <c r="W288" i="14"/>
  <c r="BH287" i="14"/>
  <c r="BG287" i="14"/>
  <c r="BF287" i="14"/>
  <c r="W287" i="14"/>
  <c r="BH286" i="14"/>
  <c r="BG286" i="14"/>
  <c r="AT286" i="14"/>
  <c r="BF286" i="14" s="1"/>
  <c r="W286" i="14"/>
  <c r="BH285" i="14"/>
  <c r="BG285" i="14"/>
  <c r="BF285" i="14"/>
  <c r="W285" i="14"/>
  <c r="BH284" i="14"/>
  <c r="BG284" i="14"/>
  <c r="AT284" i="14"/>
  <c r="BF284" i="14" s="1"/>
  <c r="W284" i="14"/>
  <c r="BH283" i="14"/>
  <c r="BG283" i="14"/>
  <c r="AT283" i="14"/>
  <c r="BF283" i="14" s="1"/>
  <c r="W283" i="14"/>
  <c r="BH282" i="14"/>
  <c r="BG282" i="14"/>
  <c r="AT282" i="14"/>
  <c r="BF282" i="14" s="1"/>
  <c r="W282" i="14"/>
  <c r="BH281" i="14"/>
  <c r="G180" i="20" s="1"/>
  <c r="BG281" i="14"/>
  <c r="AT281" i="14"/>
  <c r="BF281" i="14" s="1"/>
  <c r="W281" i="14"/>
  <c r="BH280" i="14"/>
  <c r="BG280" i="14"/>
  <c r="BF280" i="14"/>
  <c r="W280" i="14"/>
  <c r="BH279" i="14"/>
  <c r="BG279" i="14"/>
  <c r="AT279" i="14"/>
  <c r="BF279" i="14" s="1"/>
  <c r="W279" i="14"/>
  <c r="BH278" i="14"/>
  <c r="BG278" i="14"/>
  <c r="BF278" i="14"/>
  <c r="W278" i="14"/>
  <c r="BH277" i="14"/>
  <c r="BG277" i="14"/>
  <c r="BF277" i="14"/>
  <c r="W277" i="14"/>
  <c r="BH276" i="14"/>
  <c r="BG276" i="14"/>
  <c r="AT276" i="14"/>
  <c r="BF276" i="14" s="1"/>
  <c r="W276" i="14"/>
  <c r="BH275" i="14"/>
  <c r="BG275" i="14"/>
  <c r="AT275" i="14"/>
  <c r="BF275" i="14" s="1"/>
  <c r="W275" i="14"/>
  <c r="BH274" i="14"/>
  <c r="BG274" i="14"/>
  <c r="BF274" i="14"/>
  <c r="AT274" i="14"/>
  <c r="W274" i="14"/>
  <c r="BH273" i="14"/>
  <c r="BG273" i="14"/>
  <c r="AT273" i="14"/>
  <c r="BF273" i="14" s="1"/>
  <c r="W273" i="14"/>
  <c r="BH272" i="14"/>
  <c r="BG272" i="14"/>
  <c r="BF272" i="14"/>
  <c r="W272" i="14"/>
  <c r="BH271" i="14"/>
  <c r="BG271" i="14"/>
  <c r="AT271" i="14"/>
  <c r="BF271" i="14" s="1"/>
  <c r="W271" i="14"/>
  <c r="BH270" i="14"/>
  <c r="BG270" i="14"/>
  <c r="BF270" i="14"/>
  <c r="W270" i="14"/>
  <c r="BH269" i="14"/>
  <c r="BG269" i="14"/>
  <c r="AT269" i="14"/>
  <c r="BF269" i="14" s="1"/>
  <c r="W269" i="14"/>
  <c r="BH268" i="14"/>
  <c r="BG268" i="14"/>
  <c r="AT268" i="14"/>
  <c r="BF268" i="14" s="1"/>
  <c r="W268" i="14"/>
  <c r="BH267" i="14"/>
  <c r="BG267" i="14"/>
  <c r="AT267" i="14"/>
  <c r="BF267" i="14" s="1"/>
  <c r="W267" i="14"/>
  <c r="BH266" i="14"/>
  <c r="BG266" i="14"/>
  <c r="AT266" i="14"/>
  <c r="BF266" i="14" s="1"/>
  <c r="W266" i="14"/>
  <c r="AT265" i="14"/>
  <c r="BF265" i="14" s="1"/>
  <c r="W265" i="14"/>
  <c r="BF264" i="14"/>
  <c r="W264" i="14"/>
  <c r="BH263" i="14"/>
  <c r="BG263" i="14"/>
  <c r="BF263" i="14"/>
  <c r="W263" i="14"/>
  <c r="BH262" i="14"/>
  <c r="BG262" i="14"/>
  <c r="BF262" i="14"/>
  <c r="W262" i="14"/>
  <c r="BH261" i="14"/>
  <c r="BG261" i="14"/>
  <c r="AT261" i="14"/>
  <c r="BF261" i="14" s="1"/>
  <c r="W261" i="14"/>
  <c r="BH260" i="14"/>
  <c r="BG260" i="14"/>
  <c r="AT260" i="14"/>
  <c r="BF260" i="14" s="1"/>
  <c r="W260" i="14"/>
  <c r="BH259" i="14"/>
  <c r="BG259" i="14"/>
  <c r="AK259" i="14"/>
  <c r="AH259" i="14"/>
  <c r="AE259" i="14"/>
  <c r="W259" i="14"/>
  <c r="BH258" i="14"/>
  <c r="BG258" i="14"/>
  <c r="AH258" i="14"/>
  <c r="AE258" i="14"/>
  <c r="W258" i="14"/>
  <c r="BH257" i="14"/>
  <c r="BG257" i="14"/>
  <c r="BC257" i="14"/>
  <c r="BF257" i="14" s="1"/>
  <c r="W257" i="14"/>
  <c r="BH256" i="14"/>
  <c r="G170" i="20" s="1"/>
  <c r="BG256" i="14"/>
  <c r="AK256" i="14"/>
  <c r="AE256" i="14"/>
  <c r="W256" i="14"/>
  <c r="BH255" i="14"/>
  <c r="G169" i="20" s="1"/>
  <c r="BG255" i="14"/>
  <c r="BF255" i="14"/>
  <c r="C169" i="20" s="1"/>
  <c r="D169" i="20" s="1"/>
  <c r="W255" i="14"/>
  <c r="BH254" i="14"/>
  <c r="G168" i="20" s="1"/>
  <c r="BG254" i="14"/>
  <c r="AT254" i="14"/>
  <c r="BF254" i="14" s="1"/>
  <c r="C168" i="20" s="1"/>
  <c r="D168" i="20" s="1"/>
  <c r="W254" i="14"/>
  <c r="BH253" i="14"/>
  <c r="G167" i="20" s="1"/>
  <c r="BG253" i="14"/>
  <c r="AT253" i="14"/>
  <c r="AH253" i="14"/>
  <c r="W253" i="14"/>
  <c r="BH252" i="14"/>
  <c r="G166" i="20" s="1"/>
  <c r="BG252" i="14"/>
  <c r="AH252" i="14"/>
  <c r="BF252" i="14" s="1"/>
  <c r="C166" i="20" s="1"/>
  <c r="D166" i="20" s="1"/>
  <c r="W252" i="14"/>
  <c r="BH251" i="14"/>
  <c r="G165" i="20" s="1"/>
  <c r="BG251" i="14"/>
  <c r="BF251" i="14"/>
  <c r="C165" i="20" s="1"/>
  <c r="D165" i="20" s="1"/>
  <c r="W251" i="14"/>
  <c r="BH250" i="14"/>
  <c r="G164" i="20" s="1"/>
  <c r="BG250" i="14"/>
  <c r="AT250" i="14"/>
  <c r="BF250" i="14" s="1"/>
  <c r="C164" i="20" s="1"/>
  <c r="D164" i="20" s="1"/>
  <c r="W250" i="14"/>
  <c r="BH249" i="14"/>
  <c r="BG249" i="14"/>
  <c r="BF249" i="14"/>
  <c r="W249" i="14"/>
  <c r="BH248" i="14"/>
  <c r="BG248" i="14"/>
  <c r="AH248" i="14"/>
  <c r="BF248" i="14" s="1"/>
  <c r="W248" i="14"/>
  <c r="BH247" i="14"/>
  <c r="BG247" i="14"/>
  <c r="AT247" i="14"/>
  <c r="AH247" i="14"/>
  <c r="W247" i="14"/>
  <c r="BH246" i="14"/>
  <c r="BG246" i="14"/>
  <c r="BF246" i="14"/>
  <c r="W246" i="14"/>
  <c r="BH245" i="14"/>
  <c r="BG245" i="14"/>
  <c r="AH245" i="14"/>
  <c r="BF245" i="14" s="1"/>
  <c r="W245" i="14"/>
  <c r="BH244" i="14"/>
  <c r="BG244" i="14"/>
  <c r="AH244" i="14"/>
  <c r="BF244" i="14" s="1"/>
  <c r="W244" i="14"/>
  <c r="BH243" i="14"/>
  <c r="BG243" i="14"/>
  <c r="AH243" i="14"/>
  <c r="BF243" i="14" s="1"/>
  <c r="W243" i="14"/>
  <c r="BH242" i="14"/>
  <c r="BG242" i="14"/>
  <c r="AH242" i="14"/>
  <c r="BF242" i="14" s="1"/>
  <c r="W242" i="14"/>
  <c r="BH241" i="14"/>
  <c r="BG241" i="14"/>
  <c r="AH241" i="14"/>
  <c r="BF241" i="14" s="1"/>
  <c r="W241" i="14"/>
  <c r="BH240" i="14"/>
  <c r="BG240" i="14"/>
  <c r="AH240" i="14"/>
  <c r="BF240" i="14" s="1"/>
  <c r="W240" i="14"/>
  <c r="BH239" i="14"/>
  <c r="BG239" i="14"/>
  <c r="AH239" i="14"/>
  <c r="BF239" i="14" s="1"/>
  <c r="W239" i="14"/>
  <c r="BH238" i="14"/>
  <c r="BG238" i="14"/>
  <c r="BC238" i="14"/>
  <c r="AH238" i="14"/>
  <c r="W238" i="14"/>
  <c r="BG237" i="14"/>
  <c r="BF237" i="14"/>
  <c r="W237" i="14"/>
  <c r="G158" i="20"/>
  <c r="BG236" i="14"/>
  <c r="BF236" i="14"/>
  <c r="W236" i="14"/>
  <c r="BH235" i="14"/>
  <c r="BG235" i="14"/>
  <c r="BF235" i="14"/>
  <c r="W235" i="14"/>
  <c r="BH234" i="14"/>
  <c r="BG234" i="14"/>
  <c r="BF234" i="14"/>
  <c r="W234" i="14"/>
  <c r="BH233" i="14"/>
  <c r="BG233" i="14"/>
  <c r="BF233" i="14"/>
  <c r="W233" i="14"/>
  <c r="BH232" i="14"/>
  <c r="BG232" i="14"/>
  <c r="BF232" i="14"/>
  <c r="W232" i="14"/>
  <c r="BH231" i="14"/>
  <c r="BG231" i="14"/>
  <c r="BF231" i="14"/>
  <c r="W231" i="14"/>
  <c r="BH230" i="14"/>
  <c r="BG230" i="14"/>
  <c r="BF230" i="14"/>
  <c r="W230" i="14"/>
  <c r="BH229" i="14"/>
  <c r="BG229" i="14"/>
  <c r="AH229" i="14"/>
  <c r="BF229" i="14" s="1"/>
  <c r="W229" i="14"/>
  <c r="BH228" i="14"/>
  <c r="BG228" i="14"/>
  <c r="AH228" i="14"/>
  <c r="BF228" i="14" s="1"/>
  <c r="W228" i="14"/>
  <c r="BH227" i="14"/>
  <c r="BG227" i="14"/>
  <c r="AH227" i="14"/>
  <c r="BF227" i="14" s="1"/>
  <c r="W227" i="14"/>
  <c r="BH226" i="14"/>
  <c r="BG226" i="14"/>
  <c r="AK226" i="14"/>
  <c r="W226" i="14"/>
  <c r="BH225" i="14"/>
  <c r="BG225" i="14"/>
  <c r="BF225" i="14"/>
  <c r="W225" i="14"/>
  <c r="BH224" i="14"/>
  <c r="BG224" i="14"/>
  <c r="BF224" i="14"/>
  <c r="W224" i="14"/>
  <c r="BH223" i="14"/>
  <c r="BG223" i="14"/>
  <c r="BF223" i="14"/>
  <c r="W223" i="14"/>
  <c r="BH222" i="14"/>
  <c r="BG222" i="14"/>
  <c r="BF222" i="14"/>
  <c r="W222" i="14"/>
  <c r="BH221" i="14"/>
  <c r="BG221" i="14"/>
  <c r="BF221" i="14"/>
  <c r="W221" i="14"/>
  <c r="BH220" i="14"/>
  <c r="BG220" i="14"/>
  <c r="BF220" i="14"/>
  <c r="W220" i="14"/>
  <c r="BH219" i="14"/>
  <c r="BG219" i="14"/>
  <c r="AT219" i="14"/>
  <c r="BF219" i="14" s="1"/>
  <c r="W219" i="14"/>
  <c r="BH218" i="14"/>
  <c r="G153" i="20" s="1"/>
  <c r="BG218" i="14"/>
  <c r="BF218" i="14"/>
  <c r="C153" i="20" s="1"/>
  <c r="D153" i="20" s="1"/>
  <c r="W218" i="14"/>
  <c r="BH217" i="14"/>
  <c r="BG217" i="14"/>
  <c r="BF217" i="14"/>
  <c r="W217" i="14"/>
  <c r="BH216" i="14"/>
  <c r="BG216" i="14"/>
  <c r="AH216" i="14"/>
  <c r="BF216" i="14" s="1"/>
  <c r="W216" i="14"/>
  <c r="BH215" i="14"/>
  <c r="BG215" i="14"/>
  <c r="AT215" i="14"/>
  <c r="BF215" i="14" s="1"/>
  <c r="W215" i="14"/>
  <c r="BH214" i="14"/>
  <c r="BG214" i="14"/>
  <c r="AH214" i="14"/>
  <c r="BF214" i="14" s="1"/>
  <c r="W214" i="14"/>
  <c r="AH213" i="14"/>
  <c r="BF213" i="14" s="1"/>
  <c r="W213" i="14"/>
  <c r="BH212" i="14"/>
  <c r="BG212" i="14"/>
  <c r="AH212" i="14"/>
  <c r="BF212" i="14" s="1"/>
  <c r="W212" i="14"/>
  <c r="BH211" i="14"/>
  <c r="BG211" i="14"/>
  <c r="AH211" i="14"/>
  <c r="BF211" i="14" s="1"/>
  <c r="W211" i="14"/>
  <c r="BH210" i="14"/>
  <c r="BG210" i="14"/>
  <c r="AH210" i="14"/>
  <c r="BF210" i="14" s="1"/>
  <c r="W210" i="14"/>
  <c r="BH209" i="14"/>
  <c r="BG209" i="14"/>
  <c r="BF209" i="14"/>
  <c r="W209" i="14"/>
  <c r="BH208" i="14"/>
  <c r="BG208" i="14"/>
  <c r="AH208" i="14"/>
  <c r="BF208" i="14" s="1"/>
  <c r="W208" i="14"/>
  <c r="BH207" i="14"/>
  <c r="BG207" i="14"/>
  <c r="AH207" i="14"/>
  <c r="BF207" i="14" s="1"/>
  <c r="W207" i="14"/>
  <c r="BH206" i="14"/>
  <c r="BG206" i="14"/>
  <c r="AH206" i="14"/>
  <c r="BF206" i="14" s="1"/>
  <c r="W206" i="14"/>
  <c r="BH205" i="14"/>
  <c r="BG205" i="14"/>
  <c r="BF205" i="14"/>
  <c r="AH205" i="14"/>
  <c r="W205" i="14"/>
  <c r="BH204" i="14"/>
  <c r="G147" i="20" s="1"/>
  <c r="BG204" i="14"/>
  <c r="AT204" i="14"/>
  <c r="BF204" i="14" s="1"/>
  <c r="C147" i="20" s="1"/>
  <c r="D147" i="20" s="1"/>
  <c r="W204" i="14"/>
  <c r="BH203" i="14"/>
  <c r="G146" i="20" s="1"/>
  <c r="BG203" i="14"/>
  <c r="AT203" i="14"/>
  <c r="BF203" i="14" s="1"/>
  <c r="C146" i="20" s="1"/>
  <c r="D146" i="20" s="1"/>
  <c r="W203" i="14"/>
  <c r="BH202" i="14"/>
  <c r="G145" i="20" s="1"/>
  <c r="BG202" i="14"/>
  <c r="BF202" i="14"/>
  <c r="C145" i="20" s="1"/>
  <c r="D145" i="20" s="1"/>
  <c r="W202" i="14"/>
  <c r="BH201" i="14"/>
  <c r="G144" i="20" s="1"/>
  <c r="BG201" i="14"/>
  <c r="AT201" i="14"/>
  <c r="BF201" i="14" s="1"/>
  <c r="W201" i="14"/>
  <c r="BH200" i="14"/>
  <c r="BG200" i="14"/>
  <c r="AT200" i="14"/>
  <c r="BF200" i="14" s="1"/>
  <c r="C143" i="20" s="1"/>
  <c r="W200" i="14"/>
  <c r="BH199" i="14"/>
  <c r="G141" i="20" s="1"/>
  <c r="BG199" i="14"/>
  <c r="AT199" i="14"/>
  <c r="BF199" i="14" s="1"/>
  <c r="W199" i="14"/>
  <c r="BH198" i="14"/>
  <c r="BG198" i="14"/>
  <c r="BF198" i="14"/>
  <c r="W198" i="14"/>
  <c r="BH197" i="14"/>
  <c r="BG197" i="14"/>
  <c r="AB197" i="14"/>
  <c r="C54" i="21" s="1"/>
  <c r="W197" i="14"/>
  <c r="BH196" i="14"/>
  <c r="BG196" i="14"/>
  <c r="AT196" i="14"/>
  <c r="BF196" i="14" s="1"/>
  <c r="W196" i="14"/>
  <c r="BH195" i="14"/>
  <c r="G137" i="20" s="1"/>
  <c r="BG195" i="14"/>
  <c r="AT195" i="14"/>
  <c r="BF195" i="14" s="1"/>
  <c r="C137" i="20" s="1"/>
  <c r="W195" i="14"/>
  <c r="BH194" i="14"/>
  <c r="BG194" i="14"/>
  <c r="AT194" i="14"/>
  <c r="BF194" i="14" s="1"/>
  <c r="W194" i="14"/>
  <c r="BH193" i="14"/>
  <c r="BG193" i="14"/>
  <c r="AT193" i="14"/>
  <c r="BF193" i="14" s="1"/>
  <c r="W193" i="14"/>
  <c r="BH192" i="14"/>
  <c r="G135" i="20" s="1"/>
  <c r="BG192" i="14"/>
  <c r="BF192" i="14"/>
  <c r="C135" i="20" s="1"/>
  <c r="W192" i="14"/>
  <c r="BH191" i="14"/>
  <c r="BG191" i="14"/>
  <c r="AT191" i="14"/>
  <c r="BF191" i="14" s="1"/>
  <c r="W191" i="14"/>
  <c r="BH190" i="14"/>
  <c r="BG190" i="14"/>
  <c r="AT190" i="14"/>
  <c r="BF190" i="14" s="1"/>
  <c r="W190" i="14"/>
  <c r="BH189" i="14"/>
  <c r="G133" i="20" s="1"/>
  <c r="BG189" i="14"/>
  <c r="AT189" i="14"/>
  <c r="BF189" i="14" s="1"/>
  <c r="C133" i="20" s="1"/>
  <c r="W189" i="14"/>
  <c r="BH188" i="14"/>
  <c r="G132" i="20" s="1"/>
  <c r="BG188" i="14"/>
  <c r="AT188" i="14"/>
  <c r="BF188" i="14" s="1"/>
  <c r="C132" i="20" s="1"/>
  <c r="D132" i="20" s="1"/>
  <c r="W188" i="14"/>
  <c r="BH187" i="14"/>
  <c r="G131" i="20" s="1"/>
  <c r="BG187" i="14"/>
  <c r="AT187" i="14"/>
  <c r="BF187" i="14" s="1"/>
  <c r="C131" i="20" s="1"/>
  <c r="W187" i="14"/>
  <c r="BH186" i="14"/>
  <c r="BG186" i="14"/>
  <c r="AT186" i="14"/>
  <c r="BF186" i="14" s="1"/>
  <c r="W186" i="14"/>
  <c r="BH185" i="14"/>
  <c r="G129" i="20" s="1"/>
  <c r="BG185" i="14"/>
  <c r="AT185" i="14"/>
  <c r="BF185" i="14" s="1"/>
  <c r="C129" i="20" s="1"/>
  <c r="W185" i="14"/>
  <c r="BH184" i="14"/>
  <c r="BG184" i="14"/>
  <c r="BF184" i="14"/>
  <c r="W184" i="14"/>
  <c r="BH183" i="14"/>
  <c r="BG183" i="14"/>
  <c r="AT183" i="14"/>
  <c r="BF183" i="14" s="1"/>
  <c r="C128" i="20" s="1"/>
  <c r="D128" i="20" s="1"/>
  <c r="W183" i="14"/>
  <c r="BH182" i="14"/>
  <c r="G127" i="20" s="1"/>
  <c r="BG182" i="14"/>
  <c r="AT182" i="14"/>
  <c r="BF182" i="14" s="1"/>
  <c r="C127" i="20" s="1"/>
  <c r="W182" i="14"/>
  <c r="BH181" i="14"/>
  <c r="G126" i="20" s="1"/>
  <c r="BG181" i="14"/>
  <c r="AT181" i="14"/>
  <c r="BF181" i="14" s="1"/>
  <c r="C126" i="20" s="1"/>
  <c r="D126" i="20" s="1"/>
  <c r="W181" i="14"/>
  <c r="BH180" i="14"/>
  <c r="G125" i="20" s="1"/>
  <c r="BG180" i="14"/>
  <c r="AT180" i="14"/>
  <c r="BF180" i="14" s="1"/>
  <c r="C125" i="20" s="1"/>
  <c r="W180" i="14"/>
  <c r="BH179" i="14"/>
  <c r="G124" i="20" s="1"/>
  <c r="BG179" i="14"/>
  <c r="AT179" i="14"/>
  <c r="BF179" i="14" s="1"/>
  <c r="C124" i="20" s="1"/>
  <c r="D124" i="20" s="1"/>
  <c r="W179" i="14"/>
  <c r="BH178" i="14"/>
  <c r="BG178" i="14"/>
  <c r="AT178" i="14"/>
  <c r="BF178" i="14" s="1"/>
  <c r="W178" i="14"/>
  <c r="BH177" i="14"/>
  <c r="BG177" i="14"/>
  <c r="BF177" i="14"/>
  <c r="AT177" i="14"/>
  <c r="W177" i="14"/>
  <c r="BH176" i="14"/>
  <c r="BG176" i="14"/>
  <c r="AT176" i="14"/>
  <c r="BF176" i="14" s="1"/>
  <c r="W176" i="14"/>
  <c r="BH175" i="14"/>
  <c r="BG175" i="14"/>
  <c r="AT175" i="14"/>
  <c r="BF175" i="14" s="1"/>
  <c r="W175" i="14"/>
  <c r="BH174" i="14"/>
  <c r="BG174" i="14"/>
  <c r="AT174" i="14"/>
  <c r="W174" i="14"/>
  <c r="BH173" i="14"/>
  <c r="BG173" i="14"/>
  <c r="AT173" i="14"/>
  <c r="AE173" i="14"/>
  <c r="W173" i="14"/>
  <c r="BH172" i="14"/>
  <c r="BG172" i="14"/>
  <c r="AT172" i="14"/>
  <c r="BF172" i="14" s="1"/>
  <c r="W172" i="14"/>
  <c r="BH171" i="14"/>
  <c r="BG171" i="14"/>
  <c r="BF171" i="14"/>
  <c r="W171" i="14"/>
  <c r="BH170" i="14"/>
  <c r="BG170" i="14"/>
  <c r="AT170" i="14"/>
  <c r="BF170" i="14" s="1"/>
  <c r="C115" i="20" s="1"/>
  <c r="W170" i="14"/>
  <c r="BH169" i="14"/>
  <c r="BG169" i="14"/>
  <c r="BF169" i="14"/>
  <c r="AT169" i="14"/>
  <c r="W169" i="14"/>
  <c r="BH168" i="14"/>
  <c r="BG168" i="14"/>
  <c r="BF168" i="14"/>
  <c r="W168" i="14"/>
  <c r="BH167" i="14"/>
  <c r="BG167" i="14"/>
  <c r="BF167" i="14"/>
  <c r="W167" i="14"/>
  <c r="BH166" i="14"/>
  <c r="BG166" i="14"/>
  <c r="AT166" i="14"/>
  <c r="BF166" i="14" s="1"/>
  <c r="W166" i="14"/>
  <c r="BH165" i="14"/>
  <c r="BG165" i="14"/>
  <c r="AN165" i="14"/>
  <c r="BF165" i="14" s="1"/>
  <c r="W165" i="14"/>
  <c r="BH164" i="14"/>
  <c r="BG164" i="14"/>
  <c r="AT164" i="14"/>
  <c r="AN164" i="14"/>
  <c r="W164" i="14"/>
  <c r="BH163" i="14"/>
  <c r="BG163" i="14"/>
  <c r="AT163" i="14"/>
  <c r="AN163" i="14"/>
  <c r="AE163" i="14"/>
  <c r="W163" i="14"/>
  <c r="BH162" i="14"/>
  <c r="BG162" i="14"/>
  <c r="AT162" i="14"/>
  <c r="BF162" i="14" s="1"/>
  <c r="W162" i="14"/>
  <c r="BH161" i="14"/>
  <c r="BG161" i="14"/>
  <c r="AT161" i="14"/>
  <c r="BF161" i="14" s="1"/>
  <c r="W161" i="14"/>
  <c r="BH160" i="14"/>
  <c r="BG160" i="14"/>
  <c r="BF160" i="14"/>
  <c r="AT160" i="14"/>
  <c r="W160" i="14"/>
  <c r="BH159" i="14"/>
  <c r="BG159" i="14"/>
  <c r="AT159" i="14"/>
  <c r="BF159" i="14" s="1"/>
  <c r="W159" i="14"/>
  <c r="BH158" i="14"/>
  <c r="BG158" i="14"/>
  <c r="AT158" i="14"/>
  <c r="BF158" i="14" s="1"/>
  <c r="W158" i="14"/>
  <c r="BH157" i="14"/>
  <c r="BG157" i="14"/>
  <c r="AT157" i="14"/>
  <c r="BF157" i="14" s="1"/>
  <c r="W157" i="14"/>
  <c r="BH156" i="14"/>
  <c r="BG156" i="14"/>
  <c r="AT156" i="14"/>
  <c r="BF156" i="14" s="1"/>
  <c r="W156" i="14"/>
  <c r="BH155" i="14"/>
  <c r="BG155" i="14"/>
  <c r="AT155" i="14"/>
  <c r="BF155" i="14" s="1"/>
  <c r="W155" i="14"/>
  <c r="BH154" i="14"/>
  <c r="BG154" i="14"/>
  <c r="AT154" i="14"/>
  <c r="BF154" i="14" s="1"/>
  <c r="W154" i="14"/>
  <c r="BH153" i="14"/>
  <c r="BG153" i="14"/>
  <c r="AT153" i="14"/>
  <c r="BF153" i="14" s="1"/>
  <c r="W153" i="14"/>
  <c r="BH152" i="14"/>
  <c r="BG152" i="14"/>
  <c r="AN152" i="14"/>
  <c r="BF152" i="14" s="1"/>
  <c r="W152" i="14"/>
  <c r="BH151" i="14"/>
  <c r="BG151" i="14"/>
  <c r="BF151" i="14"/>
  <c r="W151" i="14"/>
  <c r="BH150" i="14"/>
  <c r="BG150" i="14"/>
  <c r="AT150" i="14"/>
  <c r="BF150" i="14" s="1"/>
  <c r="W150" i="14"/>
  <c r="BH149" i="14"/>
  <c r="BG149" i="14"/>
  <c r="BF149" i="14"/>
  <c r="W149" i="14"/>
  <c r="BH148" i="14"/>
  <c r="BG148" i="14"/>
  <c r="AT148" i="14"/>
  <c r="BF148" i="14" s="1"/>
  <c r="W148" i="14"/>
  <c r="BH147" i="14"/>
  <c r="BG147" i="14"/>
  <c r="AT147" i="14"/>
  <c r="AN147" i="14"/>
  <c r="AE147" i="14"/>
  <c r="W147" i="14"/>
  <c r="BH146" i="14"/>
  <c r="BG146" i="14"/>
  <c r="BF146" i="14"/>
  <c r="W146" i="14"/>
  <c r="BH145" i="14"/>
  <c r="BG145" i="14"/>
  <c r="AT145" i="14"/>
  <c r="BF145" i="14" s="1"/>
  <c r="W145" i="14"/>
  <c r="BH144" i="14"/>
  <c r="BG144" i="14"/>
  <c r="AT144" i="14"/>
  <c r="AE144" i="14"/>
  <c r="W144" i="14"/>
  <c r="BH143" i="14"/>
  <c r="BG143" i="14"/>
  <c r="C49" i="21"/>
  <c r="D49" i="21" s="1"/>
  <c r="AN143" i="14"/>
  <c r="BF143" i="14" s="1"/>
  <c r="W143" i="14"/>
  <c r="BH142" i="14"/>
  <c r="BG142" i="14"/>
  <c r="BF142" i="14"/>
  <c r="W142" i="14"/>
  <c r="BH141" i="14"/>
  <c r="BG141" i="14"/>
  <c r="AN141" i="14"/>
  <c r="BF141" i="14" s="1"/>
  <c r="W141" i="14"/>
  <c r="BH140" i="14"/>
  <c r="BG140" i="14"/>
  <c r="AT140" i="14"/>
  <c r="BF140" i="14" s="1"/>
  <c r="W140" i="14"/>
  <c r="BH139" i="14"/>
  <c r="BG139" i="14"/>
  <c r="BF139" i="14"/>
  <c r="AT139" i="14"/>
  <c r="W139" i="14"/>
  <c r="BH138" i="14"/>
  <c r="BG138" i="14"/>
  <c r="AN138" i="14"/>
  <c r="W138" i="14"/>
  <c r="BH137" i="14"/>
  <c r="G106" i="20" s="1"/>
  <c r="BG137" i="14"/>
  <c r="BF137" i="14"/>
  <c r="C106" i="20" s="1"/>
  <c r="W137" i="14"/>
  <c r="BH136" i="14"/>
  <c r="BG136" i="14"/>
  <c r="AT136" i="14"/>
  <c r="BF136" i="14" s="1"/>
  <c r="W136" i="14"/>
  <c r="G104" i="20"/>
  <c r="E104" i="20"/>
  <c r="AT135" i="14"/>
  <c r="BF135" i="14" s="1"/>
  <c r="C104" i="20" s="1"/>
  <c r="D104" i="20" s="1"/>
  <c r="W135" i="14"/>
  <c r="E103" i="20"/>
  <c r="AT134" i="14"/>
  <c r="BF134" i="14" s="1"/>
  <c r="W134" i="14"/>
  <c r="BH133" i="14"/>
  <c r="BG133" i="14"/>
  <c r="AT133" i="14"/>
  <c r="BF133" i="14" s="1"/>
  <c r="W133" i="14"/>
  <c r="BH132" i="14"/>
  <c r="BG132" i="14"/>
  <c r="BF132" i="14"/>
  <c r="AT132" i="14"/>
  <c r="W132" i="14"/>
  <c r="BH131" i="14"/>
  <c r="BG131" i="14"/>
  <c r="BF131" i="14"/>
  <c r="W131" i="14"/>
  <c r="BH130" i="14"/>
  <c r="BG130" i="14"/>
  <c r="BF130" i="14"/>
  <c r="W130" i="14"/>
  <c r="BH129" i="14"/>
  <c r="BG129" i="14"/>
  <c r="AT129" i="14"/>
  <c r="BF129" i="14" s="1"/>
  <c r="W129" i="14"/>
  <c r="BH128" i="14"/>
  <c r="BG128" i="14"/>
  <c r="AT128" i="14"/>
  <c r="BF128" i="14" s="1"/>
  <c r="W128" i="14"/>
  <c r="BH127" i="14"/>
  <c r="BG127" i="14"/>
  <c r="AT127" i="14"/>
  <c r="BF127" i="14" s="1"/>
  <c r="W127" i="14"/>
  <c r="BH126" i="14"/>
  <c r="G97" i="20" s="1"/>
  <c r="BG126" i="14"/>
  <c r="AT126" i="14"/>
  <c r="BF126" i="14" s="1"/>
  <c r="C97" i="20" s="1"/>
  <c r="W126" i="14"/>
  <c r="BH125" i="14"/>
  <c r="G96" i="20" s="1"/>
  <c r="BG125" i="14"/>
  <c r="AT125" i="14"/>
  <c r="BF125" i="14" s="1"/>
  <c r="C96" i="20" s="1"/>
  <c r="D96" i="20" s="1"/>
  <c r="W125" i="14"/>
  <c r="BH124" i="14"/>
  <c r="BG124" i="14"/>
  <c r="AT124" i="14"/>
  <c r="BF124" i="14" s="1"/>
  <c r="W124" i="14"/>
  <c r="BH123" i="14"/>
  <c r="BG123" i="14"/>
  <c r="AT123" i="14"/>
  <c r="BF123" i="14" s="1"/>
  <c r="W123" i="14"/>
  <c r="BH122" i="14"/>
  <c r="BG122" i="14"/>
  <c r="BF122" i="14"/>
  <c r="W122" i="14"/>
  <c r="BH121" i="14"/>
  <c r="BG121" i="14"/>
  <c r="BF121" i="14"/>
  <c r="W121" i="14"/>
  <c r="BH120" i="14"/>
  <c r="BG120" i="14"/>
  <c r="AT120" i="14"/>
  <c r="BF120" i="14" s="1"/>
  <c r="W120" i="14"/>
  <c r="BH119" i="14"/>
  <c r="BG119" i="14"/>
  <c r="BF119" i="14"/>
  <c r="W119" i="14"/>
  <c r="BH118" i="14"/>
  <c r="BG118" i="14"/>
  <c r="AT118" i="14"/>
  <c r="BF118" i="14" s="1"/>
  <c r="W118" i="14"/>
  <c r="BH117" i="14"/>
  <c r="BG117" i="14"/>
  <c r="BF117" i="14"/>
  <c r="W117" i="14"/>
  <c r="BH116" i="14"/>
  <c r="BG116" i="14"/>
  <c r="AT116" i="14"/>
  <c r="BF116" i="14" s="1"/>
  <c r="W116" i="14"/>
  <c r="BH115" i="14"/>
  <c r="BG115" i="14"/>
  <c r="AT115" i="14"/>
  <c r="BF115" i="14" s="1"/>
  <c r="W115" i="14"/>
  <c r="BH114" i="14"/>
  <c r="BG114" i="14"/>
  <c r="BF114" i="14"/>
  <c r="W114" i="14"/>
  <c r="BH113" i="14"/>
  <c r="BG113" i="14"/>
  <c r="BF113" i="14"/>
  <c r="AT113" i="14"/>
  <c r="W113" i="14"/>
  <c r="BH112" i="14"/>
  <c r="BG112" i="14"/>
  <c r="BF112" i="14"/>
  <c r="W112" i="14"/>
  <c r="BH111" i="14"/>
  <c r="BG111" i="14"/>
  <c r="AT111" i="14"/>
  <c r="BF111" i="14" s="1"/>
  <c r="W111" i="14"/>
  <c r="BH110" i="14"/>
  <c r="BG110" i="14"/>
  <c r="AT110" i="14"/>
  <c r="BF110" i="14" s="1"/>
  <c r="W110" i="14"/>
  <c r="BH109" i="14"/>
  <c r="BG109" i="14"/>
  <c r="AT109" i="14"/>
  <c r="BF109" i="14" s="1"/>
  <c r="W109" i="14"/>
  <c r="BH108" i="14"/>
  <c r="BG108" i="14"/>
  <c r="AT108" i="14"/>
  <c r="BF108" i="14" s="1"/>
  <c r="W108" i="14"/>
  <c r="BH107" i="14"/>
  <c r="G85" i="20" s="1"/>
  <c r="BG107" i="14"/>
  <c r="AT107" i="14"/>
  <c r="BF107" i="14" s="1"/>
  <c r="C85" i="20" s="1"/>
  <c r="W107" i="14"/>
  <c r="BH106" i="14"/>
  <c r="BG106" i="14"/>
  <c r="AT106" i="14"/>
  <c r="BF106" i="14" s="1"/>
  <c r="W106" i="14"/>
  <c r="BH105" i="14"/>
  <c r="BG105" i="14"/>
  <c r="AT105" i="14"/>
  <c r="BF105" i="14" s="1"/>
  <c r="W105" i="14"/>
  <c r="BH104" i="14"/>
  <c r="BG104" i="14"/>
  <c r="AT104" i="14"/>
  <c r="BF104" i="14" s="1"/>
  <c r="W104" i="14"/>
  <c r="BH103" i="14"/>
  <c r="BG103" i="14"/>
  <c r="AT103" i="14"/>
  <c r="BF103" i="14" s="1"/>
  <c r="W103" i="14"/>
  <c r="BH102" i="14"/>
  <c r="BG102" i="14"/>
  <c r="AT102" i="14"/>
  <c r="BF102" i="14" s="1"/>
  <c r="W102" i="14"/>
  <c r="BH101" i="14"/>
  <c r="BG101" i="14"/>
  <c r="AT101" i="14"/>
  <c r="BF101" i="14" s="1"/>
  <c r="W101" i="14"/>
  <c r="BH100" i="14"/>
  <c r="BG100" i="14"/>
  <c r="BF100" i="14"/>
  <c r="AT100" i="14"/>
  <c r="W100" i="14"/>
  <c r="BH99" i="14"/>
  <c r="BG99" i="14"/>
  <c r="AT99" i="14"/>
  <c r="BF99" i="14" s="1"/>
  <c r="W99" i="14"/>
  <c r="BH98" i="14"/>
  <c r="BG98" i="14"/>
  <c r="AT98" i="14"/>
  <c r="BF98" i="14" s="1"/>
  <c r="W98" i="14"/>
  <c r="BH97" i="14"/>
  <c r="BG97" i="14"/>
  <c r="AT97" i="14"/>
  <c r="W97" i="14"/>
  <c r="BH96" i="14"/>
  <c r="G78" i="20" s="1"/>
  <c r="BG96" i="14"/>
  <c r="AT96" i="14"/>
  <c r="BF96" i="14" s="1"/>
  <c r="C78" i="20" s="1"/>
  <c r="D78" i="20" s="1"/>
  <c r="W96" i="14"/>
  <c r="BH95" i="14"/>
  <c r="BG95" i="14"/>
  <c r="AT95" i="14"/>
  <c r="BF95" i="14" s="1"/>
  <c r="W95" i="14"/>
  <c r="BH94" i="14"/>
  <c r="BG94" i="14"/>
  <c r="AT94" i="14"/>
  <c r="BF94" i="14" s="1"/>
  <c r="W94" i="14"/>
  <c r="BH93" i="14"/>
  <c r="BG93" i="14"/>
  <c r="AT93" i="14"/>
  <c r="BF93" i="14" s="1"/>
  <c r="W93" i="14"/>
  <c r="BH92" i="14"/>
  <c r="BG92" i="14"/>
  <c r="BF92" i="14"/>
  <c r="AT92" i="14"/>
  <c r="W92" i="14"/>
  <c r="BH91" i="14"/>
  <c r="G76" i="20" s="1"/>
  <c r="BG91" i="14"/>
  <c r="AW91" i="14"/>
  <c r="C36" i="21" s="1"/>
  <c r="D36" i="21" s="1"/>
  <c r="AT91" i="14"/>
  <c r="W91" i="14"/>
  <c r="BH90" i="14"/>
  <c r="BG90" i="14"/>
  <c r="AT90" i="14"/>
  <c r="BF90" i="14" s="1"/>
  <c r="W90" i="14"/>
  <c r="BH89" i="14"/>
  <c r="BG89" i="14"/>
  <c r="BF89" i="14"/>
  <c r="C75" i="20" s="1"/>
  <c r="D75" i="20" s="1"/>
  <c r="AT89" i="14"/>
  <c r="W89" i="14"/>
  <c r="BH88" i="14"/>
  <c r="G74" i="20" s="1"/>
  <c r="BG88" i="14"/>
  <c r="AT88" i="14"/>
  <c r="BF88" i="14" s="1"/>
  <c r="C74" i="20" s="1"/>
  <c r="D74" i="20" s="1"/>
  <c r="W88" i="14"/>
  <c r="BH87" i="14"/>
  <c r="BG87" i="14"/>
  <c r="AT87" i="14"/>
  <c r="BF87" i="14" s="1"/>
  <c r="W87" i="14"/>
  <c r="BH86" i="14"/>
  <c r="BG86" i="14"/>
  <c r="AT86" i="14"/>
  <c r="W86" i="14"/>
  <c r="BH85" i="14"/>
  <c r="BG85" i="14"/>
  <c r="AW85" i="14"/>
  <c r="C32" i="21" s="1"/>
  <c r="AT85" i="14"/>
  <c r="BF85" i="14" s="1"/>
  <c r="W85" i="14"/>
  <c r="BH84" i="14"/>
  <c r="BG84" i="14"/>
  <c r="AT84" i="14"/>
  <c r="BF84" i="14" s="1"/>
  <c r="W84" i="14"/>
  <c r="BH83" i="14"/>
  <c r="G69" i="20" s="1"/>
  <c r="BG83" i="14"/>
  <c r="AB83" i="14"/>
  <c r="BF83" i="14" s="1"/>
  <c r="C69" i="20" s="1"/>
  <c r="D69" i="20" s="1"/>
  <c r="W83" i="14"/>
  <c r="BH82" i="14"/>
  <c r="BG82" i="14"/>
  <c r="AT82" i="14"/>
  <c r="AB82" i="14"/>
  <c r="W82" i="14"/>
  <c r="BH81" i="14"/>
  <c r="BG81" i="14"/>
  <c r="AT81" i="14"/>
  <c r="AB81" i="14"/>
  <c r="W81" i="14"/>
  <c r="BH80" i="14"/>
  <c r="BG80" i="14"/>
  <c r="BF80" i="14"/>
  <c r="W80" i="14"/>
  <c r="BH79" i="14"/>
  <c r="BG79" i="14"/>
  <c r="BF79" i="14"/>
  <c r="W79" i="14"/>
  <c r="BH78" i="14"/>
  <c r="BG78" i="14"/>
  <c r="AT78" i="14"/>
  <c r="BF78" i="14" s="1"/>
  <c r="W78" i="14"/>
  <c r="BH77" i="14"/>
  <c r="BG77" i="14"/>
  <c r="AT77" i="14"/>
  <c r="AB77" i="14"/>
  <c r="W77" i="14"/>
  <c r="BH76" i="14"/>
  <c r="BG76" i="14"/>
  <c r="AT76" i="14"/>
  <c r="W76" i="14"/>
  <c r="BH75" i="14"/>
  <c r="BG75" i="14"/>
  <c r="AT75" i="14"/>
  <c r="BF75" i="14" s="1"/>
  <c r="W75" i="14"/>
  <c r="BH74" i="14"/>
  <c r="BG74" i="14"/>
  <c r="AT74" i="14"/>
  <c r="BF74" i="14" s="1"/>
  <c r="W74" i="14"/>
  <c r="AT73" i="14"/>
  <c r="W73" i="14"/>
  <c r="AU72" i="14"/>
  <c r="AV72" i="14" s="1"/>
  <c r="AT72" i="14"/>
  <c r="BF72" i="14" s="1"/>
  <c r="W72" i="14"/>
  <c r="BH71" i="14"/>
  <c r="G63" i="20" s="1"/>
  <c r="BG71" i="14"/>
  <c r="AT71" i="14"/>
  <c r="BF71" i="14" s="1"/>
  <c r="W71" i="14"/>
  <c r="BH70" i="14"/>
  <c r="BG70" i="14"/>
  <c r="AT70" i="14"/>
  <c r="BF70" i="14" s="1"/>
  <c r="W70" i="14"/>
  <c r="BH69" i="14"/>
  <c r="BG69" i="14"/>
  <c r="AT69" i="14"/>
  <c r="BF69" i="14" s="1"/>
  <c r="W69" i="14"/>
  <c r="BH68" i="14"/>
  <c r="BG68" i="14"/>
  <c r="AT68" i="14"/>
  <c r="BF68" i="14" s="1"/>
  <c r="W68" i="14"/>
  <c r="BH67" i="14"/>
  <c r="G60" i="20" s="1"/>
  <c r="BG67" i="14"/>
  <c r="AT67" i="14"/>
  <c r="BF67" i="14" s="1"/>
  <c r="W67" i="14"/>
  <c r="BH66" i="14"/>
  <c r="G58" i="20" s="1"/>
  <c r="BG66" i="14"/>
  <c r="BF66" i="14"/>
  <c r="C58" i="20" s="1"/>
  <c r="D58" i="20" s="1"/>
  <c r="W66" i="14"/>
  <c r="BH65" i="14"/>
  <c r="G57" i="20" s="1"/>
  <c r="BG65" i="14"/>
  <c r="BF65" i="14"/>
  <c r="AW65" i="14"/>
  <c r="C27" i="21" s="1"/>
  <c r="W65" i="14"/>
  <c r="BH64" i="14"/>
  <c r="BG64" i="14"/>
  <c r="AT64" i="14"/>
  <c r="W64" i="14"/>
  <c r="BH63" i="14"/>
  <c r="BG63" i="14"/>
  <c r="AT63" i="14"/>
  <c r="W63" i="14"/>
  <c r="BH62" i="14"/>
  <c r="BG62" i="14"/>
  <c r="AT62" i="14"/>
  <c r="W62" i="14"/>
  <c r="BH61" i="14"/>
  <c r="BG61" i="14"/>
  <c r="AT61" i="14"/>
  <c r="BF61" i="14" s="1"/>
  <c r="W61" i="14"/>
  <c r="BH60" i="14"/>
  <c r="BG60" i="14"/>
  <c r="AT60" i="14"/>
  <c r="W60" i="14"/>
  <c r="BH59" i="14"/>
  <c r="BG59" i="14"/>
  <c r="AT59" i="14"/>
  <c r="W59" i="14"/>
  <c r="BH58" i="14"/>
  <c r="BG58" i="14"/>
  <c r="AT58" i="14"/>
  <c r="W58" i="14"/>
  <c r="BH57" i="14"/>
  <c r="BG57" i="14"/>
  <c r="AT57" i="14"/>
  <c r="BF57" i="14" s="1"/>
  <c r="W57" i="14"/>
  <c r="BH56" i="14"/>
  <c r="BG56" i="14"/>
  <c r="AT56" i="14"/>
  <c r="W56" i="14"/>
  <c r="BH55" i="14"/>
  <c r="G51" i="20" s="1"/>
  <c r="BG55" i="14"/>
  <c r="AT55" i="14"/>
  <c r="BF55" i="14" s="1"/>
  <c r="W55" i="14"/>
  <c r="AT52" i="14"/>
  <c r="BF52" i="14" s="1"/>
  <c r="W52" i="14"/>
  <c r="E46" i="20"/>
  <c r="AT50" i="14"/>
  <c r="BF50" i="14" s="1"/>
  <c r="E51" i="15" s="1"/>
  <c r="W50" i="14"/>
  <c r="W49" i="14"/>
  <c r="W48" i="14"/>
  <c r="W47" i="14"/>
  <c r="AB46" i="14"/>
  <c r="BF46" i="14" s="1"/>
  <c r="W46" i="14"/>
  <c r="W45" i="14"/>
  <c r="W44" i="14"/>
  <c r="E41" i="20"/>
  <c r="C41" i="20"/>
  <c r="D41" i="20" s="1"/>
  <c r="W43" i="14"/>
  <c r="G40" i="20"/>
  <c r="E40" i="20"/>
  <c r="AW42" i="14"/>
  <c r="AT42" i="14"/>
  <c r="W42" i="14"/>
  <c r="AW41" i="14"/>
  <c r="BF41" i="14" s="1"/>
  <c r="W41" i="14"/>
  <c r="G38" i="20"/>
  <c r="E38" i="20"/>
  <c r="AW38" i="14"/>
  <c r="AT38" i="14"/>
  <c r="W38" i="14"/>
  <c r="D22" i="21"/>
  <c r="AW37" i="14"/>
  <c r="BF37" i="14" s="1"/>
  <c r="W37" i="14"/>
  <c r="AW36" i="14"/>
  <c r="AT36" i="14"/>
  <c r="W36" i="14"/>
  <c r="G35" i="20"/>
  <c r="E35" i="20"/>
  <c r="AT35" i="14"/>
  <c r="BF35" i="14" s="1"/>
  <c r="C35" i="20" s="1"/>
  <c r="D35" i="20" s="1"/>
  <c r="W35" i="14"/>
  <c r="AT34" i="14"/>
  <c r="BF34" i="14" s="1"/>
  <c r="W34" i="14"/>
  <c r="G31" i="20"/>
  <c r="E31" i="20"/>
  <c r="AB33" i="14"/>
  <c r="BF33" i="14" s="1"/>
  <c r="W33" i="14"/>
  <c r="AT31" i="14"/>
  <c r="BF31" i="14" s="1"/>
  <c r="W31" i="14"/>
  <c r="E27" i="20"/>
  <c r="AT30" i="14"/>
  <c r="BF30" i="14" s="1"/>
  <c r="C27" i="20" s="1"/>
  <c r="D27" i="20" s="1"/>
  <c r="W30" i="14"/>
  <c r="G26" i="20"/>
  <c r="E26" i="20"/>
  <c r="AB29" i="14"/>
  <c r="W29" i="14"/>
  <c r="E28" i="20"/>
  <c r="AT28" i="14"/>
  <c r="BF28" i="14" s="1"/>
  <c r="E29" i="15" s="1"/>
  <c r="E27" i="15" s="1"/>
  <c r="W28" i="14"/>
  <c r="I26" i="15"/>
  <c r="AT27" i="14"/>
  <c r="BF27" i="14" s="1"/>
  <c r="W27" i="14"/>
  <c r="BH26" i="14"/>
  <c r="G22" i="20" s="1"/>
  <c r="BG26" i="14"/>
  <c r="AT26" i="14"/>
  <c r="BF26" i="14" s="1"/>
  <c r="C22" i="20" s="1"/>
  <c r="D22" i="20" s="1"/>
  <c r="W26" i="14"/>
  <c r="BH25" i="14"/>
  <c r="G21" i="20" s="1"/>
  <c r="BG25" i="14"/>
  <c r="BC25" i="14"/>
  <c r="AT25" i="14"/>
  <c r="C14" i="21" s="1"/>
  <c r="W25" i="14"/>
  <c r="BH24" i="14"/>
  <c r="G18" i="20" s="1"/>
  <c r="BG24" i="14"/>
  <c r="BF24" i="14"/>
  <c r="C18" i="20" s="1"/>
  <c r="D18" i="20" s="1"/>
  <c r="W24" i="14"/>
  <c r="BH23" i="14"/>
  <c r="BG23" i="14"/>
  <c r="AT23" i="14"/>
  <c r="BF23" i="14" s="1"/>
  <c r="W23" i="14"/>
  <c r="BH22" i="14"/>
  <c r="BG22" i="14"/>
  <c r="AT22" i="14"/>
  <c r="BF22" i="14" s="1"/>
  <c r="W22" i="14"/>
  <c r="BH21" i="14"/>
  <c r="BG21" i="14"/>
  <c r="AT21" i="14"/>
  <c r="BF21" i="14" s="1"/>
  <c r="W21" i="14"/>
  <c r="G11" i="21"/>
  <c r="AU20" i="14"/>
  <c r="AT20" i="14"/>
  <c r="BF20" i="14" s="1"/>
  <c r="W20" i="14"/>
  <c r="BH19" i="14"/>
  <c r="BG19" i="14"/>
  <c r="AT19" i="14"/>
  <c r="BF19" i="14" s="1"/>
  <c r="W19" i="14"/>
  <c r="BH18" i="14"/>
  <c r="BG18" i="14"/>
  <c r="AT18" i="14"/>
  <c r="BF18" i="14" s="1"/>
  <c r="W18" i="14"/>
  <c r="BH17" i="14"/>
  <c r="G16" i="20" s="1"/>
  <c r="BG17" i="14"/>
  <c r="AT17" i="14"/>
  <c r="BF17" i="14" s="1"/>
  <c r="C16" i="20" s="1"/>
  <c r="D16" i="20" s="1"/>
  <c r="W17" i="14"/>
  <c r="BH16" i="14"/>
  <c r="G15" i="20" s="1"/>
  <c r="BG16" i="14"/>
  <c r="AT16" i="14"/>
  <c r="BF16" i="14" s="1"/>
  <c r="C15" i="20" s="1"/>
  <c r="D15" i="20" s="1"/>
  <c r="W16" i="14"/>
  <c r="BH15" i="14"/>
  <c r="G14" i="20" s="1"/>
  <c r="BG15" i="14"/>
  <c r="AT15" i="14"/>
  <c r="BF15" i="14" s="1"/>
  <c r="C14" i="20" s="1"/>
  <c r="D14" i="20" s="1"/>
  <c r="W15" i="14"/>
  <c r="BH14" i="14"/>
  <c r="G13" i="20" s="1"/>
  <c r="BG14" i="14"/>
  <c r="AT14" i="14"/>
  <c r="BF14" i="14" s="1"/>
  <c r="C13" i="20" s="1"/>
  <c r="D13" i="20" s="1"/>
  <c r="W14" i="14"/>
  <c r="BH13" i="14"/>
  <c r="G12" i="20" s="1"/>
  <c r="BG13" i="14"/>
  <c r="W13" i="14"/>
  <c r="BH11" i="14"/>
  <c r="G8" i="20" s="1"/>
  <c r="BG11" i="14"/>
  <c r="AT11" i="14"/>
  <c r="BF11" i="14" s="1"/>
  <c r="W11" i="14"/>
  <c r="BH10" i="14"/>
  <c r="G7" i="20" s="1"/>
  <c r="BG10" i="14"/>
  <c r="AT10" i="14"/>
  <c r="BF10" i="14" s="1"/>
  <c r="C7" i="20" s="1"/>
  <c r="D7" i="20" s="1"/>
  <c r="W10" i="14"/>
  <c r="BH9" i="14"/>
  <c r="BG9" i="14"/>
  <c r="AT9" i="14"/>
  <c r="BF9" i="14" s="1"/>
  <c r="C6" i="20" s="1"/>
  <c r="D6" i="20" s="1"/>
  <c r="W9" i="14"/>
  <c r="BH8" i="14"/>
  <c r="BG8" i="14"/>
  <c r="AT8" i="14"/>
  <c r="W8" i="14"/>
  <c r="BF82" i="14" l="1"/>
  <c r="C62" i="21"/>
  <c r="D62" i="21" s="1"/>
  <c r="BF247" i="14"/>
  <c r="BF81" i="14"/>
  <c r="C68" i="20" s="1"/>
  <c r="D68" i="20" s="1"/>
  <c r="AD26" i="23"/>
  <c r="G154" i="20"/>
  <c r="AE310" i="14"/>
  <c r="G128" i="20"/>
  <c r="G134" i="20"/>
  <c r="C154" i="20"/>
  <c r="D154" i="20" s="1"/>
  <c r="E7" i="20"/>
  <c r="F7" i="20" s="1"/>
  <c r="E13" i="20"/>
  <c r="F13" i="20" s="1"/>
  <c r="E69" i="20"/>
  <c r="F69" i="20" s="1"/>
  <c r="E76" i="20"/>
  <c r="E137" i="20"/>
  <c r="F137" i="20" s="1"/>
  <c r="E144" i="20"/>
  <c r="E145" i="20"/>
  <c r="F145" i="20" s="1"/>
  <c r="E146" i="20"/>
  <c r="F146" i="20" s="1"/>
  <c r="E147" i="20"/>
  <c r="F147" i="20" s="1"/>
  <c r="E158" i="20"/>
  <c r="E8" i="20"/>
  <c r="E15" i="20"/>
  <c r="F15" i="20" s="1"/>
  <c r="E18" i="20"/>
  <c r="F18" i="20" s="1"/>
  <c r="E21" i="20"/>
  <c r="E22" i="20"/>
  <c r="F22" i="20" s="1"/>
  <c r="E56" i="20"/>
  <c r="E90" i="20"/>
  <c r="E115" i="20"/>
  <c r="F115" i="20" s="1"/>
  <c r="E116" i="20"/>
  <c r="E164" i="20"/>
  <c r="F164" i="20" s="1"/>
  <c r="E165" i="20"/>
  <c r="F165" i="20" s="1"/>
  <c r="E166" i="20"/>
  <c r="F166" i="20" s="1"/>
  <c r="E58" i="20"/>
  <c r="F58" i="20" s="1"/>
  <c r="E63" i="20"/>
  <c r="E74" i="20"/>
  <c r="F74" i="20" s="1"/>
  <c r="E78" i="20"/>
  <c r="F78" i="20" s="1"/>
  <c r="E96" i="20"/>
  <c r="F96" i="20" s="1"/>
  <c r="E97" i="20"/>
  <c r="F97" i="20" s="1"/>
  <c r="E98" i="20"/>
  <c r="E105" i="20"/>
  <c r="E106" i="20"/>
  <c r="F106" i="20" s="1"/>
  <c r="E167" i="20"/>
  <c r="E168" i="20"/>
  <c r="F168" i="20" s="1"/>
  <c r="E169" i="20"/>
  <c r="F169" i="20" s="1"/>
  <c r="E14" i="20"/>
  <c r="F14" i="20" s="1"/>
  <c r="E16" i="20"/>
  <c r="F16" i="20" s="1"/>
  <c r="E85" i="20"/>
  <c r="F85" i="20" s="1"/>
  <c r="E124" i="20"/>
  <c r="F124" i="20" s="1"/>
  <c r="E125" i="20"/>
  <c r="F125" i="20" s="1"/>
  <c r="E126" i="20"/>
  <c r="F126" i="20" s="1"/>
  <c r="E127" i="20"/>
  <c r="F127" i="20" s="1"/>
  <c r="E129" i="20"/>
  <c r="F129" i="20" s="1"/>
  <c r="E131" i="20"/>
  <c r="F131" i="20" s="1"/>
  <c r="E132" i="20"/>
  <c r="F132" i="20" s="1"/>
  <c r="E133" i="20"/>
  <c r="F133" i="20" s="1"/>
  <c r="E135" i="20"/>
  <c r="F135" i="20" s="1"/>
  <c r="E153" i="20"/>
  <c r="F153" i="20" s="1"/>
  <c r="E187" i="20"/>
  <c r="G163" i="20"/>
  <c r="G152" i="20"/>
  <c r="C158" i="20"/>
  <c r="D158" i="20" s="1"/>
  <c r="G136" i="20"/>
  <c r="E128" i="20"/>
  <c r="F128" i="20" s="1"/>
  <c r="G75" i="20"/>
  <c r="AE26" i="23"/>
  <c r="Y26" i="23"/>
  <c r="W26" i="23"/>
  <c r="X26" i="23"/>
  <c r="AA26" i="23"/>
  <c r="AB26" i="23"/>
  <c r="BF42" i="14"/>
  <c r="C40" i="20" s="1"/>
  <c r="D40" i="20" s="1"/>
  <c r="C46" i="20"/>
  <c r="D46" i="20" s="1"/>
  <c r="BF59" i="14"/>
  <c r="BF164" i="14"/>
  <c r="C113" i="20" s="1"/>
  <c r="D113" i="20" s="1"/>
  <c r="BF259" i="14"/>
  <c r="BF63" i="14"/>
  <c r="AE309" i="14"/>
  <c r="BF238" i="14"/>
  <c r="BF253" i="14"/>
  <c r="C167" i="20" s="1"/>
  <c r="D167" i="20" s="1"/>
  <c r="BF292" i="14"/>
  <c r="C186" i="20" s="1"/>
  <c r="D186" i="20" s="1"/>
  <c r="AB309" i="14"/>
  <c r="BF29" i="14"/>
  <c r="C60" i="21"/>
  <c r="D60" i="21" s="1"/>
  <c r="AK309" i="14"/>
  <c r="C70" i="21"/>
  <c r="D70" i="21" s="1"/>
  <c r="AB310" i="14"/>
  <c r="C15" i="21"/>
  <c r="D15" i="21" s="1"/>
  <c r="BC309" i="14"/>
  <c r="H29" i="15"/>
  <c r="F29" i="15"/>
  <c r="BF36" i="14"/>
  <c r="C37" i="20" s="1"/>
  <c r="BF56" i="14"/>
  <c r="E58" i="15" s="1"/>
  <c r="F58" i="15" s="1"/>
  <c r="BF60" i="14"/>
  <c r="BF64" i="14"/>
  <c r="C56" i="20" s="1"/>
  <c r="D56" i="20" s="1"/>
  <c r="BG73" i="14"/>
  <c r="AV73" i="14"/>
  <c r="BH73" i="14" s="1"/>
  <c r="BF77" i="14"/>
  <c r="AN309" i="14"/>
  <c r="BF173" i="14"/>
  <c r="C118" i="20" s="1"/>
  <c r="BF197" i="14"/>
  <c r="E133" i="15" s="1"/>
  <c r="F133" i="15" s="1"/>
  <c r="BF290" i="14"/>
  <c r="AT309" i="14"/>
  <c r="BF147" i="14"/>
  <c r="C58" i="21"/>
  <c r="D58" i="21" s="1"/>
  <c r="AW310" i="14"/>
  <c r="C72" i="21"/>
  <c r="D72" i="21" s="1"/>
  <c r="AK310" i="14"/>
  <c r="C21" i="21"/>
  <c r="D21" i="21" s="1"/>
  <c r="AW309" i="14"/>
  <c r="E11" i="21"/>
  <c r="E10" i="21" s="1"/>
  <c r="AU309" i="14"/>
  <c r="BF38" i="14"/>
  <c r="C38" i="20" s="1"/>
  <c r="D38" i="20" s="1"/>
  <c r="BF58" i="14"/>
  <c r="C54" i="20" s="1"/>
  <c r="D54" i="20" s="1"/>
  <c r="BF62" i="14"/>
  <c r="BF163" i="14"/>
  <c r="C112" i="20" s="1"/>
  <c r="D112" i="20" s="1"/>
  <c r="AH309" i="14"/>
  <c r="BF258" i="14"/>
  <c r="BC310" i="14"/>
  <c r="BF289" i="14"/>
  <c r="BF293" i="14"/>
  <c r="C187" i="20" s="1"/>
  <c r="D187" i="20" s="1"/>
  <c r="C81" i="21"/>
  <c r="AC26" i="23"/>
  <c r="AG26" i="23"/>
  <c r="AF26" i="23"/>
  <c r="AK26" i="23"/>
  <c r="AI26" i="23"/>
  <c r="AJ26" i="23"/>
  <c r="C163" i="20"/>
  <c r="D163" i="20" s="1"/>
  <c r="E163" i="20"/>
  <c r="G155" i="20"/>
  <c r="C157" i="20"/>
  <c r="D157" i="20" s="1"/>
  <c r="C110" i="20"/>
  <c r="D110" i="20" s="1"/>
  <c r="G156" i="20"/>
  <c r="E110" i="20"/>
  <c r="E157" i="20"/>
  <c r="G110" i="20"/>
  <c r="G115" i="20"/>
  <c r="G157" i="20"/>
  <c r="G17" i="21"/>
  <c r="E17" i="21"/>
  <c r="E154" i="20"/>
  <c r="E65" i="21"/>
  <c r="E64" i="21" s="1"/>
  <c r="G175" i="20"/>
  <c r="E29" i="20"/>
  <c r="G35" i="15"/>
  <c r="G29" i="20"/>
  <c r="I35" i="15"/>
  <c r="C29" i="20"/>
  <c r="D29" i="20" s="1"/>
  <c r="E35" i="15"/>
  <c r="G10" i="15"/>
  <c r="I25" i="15"/>
  <c r="G53" i="21"/>
  <c r="G6" i="21"/>
  <c r="G42" i="21"/>
  <c r="I10" i="15"/>
  <c r="G80" i="21"/>
  <c r="G199" i="20" s="1"/>
  <c r="E5" i="20"/>
  <c r="G5" i="20"/>
  <c r="F51" i="21"/>
  <c r="G68" i="20"/>
  <c r="E83" i="20"/>
  <c r="C84" i="20"/>
  <c r="D84" i="20" s="1"/>
  <c r="E114" i="20"/>
  <c r="I127" i="15"/>
  <c r="E151" i="20"/>
  <c r="E159" i="20"/>
  <c r="C160" i="20"/>
  <c r="D160" i="20" s="1"/>
  <c r="C172" i="20"/>
  <c r="D172" i="20" s="1"/>
  <c r="BG310" i="14"/>
  <c r="E29" i="21"/>
  <c r="I66" i="15"/>
  <c r="C82" i="20"/>
  <c r="D82" i="20" s="1"/>
  <c r="G172" i="20"/>
  <c r="F41" i="20"/>
  <c r="E42" i="20"/>
  <c r="E84" i="20"/>
  <c r="E138" i="20"/>
  <c r="E160" i="20"/>
  <c r="C161" i="20"/>
  <c r="D161" i="20" s="1"/>
  <c r="E171" i="20"/>
  <c r="E172" i="20"/>
  <c r="E13" i="21"/>
  <c r="F50" i="21"/>
  <c r="F73" i="21"/>
  <c r="I48" i="15"/>
  <c r="E68" i="20"/>
  <c r="G106" i="15"/>
  <c r="E111" i="20"/>
  <c r="I158" i="15"/>
  <c r="E34" i="21"/>
  <c r="C83" i="20"/>
  <c r="D83" i="20" s="1"/>
  <c r="E113" i="20"/>
  <c r="C151" i="20"/>
  <c r="D151" i="20" s="1"/>
  <c r="E162" i="20"/>
  <c r="BH310" i="14"/>
  <c r="F40" i="21"/>
  <c r="C11" i="21"/>
  <c r="BF13" i="14"/>
  <c r="C12" i="20" s="1"/>
  <c r="C28" i="20"/>
  <c r="D28" i="20" s="1"/>
  <c r="G54" i="20"/>
  <c r="I61" i="15"/>
  <c r="G69" i="15"/>
  <c r="G68" i="15" s="1"/>
  <c r="E60" i="20"/>
  <c r="C88" i="20"/>
  <c r="D88" i="20" s="1"/>
  <c r="E95" i="15"/>
  <c r="F95" i="15" s="1"/>
  <c r="E121" i="20"/>
  <c r="G127" i="15"/>
  <c r="G126" i="15" s="1"/>
  <c r="C122" i="20"/>
  <c r="D122" i="20" s="1"/>
  <c r="E129" i="15"/>
  <c r="C136" i="20"/>
  <c r="D136" i="20" s="1"/>
  <c r="C17" i="20"/>
  <c r="D17" i="20" s="1"/>
  <c r="C39" i="20"/>
  <c r="D39" i="20" s="1"/>
  <c r="C53" i="20"/>
  <c r="D53" i="20" s="1"/>
  <c r="E59" i="15"/>
  <c r="F59" i="15" s="1"/>
  <c r="C57" i="20"/>
  <c r="D57" i="20" s="1"/>
  <c r="E66" i="15"/>
  <c r="E65" i="15" s="1"/>
  <c r="F65" i="15" s="1"/>
  <c r="C63" i="20"/>
  <c r="D63" i="20" s="1"/>
  <c r="I79" i="15"/>
  <c r="C39" i="21"/>
  <c r="F39" i="21" s="1"/>
  <c r="BF97" i="14"/>
  <c r="E88" i="20"/>
  <c r="G95" i="15"/>
  <c r="E89" i="20"/>
  <c r="G96" i="15"/>
  <c r="C90" i="20"/>
  <c r="D90" i="20" s="1"/>
  <c r="E97" i="15"/>
  <c r="F97" i="15" s="1"/>
  <c r="C91" i="20"/>
  <c r="E98" i="15"/>
  <c r="F98" i="15" s="1"/>
  <c r="D97" i="20"/>
  <c r="C98" i="20"/>
  <c r="D98" i="20" s="1"/>
  <c r="E105" i="15"/>
  <c r="F104" i="20"/>
  <c r="C105" i="20"/>
  <c r="E112" i="15"/>
  <c r="C47" i="21"/>
  <c r="D47" i="21" s="1"/>
  <c r="BF138" i="14"/>
  <c r="BF144" i="14"/>
  <c r="G118" i="20"/>
  <c r="I122" i="15"/>
  <c r="G143" i="20"/>
  <c r="I141" i="15"/>
  <c r="C182" i="20"/>
  <c r="E161" i="15"/>
  <c r="C8" i="20"/>
  <c r="D8" i="20" s="1"/>
  <c r="E9" i="15"/>
  <c r="F9" i="15" s="1"/>
  <c r="C18" i="21"/>
  <c r="G46" i="20"/>
  <c r="C7" i="21"/>
  <c r="BF8" i="14"/>
  <c r="C31" i="20"/>
  <c r="D31" i="20" s="1"/>
  <c r="E37" i="15"/>
  <c r="E36" i="15" s="1"/>
  <c r="F36" i="15" s="1"/>
  <c r="E39" i="20"/>
  <c r="G45" i="15"/>
  <c r="C47" i="20"/>
  <c r="D47" i="20" s="1"/>
  <c r="E52" i="15"/>
  <c r="F52" i="15" s="1"/>
  <c r="G52" i="20"/>
  <c r="I58" i="15"/>
  <c r="G56" i="20"/>
  <c r="I64" i="15"/>
  <c r="C92" i="20"/>
  <c r="D92" i="20" s="1"/>
  <c r="E100" i="15"/>
  <c r="G103" i="20"/>
  <c r="I113" i="15"/>
  <c r="C111" i="20"/>
  <c r="C116" i="20"/>
  <c r="D116" i="20" s="1"/>
  <c r="E119" i="15"/>
  <c r="F119" i="15" s="1"/>
  <c r="C140" i="20"/>
  <c r="E136" i="15"/>
  <c r="E135" i="15" s="1"/>
  <c r="C141" i="20"/>
  <c r="D141" i="20" s="1"/>
  <c r="E138" i="15"/>
  <c r="E137" i="15" s="1"/>
  <c r="C177" i="20"/>
  <c r="D177" i="20" s="1"/>
  <c r="E154" i="15"/>
  <c r="F154" i="15" s="1"/>
  <c r="G99" i="20"/>
  <c r="I106" i="15"/>
  <c r="G27" i="20"/>
  <c r="I33" i="15"/>
  <c r="E47" i="20"/>
  <c r="E45" i="20" s="1"/>
  <c r="G52" i="15"/>
  <c r="C51" i="20"/>
  <c r="D51" i="20" s="1"/>
  <c r="E57" i="15"/>
  <c r="F57" i="15" s="1"/>
  <c r="C60" i="20"/>
  <c r="E69" i="15"/>
  <c r="C61" i="20"/>
  <c r="D61" i="20" s="1"/>
  <c r="E71" i="15"/>
  <c r="C31" i="21"/>
  <c r="D31" i="21" s="1"/>
  <c r="BF76" i="14"/>
  <c r="G70" i="20"/>
  <c r="I80" i="15"/>
  <c r="C35" i="21"/>
  <c r="F35" i="21" s="1"/>
  <c r="BF86" i="14"/>
  <c r="C77" i="20"/>
  <c r="D77" i="20" s="1"/>
  <c r="E87" i="15"/>
  <c r="I92" i="15"/>
  <c r="C86" i="20"/>
  <c r="D86" i="20" s="1"/>
  <c r="E93" i="15"/>
  <c r="F93" i="15" s="1"/>
  <c r="C87" i="20"/>
  <c r="E94" i="15"/>
  <c r="F94" i="15" s="1"/>
  <c r="E92" i="20"/>
  <c r="G100" i="15"/>
  <c r="C94" i="20"/>
  <c r="E103" i="15"/>
  <c r="C95" i="20"/>
  <c r="E104" i="15"/>
  <c r="F104" i="15" s="1"/>
  <c r="E100" i="20"/>
  <c r="G107" i="15"/>
  <c r="G123" i="20"/>
  <c r="I131" i="15"/>
  <c r="G130" i="20"/>
  <c r="I132" i="15"/>
  <c r="C144" i="20"/>
  <c r="D144" i="20" s="1"/>
  <c r="E141" i="15"/>
  <c r="C156" i="20"/>
  <c r="D156" i="20" s="1"/>
  <c r="E177" i="20"/>
  <c r="G154" i="15"/>
  <c r="G179" i="20"/>
  <c r="I157" i="15"/>
  <c r="C180" i="20"/>
  <c r="D180" i="20" s="1"/>
  <c r="E158" i="15"/>
  <c r="F158" i="15" s="1"/>
  <c r="G193" i="20"/>
  <c r="I179" i="15"/>
  <c r="I148" i="15"/>
  <c r="BF25" i="14"/>
  <c r="G39" i="20"/>
  <c r="I45" i="15"/>
  <c r="C42" i="20"/>
  <c r="D42" i="20" s="1"/>
  <c r="C19" i="21"/>
  <c r="D19" i="21" s="1"/>
  <c r="G47" i="20"/>
  <c r="I52" i="15"/>
  <c r="E51" i="20"/>
  <c r="G57" i="15"/>
  <c r="E53" i="20"/>
  <c r="G59" i="15"/>
  <c r="E55" i="20"/>
  <c r="G63" i="15"/>
  <c r="E57" i="20"/>
  <c r="G66" i="15"/>
  <c r="G65" i="15" s="1"/>
  <c r="E26" i="21"/>
  <c r="E25" i="21" s="1"/>
  <c r="BF73" i="14"/>
  <c r="E74" i="15" s="1"/>
  <c r="C30" i="21"/>
  <c r="D30" i="21" s="1"/>
  <c r="E75" i="20"/>
  <c r="F75" i="20" s="1"/>
  <c r="E77" i="20"/>
  <c r="G87" i="15"/>
  <c r="E82" i="20"/>
  <c r="G83" i="20"/>
  <c r="E86" i="20"/>
  <c r="G93" i="15"/>
  <c r="G88" i="20"/>
  <c r="I95" i="15"/>
  <c r="G89" i="20"/>
  <c r="I96" i="15"/>
  <c r="G92" i="20"/>
  <c r="I100" i="15"/>
  <c r="E94" i="20"/>
  <c r="G103" i="15"/>
  <c r="E95" i="20"/>
  <c r="G104" i="15"/>
  <c r="G100" i="20"/>
  <c r="I107" i="15"/>
  <c r="C43" i="21"/>
  <c r="D43" i="21" s="1"/>
  <c r="C48" i="21"/>
  <c r="D48" i="21" s="1"/>
  <c r="G111" i="20"/>
  <c r="E112" i="20"/>
  <c r="G113" i="20"/>
  <c r="C114" i="20"/>
  <c r="D114" i="20" s="1"/>
  <c r="G121" i="20"/>
  <c r="E136" i="20"/>
  <c r="G133" i="15"/>
  <c r="G138" i="20"/>
  <c r="E140" i="20"/>
  <c r="G136" i="15"/>
  <c r="G135" i="15" s="1"/>
  <c r="C59" i="21"/>
  <c r="D59" i="21" s="1"/>
  <c r="E152" i="20"/>
  <c r="E156" i="20"/>
  <c r="G147" i="15"/>
  <c r="G160" i="20"/>
  <c r="G162" i="20"/>
  <c r="G171" i="20"/>
  <c r="E176" i="20"/>
  <c r="G177" i="20"/>
  <c r="E180" i="20"/>
  <c r="G158" i="15"/>
  <c r="C71" i="21"/>
  <c r="D71" i="21" s="1"/>
  <c r="E185" i="20"/>
  <c r="G168" i="15"/>
  <c r="C190" i="20"/>
  <c r="E174" i="15"/>
  <c r="C191" i="20"/>
  <c r="D191" i="20" s="1"/>
  <c r="E176" i="15"/>
  <c r="C78" i="21"/>
  <c r="D78" i="21" s="1"/>
  <c r="G194" i="20"/>
  <c r="I181" i="15"/>
  <c r="I180" i="15" s="1"/>
  <c r="BF298" i="14"/>
  <c r="C194" i="20" s="1"/>
  <c r="D194" i="20" s="1"/>
  <c r="E196" i="20"/>
  <c r="G184" i="15"/>
  <c r="BF305" i="14"/>
  <c r="I9" i="15"/>
  <c r="E47" i="15"/>
  <c r="F47" i="15" s="1"/>
  <c r="G48" i="15"/>
  <c r="F51" i="15"/>
  <c r="G119" i="15"/>
  <c r="I133" i="15"/>
  <c r="I174" i="15"/>
  <c r="D196" i="20"/>
  <c r="C195" i="20"/>
  <c r="D195" i="20" s="1"/>
  <c r="G37" i="20"/>
  <c r="G7" i="18"/>
  <c r="I59" i="15"/>
  <c r="G53" i="20"/>
  <c r="G55" i="20"/>
  <c r="I63" i="15"/>
  <c r="E61" i="20"/>
  <c r="G71" i="15"/>
  <c r="G70" i="15" s="1"/>
  <c r="G79" i="15"/>
  <c r="C70" i="20"/>
  <c r="D70" i="20" s="1"/>
  <c r="E80" i="15"/>
  <c r="F80" i="15" s="1"/>
  <c r="E73" i="20"/>
  <c r="G85" i="15"/>
  <c r="G77" i="20"/>
  <c r="I87" i="15"/>
  <c r="G92" i="15"/>
  <c r="E81" i="20"/>
  <c r="G82" i="20"/>
  <c r="G86" i="20"/>
  <c r="I93" i="15"/>
  <c r="E87" i="20"/>
  <c r="G94" i="15"/>
  <c r="G90" i="20"/>
  <c r="I97" i="15"/>
  <c r="E91" i="20"/>
  <c r="G98" i="15"/>
  <c r="G94" i="20"/>
  <c r="I103" i="15"/>
  <c r="G95" i="20"/>
  <c r="I104" i="15"/>
  <c r="C99" i="20"/>
  <c r="E106" i="15"/>
  <c r="F106" i="15" s="1"/>
  <c r="C103" i="20"/>
  <c r="E113" i="15"/>
  <c r="F113" i="15" s="1"/>
  <c r="G105" i="20"/>
  <c r="I112" i="15"/>
  <c r="E109" i="20"/>
  <c r="G118" i="15"/>
  <c r="G112" i="20"/>
  <c r="G116" i="20"/>
  <c r="I119" i="15"/>
  <c r="C55" i="21"/>
  <c r="E122" i="20"/>
  <c r="G129" i="15"/>
  <c r="G128" i="15" s="1"/>
  <c r="C123" i="20"/>
  <c r="E131" i="15"/>
  <c r="C130" i="20"/>
  <c r="D130" i="20" s="1"/>
  <c r="E132" i="15"/>
  <c r="C134" i="20"/>
  <c r="D134" i="20" s="1"/>
  <c r="G140" i="20"/>
  <c r="I136" i="15"/>
  <c r="G138" i="15"/>
  <c r="G137" i="15" s="1"/>
  <c r="E141" i="20"/>
  <c r="C150" i="20"/>
  <c r="G159" i="20"/>
  <c r="E161" i="20"/>
  <c r="BF256" i="14"/>
  <c r="C175" i="20"/>
  <c r="E153" i="15"/>
  <c r="C65" i="21"/>
  <c r="G176" i="20"/>
  <c r="C179" i="20"/>
  <c r="E157" i="15"/>
  <c r="E182" i="20"/>
  <c r="E181" i="20" s="1"/>
  <c r="G161" i="15"/>
  <c r="G160" i="15" s="1"/>
  <c r="G159" i="15" s="1"/>
  <c r="C74" i="21"/>
  <c r="D74" i="21" s="1"/>
  <c r="G185" i="20"/>
  <c r="I168" i="15"/>
  <c r="E190" i="20"/>
  <c r="G174" i="15"/>
  <c r="E191" i="20"/>
  <c r="G176" i="15"/>
  <c r="C193" i="20"/>
  <c r="E179" i="15"/>
  <c r="G196" i="20"/>
  <c r="I184" i="15"/>
  <c r="G189" i="15"/>
  <c r="G47" i="15"/>
  <c r="I69" i="15"/>
  <c r="G97" i="15"/>
  <c r="G112" i="15"/>
  <c r="I154" i="15"/>
  <c r="G65" i="21"/>
  <c r="E67" i="20"/>
  <c r="G150" i="20"/>
  <c r="I146" i="15"/>
  <c r="C152" i="20"/>
  <c r="D152" i="20" s="1"/>
  <c r="C176" i="20"/>
  <c r="D176" i="20" s="1"/>
  <c r="BF288" i="14"/>
  <c r="E186" i="20"/>
  <c r="G169" i="15"/>
  <c r="E194" i="20"/>
  <c r="G181" i="15"/>
  <c r="G180" i="15" s="1"/>
  <c r="E12" i="20"/>
  <c r="G15" i="15"/>
  <c r="C20" i="21"/>
  <c r="D20" i="21" s="1"/>
  <c r="G28" i="20"/>
  <c r="D14" i="21"/>
  <c r="E26" i="15"/>
  <c r="E25" i="15" s="1"/>
  <c r="F27" i="20"/>
  <c r="I40" i="15"/>
  <c r="F35" i="20"/>
  <c r="G41" i="20"/>
  <c r="I47" i="15"/>
  <c r="G42" i="20"/>
  <c r="C26" i="21"/>
  <c r="D26" i="21" s="1"/>
  <c r="E52" i="20"/>
  <c r="G58" i="15"/>
  <c r="E54" i="20"/>
  <c r="G61" i="15"/>
  <c r="G61" i="20"/>
  <c r="I71" i="15"/>
  <c r="G67" i="20"/>
  <c r="G80" i="15"/>
  <c r="E70" i="20"/>
  <c r="G73" i="20"/>
  <c r="I85" i="15"/>
  <c r="BF91" i="14"/>
  <c r="C76" i="20" s="1"/>
  <c r="D76" i="20" s="1"/>
  <c r="G81" i="20"/>
  <c r="G84" i="20"/>
  <c r="G87" i="20"/>
  <c r="I94" i="15"/>
  <c r="C89" i="20"/>
  <c r="E96" i="15"/>
  <c r="F96" i="15" s="1"/>
  <c r="G91" i="20"/>
  <c r="I98" i="15"/>
  <c r="G98" i="20"/>
  <c r="I105" i="15"/>
  <c r="E99" i="20"/>
  <c r="C100" i="20"/>
  <c r="D100" i="20" s="1"/>
  <c r="E107" i="15"/>
  <c r="G109" i="20"/>
  <c r="I118" i="15"/>
  <c r="C46" i="21"/>
  <c r="D46" i="21" s="1"/>
  <c r="G114" i="20"/>
  <c r="E118" i="20"/>
  <c r="E117" i="20" s="1"/>
  <c r="G122" i="15"/>
  <c r="G121" i="15" s="1"/>
  <c r="G120" i="15" s="1"/>
  <c r="BF174" i="14"/>
  <c r="G122" i="20"/>
  <c r="I129" i="15"/>
  <c r="E123" i="20"/>
  <c r="G131" i="15"/>
  <c r="E130" i="20"/>
  <c r="G132" i="15"/>
  <c r="E134" i="20"/>
  <c r="D54" i="21"/>
  <c r="E143" i="20"/>
  <c r="G141" i="15"/>
  <c r="G140" i="15" s="1"/>
  <c r="E150" i="20"/>
  <c r="G146" i="15"/>
  <c r="G151" i="20"/>
  <c r="C61" i="21"/>
  <c r="D61" i="21" s="1"/>
  <c r="E155" i="20"/>
  <c r="BF226" i="14"/>
  <c r="E146" i="15" s="1"/>
  <c r="G161" i="20"/>
  <c r="C162" i="20"/>
  <c r="D162" i="20" s="1"/>
  <c r="E170" i="20"/>
  <c r="G148" i="15"/>
  <c r="E179" i="20"/>
  <c r="G182" i="20"/>
  <c r="I161" i="15"/>
  <c r="G189" i="20"/>
  <c r="E193" i="20"/>
  <c r="G179" i="15"/>
  <c r="G178" i="15" s="1"/>
  <c r="I189" i="15"/>
  <c r="E33" i="15"/>
  <c r="E32" i="15" s="1"/>
  <c r="F32" i="15" s="1"/>
  <c r="I37" i="15"/>
  <c r="E48" i="15"/>
  <c r="F48" i="15" s="1"/>
  <c r="I57" i="15"/>
  <c r="G64" i="15"/>
  <c r="G105" i="15"/>
  <c r="G113" i="15"/>
  <c r="I138" i="15"/>
  <c r="I147" i="15"/>
  <c r="G157" i="15"/>
  <c r="I169" i="15"/>
  <c r="I176" i="15"/>
  <c r="E184" i="15"/>
  <c r="E45" i="21"/>
  <c r="F36" i="21"/>
  <c r="F14" i="21"/>
  <c r="F22" i="21"/>
  <c r="F49" i="21"/>
  <c r="E53" i="21"/>
  <c r="F54" i="21"/>
  <c r="F62" i="21"/>
  <c r="G40" i="15"/>
  <c r="G34" i="21"/>
  <c r="E25" i="20"/>
  <c r="BG72" i="14"/>
  <c r="G13" i="21"/>
  <c r="G29" i="21"/>
  <c r="D32" i="21"/>
  <c r="E69" i="21"/>
  <c r="G10" i="21"/>
  <c r="G20" i="20"/>
  <c r="I21" i="15"/>
  <c r="D77" i="21"/>
  <c r="E76" i="21"/>
  <c r="E6" i="20"/>
  <c r="F6" i="20" s="1"/>
  <c r="BG20" i="14"/>
  <c r="G25" i="20"/>
  <c r="C34" i="20"/>
  <c r="C33" i="20" s="1"/>
  <c r="E37" i="20"/>
  <c r="E7" i="18"/>
  <c r="BH72" i="14"/>
  <c r="G9" i="15"/>
  <c r="I15" i="15"/>
  <c r="G21" i="15"/>
  <c r="G26" i="15"/>
  <c r="G31" i="15"/>
  <c r="G33" i="15"/>
  <c r="G37" i="15"/>
  <c r="E40" i="15"/>
  <c r="E38" i="21"/>
  <c r="G38" i="21"/>
  <c r="G34" i="20"/>
  <c r="G6" i="18"/>
  <c r="E16" i="15"/>
  <c r="F16" i="15" s="1"/>
  <c r="I31" i="15"/>
  <c r="G6" i="20"/>
  <c r="BH20" i="14"/>
  <c r="E34" i="20"/>
  <c r="E6" i="18"/>
  <c r="D27" i="21"/>
  <c r="G45" i="21"/>
  <c r="F27" i="21"/>
  <c r="F32" i="21"/>
  <c r="E57" i="21"/>
  <c r="F77" i="21"/>
  <c r="E80" i="21"/>
  <c r="G69" i="21"/>
  <c r="G76" i="21"/>
  <c r="G57" i="21"/>
  <c r="D85" i="20"/>
  <c r="D115" i="20"/>
  <c r="D129" i="20"/>
  <c r="D137" i="20"/>
  <c r="D127" i="20"/>
  <c r="D135" i="20"/>
  <c r="D143" i="20"/>
  <c r="D125" i="20"/>
  <c r="D133" i="20"/>
  <c r="D131" i="20"/>
  <c r="E24" i="20" l="1"/>
  <c r="G24" i="20"/>
  <c r="F154" i="20"/>
  <c r="E20" i="20"/>
  <c r="E19" i="20" s="1"/>
  <c r="E102" i="20"/>
  <c r="E101" i="20" s="1"/>
  <c r="E142" i="20"/>
  <c r="G16" i="15"/>
  <c r="H16" i="15" s="1"/>
  <c r="F158" i="20"/>
  <c r="F21" i="21"/>
  <c r="F46" i="20"/>
  <c r="F187" i="20"/>
  <c r="F58" i="21"/>
  <c r="E10" i="15"/>
  <c r="AE311" i="14"/>
  <c r="F72" i="21"/>
  <c r="F11" i="21"/>
  <c r="E122" i="15"/>
  <c r="F15" i="21"/>
  <c r="F167" i="20"/>
  <c r="E147" i="15"/>
  <c r="H147" i="15" s="1"/>
  <c r="C171" i="20"/>
  <c r="D171" i="20" s="1"/>
  <c r="C80" i="21"/>
  <c r="D80" i="21" s="1"/>
  <c r="F70" i="21"/>
  <c r="H58" i="15"/>
  <c r="G26" i="21"/>
  <c r="E61" i="15"/>
  <c r="F61" i="15" s="1"/>
  <c r="D81" i="21"/>
  <c r="F81" i="21"/>
  <c r="C159" i="20"/>
  <c r="D159" i="20" s="1"/>
  <c r="C52" i="20"/>
  <c r="D52" i="20" s="1"/>
  <c r="C138" i="20"/>
  <c r="D138" i="20" s="1"/>
  <c r="C55" i="20"/>
  <c r="D55" i="20" s="1"/>
  <c r="F60" i="21"/>
  <c r="E64" i="15"/>
  <c r="F64" i="15" s="1"/>
  <c r="E169" i="15"/>
  <c r="F169" i="15" s="1"/>
  <c r="E63" i="15"/>
  <c r="F63" i="15" s="1"/>
  <c r="C13" i="21"/>
  <c r="D13" i="21" s="1"/>
  <c r="AU311" i="14"/>
  <c r="AN311" i="14"/>
  <c r="AV309" i="14"/>
  <c r="E43" i="15"/>
  <c r="BC311" i="14"/>
  <c r="AK311" i="14"/>
  <c r="AW311" i="14"/>
  <c r="AT311" i="14"/>
  <c r="AH311" i="14"/>
  <c r="AB311" i="14"/>
  <c r="F163" i="20"/>
  <c r="C45" i="20"/>
  <c r="D45" i="20" s="1"/>
  <c r="F157" i="20"/>
  <c r="F110" i="20"/>
  <c r="C36" i="20"/>
  <c r="D36" i="20" s="1"/>
  <c r="E36" i="20"/>
  <c r="G36" i="20"/>
  <c r="G45" i="20"/>
  <c r="E175" i="20"/>
  <c r="E174" i="20" s="1"/>
  <c r="G153" i="15"/>
  <c r="G152" i="15" s="1"/>
  <c r="G151" i="15" s="1"/>
  <c r="I153" i="15"/>
  <c r="C17" i="21"/>
  <c r="D17" i="21" s="1"/>
  <c r="F27" i="15"/>
  <c r="F29" i="20"/>
  <c r="F40" i="20"/>
  <c r="E111" i="15"/>
  <c r="E110" i="15" s="1"/>
  <c r="C53" i="21"/>
  <c r="D53" i="21" s="1"/>
  <c r="D18" i="21"/>
  <c r="C25" i="21"/>
  <c r="D25" i="21" s="1"/>
  <c r="C10" i="21"/>
  <c r="D10" i="21" s="1"/>
  <c r="F143" i="20"/>
  <c r="E15" i="15"/>
  <c r="H15" i="15" s="1"/>
  <c r="D12" i="20"/>
  <c r="F151" i="20"/>
  <c r="F160" i="20"/>
  <c r="BH309" i="14"/>
  <c r="F70" i="20"/>
  <c r="F31" i="20"/>
  <c r="I65" i="15"/>
  <c r="F19" i="21"/>
  <c r="F161" i="20"/>
  <c r="F116" i="20"/>
  <c r="F18" i="21"/>
  <c r="H71" i="15"/>
  <c r="F140" i="20"/>
  <c r="I34" i="15"/>
  <c r="I36" i="15"/>
  <c r="I160" i="15"/>
  <c r="I128" i="15"/>
  <c r="G139" i="20"/>
  <c r="I173" i="15"/>
  <c r="I121" i="15"/>
  <c r="I126" i="15"/>
  <c r="G4" i="20"/>
  <c r="F20" i="21"/>
  <c r="G181" i="20"/>
  <c r="I39" i="15"/>
  <c r="I38" i="15" s="1"/>
  <c r="H179" i="15"/>
  <c r="H59" i="15"/>
  <c r="I44" i="15"/>
  <c r="F118" i="20"/>
  <c r="I140" i="15"/>
  <c r="G117" i="20"/>
  <c r="I60" i="15"/>
  <c r="I8" i="15"/>
  <c r="I7" i="15" s="1"/>
  <c r="I32" i="15"/>
  <c r="G142" i="20"/>
  <c r="E4" i="20"/>
  <c r="E3" i="20" s="1"/>
  <c r="I42" i="15"/>
  <c r="I156" i="15"/>
  <c r="F7" i="21"/>
  <c r="C6" i="21"/>
  <c r="F180" i="20"/>
  <c r="E59" i="20"/>
  <c r="F111" i="20"/>
  <c r="F83" i="20"/>
  <c r="F43" i="21"/>
  <c r="H97" i="15"/>
  <c r="E93" i="20"/>
  <c r="E50" i="20"/>
  <c r="F172" i="20"/>
  <c r="F38" i="20"/>
  <c r="F191" i="20"/>
  <c r="F8" i="20"/>
  <c r="F47" i="20"/>
  <c r="C142" i="20"/>
  <c r="D142" i="20" s="1"/>
  <c r="F26" i="21"/>
  <c r="G145" i="15"/>
  <c r="G144" i="15" s="1"/>
  <c r="E120" i="20"/>
  <c r="F51" i="20"/>
  <c r="F46" i="21"/>
  <c r="F68" i="20"/>
  <c r="F98" i="20"/>
  <c r="F113" i="20"/>
  <c r="F66" i="15"/>
  <c r="F37" i="15"/>
  <c r="G66" i="20"/>
  <c r="C102" i="20"/>
  <c r="F84" i="20"/>
  <c r="E72" i="20"/>
  <c r="E71" i="20" s="1"/>
  <c r="H65" i="15"/>
  <c r="F134" i="20"/>
  <c r="E8" i="18"/>
  <c r="F78" i="21"/>
  <c r="D11" i="21"/>
  <c r="G156" i="15"/>
  <c r="I46" i="15"/>
  <c r="F156" i="20"/>
  <c r="H95" i="15"/>
  <c r="G50" i="20"/>
  <c r="E17" i="20"/>
  <c r="F17" i="20" s="1"/>
  <c r="E50" i="15"/>
  <c r="F50" i="15" s="1"/>
  <c r="C11" i="20"/>
  <c r="C10" i="20" s="1"/>
  <c r="D10" i="20" s="1"/>
  <c r="F122" i="20"/>
  <c r="H106" i="15"/>
  <c r="F42" i="20"/>
  <c r="F123" i="20"/>
  <c r="F76" i="20"/>
  <c r="G17" i="20"/>
  <c r="C76" i="21"/>
  <c r="F12" i="20"/>
  <c r="G130" i="15"/>
  <c r="G125" i="15" s="1"/>
  <c r="E66" i="20"/>
  <c r="E65" i="20" s="1"/>
  <c r="F176" i="20"/>
  <c r="G134" i="15"/>
  <c r="F114" i="20"/>
  <c r="F39" i="20"/>
  <c r="F48" i="21"/>
  <c r="E56" i="15"/>
  <c r="F56" i="15" s="1"/>
  <c r="C69" i="21"/>
  <c r="D69" i="21" s="1"/>
  <c r="F26" i="15"/>
  <c r="F30" i="21"/>
  <c r="F54" i="20"/>
  <c r="E139" i="20"/>
  <c r="D123" i="20"/>
  <c r="C45" i="21"/>
  <c r="G167" i="15"/>
  <c r="G166" i="15" s="1"/>
  <c r="F47" i="21"/>
  <c r="G108" i="20"/>
  <c r="E108" i="20"/>
  <c r="E107" i="20" s="1"/>
  <c r="E181" i="15"/>
  <c r="H181" i="15" s="1"/>
  <c r="F141" i="20"/>
  <c r="F74" i="21"/>
  <c r="F33" i="15"/>
  <c r="G72" i="20"/>
  <c r="C155" i="20"/>
  <c r="F155" i="20" s="1"/>
  <c r="F90" i="20"/>
  <c r="F28" i="20"/>
  <c r="H52" i="15"/>
  <c r="I78" i="15"/>
  <c r="E45" i="15"/>
  <c r="H45" i="15" s="1"/>
  <c r="F60" i="20"/>
  <c r="F146" i="15"/>
  <c r="E73" i="15"/>
  <c r="F74" i="15"/>
  <c r="H113" i="15"/>
  <c r="F193" i="20"/>
  <c r="E192" i="20"/>
  <c r="F150" i="20"/>
  <c r="E149" i="20"/>
  <c r="C185" i="20"/>
  <c r="E168" i="15"/>
  <c r="BF310" i="14"/>
  <c r="D65" i="21"/>
  <c r="C64" i="21"/>
  <c r="D64" i="21" s="1"/>
  <c r="D150" i="20"/>
  <c r="F99" i="20"/>
  <c r="D99" i="20"/>
  <c r="G183" i="15"/>
  <c r="H184" i="15"/>
  <c r="F86" i="20"/>
  <c r="E102" i="15"/>
  <c r="F103" i="15"/>
  <c r="I50" i="15"/>
  <c r="D182" i="20"/>
  <c r="C181" i="20"/>
  <c r="D181" i="20" s="1"/>
  <c r="F53" i="20"/>
  <c r="C57" i="21"/>
  <c r="D57" i="21" s="1"/>
  <c r="F59" i="21"/>
  <c r="H69" i="15"/>
  <c r="BF309" i="14"/>
  <c r="C42" i="21"/>
  <c r="C5" i="20"/>
  <c r="H131" i="15"/>
  <c r="C121" i="20"/>
  <c r="F121" i="20" s="1"/>
  <c r="E127" i="15"/>
  <c r="H107" i="15"/>
  <c r="F107" i="15"/>
  <c r="F89" i="20"/>
  <c r="D89" i="20"/>
  <c r="G80" i="20"/>
  <c r="I70" i="15"/>
  <c r="F194" i="20"/>
  <c r="I145" i="15"/>
  <c r="F61" i="21"/>
  <c r="G188" i="15"/>
  <c r="C192" i="20"/>
  <c r="D192" i="20" s="1"/>
  <c r="D193" i="20"/>
  <c r="E189" i="20"/>
  <c r="F190" i="20"/>
  <c r="E156" i="15"/>
  <c r="F157" i="15"/>
  <c r="E152" i="15"/>
  <c r="F153" i="15"/>
  <c r="E130" i="15"/>
  <c r="F130" i="15" s="1"/>
  <c r="F131" i="15"/>
  <c r="D55" i="21"/>
  <c r="F55" i="21"/>
  <c r="G117" i="15"/>
  <c r="G116" i="15" s="1"/>
  <c r="G115" i="15" s="1"/>
  <c r="G12" i="22" s="1"/>
  <c r="E12" i="22" s="1"/>
  <c r="I102" i="15"/>
  <c r="I62" i="15"/>
  <c r="G174" i="20"/>
  <c r="E195" i="20"/>
  <c r="F195" i="20" s="1"/>
  <c r="F196" i="20"/>
  <c r="C189" i="20"/>
  <c r="D190" i="20"/>
  <c r="H103" i="15"/>
  <c r="G102" i="15"/>
  <c r="F57" i="20"/>
  <c r="F177" i="20"/>
  <c r="D94" i="20"/>
  <c r="C93" i="20"/>
  <c r="D93" i="20" s="1"/>
  <c r="F87" i="20"/>
  <c r="D87" i="20"/>
  <c r="F87" i="15"/>
  <c r="E86" i="15"/>
  <c r="F86" i="15" s="1"/>
  <c r="D60" i="20"/>
  <c r="C59" i="20"/>
  <c r="D59" i="20" s="1"/>
  <c r="C117" i="20"/>
  <c r="D117" i="20" s="1"/>
  <c r="D118" i="20"/>
  <c r="F91" i="20"/>
  <c r="D91" i="20"/>
  <c r="D39" i="21"/>
  <c r="C38" i="21"/>
  <c r="D38" i="21" s="1"/>
  <c r="E128" i="15"/>
  <c r="F128" i="15" s="1"/>
  <c r="F129" i="15"/>
  <c r="H51" i="15"/>
  <c r="G50" i="15"/>
  <c r="G64" i="21"/>
  <c r="G173" i="15"/>
  <c r="H174" i="15"/>
  <c r="C170" i="20"/>
  <c r="E148" i="15"/>
  <c r="F148" i="15" s="1"/>
  <c r="I135" i="15"/>
  <c r="I86" i="15"/>
  <c r="I91" i="15"/>
  <c r="C109" i="20"/>
  <c r="F109" i="20" s="1"/>
  <c r="E118" i="15"/>
  <c r="H96" i="15"/>
  <c r="F112" i="20"/>
  <c r="F136" i="20"/>
  <c r="D111" i="20"/>
  <c r="G120" i="20"/>
  <c r="F65" i="21"/>
  <c r="C25" i="20"/>
  <c r="H57" i="15"/>
  <c r="F71" i="21"/>
  <c r="F31" i="21"/>
  <c r="E183" i="15"/>
  <c r="F184" i="15"/>
  <c r="I188" i="15"/>
  <c r="H141" i="15"/>
  <c r="I117" i="15"/>
  <c r="H80" i="15"/>
  <c r="G56" i="15"/>
  <c r="G149" i="20"/>
  <c r="I68" i="15"/>
  <c r="I183" i="15"/>
  <c r="G175" i="15"/>
  <c r="H176" i="15"/>
  <c r="C178" i="20"/>
  <c r="D178" i="20" s="1"/>
  <c r="D179" i="20"/>
  <c r="C174" i="20"/>
  <c r="D175" i="20"/>
  <c r="F103" i="20"/>
  <c r="D103" i="20"/>
  <c r="G93" i="20"/>
  <c r="E80" i="20"/>
  <c r="G84" i="15"/>
  <c r="G78" i="15"/>
  <c r="H48" i="15"/>
  <c r="F176" i="15"/>
  <c r="E175" i="15"/>
  <c r="F175" i="15" s="1"/>
  <c r="F94" i="20"/>
  <c r="G86" i="15"/>
  <c r="H87" i="15"/>
  <c r="G62" i="15"/>
  <c r="I178" i="15"/>
  <c r="F141" i="15"/>
  <c r="E140" i="15"/>
  <c r="I130" i="15"/>
  <c r="G99" i="15"/>
  <c r="H100" i="15"/>
  <c r="F71" i="15"/>
  <c r="E70" i="15"/>
  <c r="F70" i="15" s="1"/>
  <c r="H136" i="15"/>
  <c r="F136" i="15"/>
  <c r="G102" i="20"/>
  <c r="C26" i="20"/>
  <c r="E31" i="15"/>
  <c r="H31" i="15" s="1"/>
  <c r="H112" i="15"/>
  <c r="F112" i="15"/>
  <c r="H105" i="15"/>
  <c r="F105" i="15"/>
  <c r="C64" i="20"/>
  <c r="D64" i="20" s="1"/>
  <c r="F144" i="20"/>
  <c r="G60" i="15"/>
  <c r="G111" i="15"/>
  <c r="G110" i="15" s="1"/>
  <c r="G109" i="15" s="1"/>
  <c r="G11" i="22" s="1"/>
  <c r="E11" i="22" s="1"/>
  <c r="E178" i="15"/>
  <c r="F178" i="15" s="1"/>
  <c r="F179" i="15"/>
  <c r="G184" i="20"/>
  <c r="F174" i="15"/>
  <c r="E173" i="15"/>
  <c r="C21" i="20"/>
  <c r="E21" i="15"/>
  <c r="H21" i="15" s="1"/>
  <c r="D35" i="21"/>
  <c r="C34" i="21"/>
  <c r="F69" i="15"/>
  <c r="E68" i="15"/>
  <c r="H68" i="15" s="1"/>
  <c r="H138" i="15"/>
  <c r="F138" i="15"/>
  <c r="G44" i="15"/>
  <c r="C81" i="20"/>
  <c r="E92" i="15"/>
  <c r="H92" i="15" s="1"/>
  <c r="G67" i="15"/>
  <c r="F130" i="20"/>
  <c r="F63" i="20"/>
  <c r="F61" i="20"/>
  <c r="H66" i="15"/>
  <c r="I56" i="15"/>
  <c r="C6" i="18"/>
  <c r="D6" i="18" s="1"/>
  <c r="C29" i="21"/>
  <c r="I175" i="15"/>
  <c r="I137" i="15"/>
  <c r="G177" i="15"/>
  <c r="F179" i="20"/>
  <c r="E178" i="20"/>
  <c r="H146" i="15"/>
  <c r="I84" i="15"/>
  <c r="F56" i="20"/>
  <c r="F186" i="20"/>
  <c r="H47" i="15"/>
  <c r="G46" i="15"/>
  <c r="G195" i="20"/>
  <c r="I167" i="15"/>
  <c r="F182" i="20"/>
  <c r="H132" i="15"/>
  <c r="F132" i="15"/>
  <c r="H129" i="15"/>
  <c r="I111" i="15"/>
  <c r="H98" i="15"/>
  <c r="H94" i="15"/>
  <c r="G91" i="15"/>
  <c r="F162" i="20"/>
  <c r="E46" i="15"/>
  <c r="F46" i="15" s="1"/>
  <c r="C199" i="20"/>
  <c r="E189" i="15"/>
  <c r="E184" i="20"/>
  <c r="E183" i="20" s="1"/>
  <c r="F152" i="20"/>
  <c r="H133" i="15"/>
  <c r="H104" i="15"/>
  <c r="I99" i="15"/>
  <c r="H93" i="15"/>
  <c r="F82" i="20"/>
  <c r="F77" i="20"/>
  <c r="G59" i="20"/>
  <c r="G192" i="20"/>
  <c r="G178" i="20"/>
  <c r="F100" i="20"/>
  <c r="F95" i="20"/>
  <c r="D95" i="20"/>
  <c r="F92" i="20"/>
  <c r="C73" i="20"/>
  <c r="E85" i="15"/>
  <c r="H85" i="15" s="1"/>
  <c r="C67" i="20"/>
  <c r="E79" i="15"/>
  <c r="C139" i="20"/>
  <c r="D139" i="20" s="1"/>
  <c r="D140" i="20"/>
  <c r="F100" i="15"/>
  <c r="E99" i="15"/>
  <c r="F99" i="15" s="1"/>
  <c r="D7" i="21"/>
  <c r="E160" i="15"/>
  <c r="F161" i="15"/>
  <c r="F105" i="20"/>
  <c r="D105" i="20"/>
  <c r="F88" i="20"/>
  <c r="E67" i="21"/>
  <c r="G83" i="21"/>
  <c r="E134" i="15"/>
  <c r="F135" i="15"/>
  <c r="H135" i="15"/>
  <c r="H37" i="15"/>
  <c r="G36" i="15"/>
  <c r="H26" i="15"/>
  <c r="G25" i="15"/>
  <c r="F37" i="20"/>
  <c r="I20" i="15"/>
  <c r="G19" i="20"/>
  <c r="F35" i="15"/>
  <c r="E34" i="15"/>
  <c r="F34" i="15" s="1"/>
  <c r="E64" i="20"/>
  <c r="G74" i="15"/>
  <c r="F25" i="15"/>
  <c r="G198" i="20"/>
  <c r="E199" i="20"/>
  <c r="E83" i="21"/>
  <c r="H33" i="15"/>
  <c r="G32" i="15"/>
  <c r="G20" i="15"/>
  <c r="G39" i="15"/>
  <c r="H40" i="15"/>
  <c r="G64" i="20"/>
  <c r="I74" i="15"/>
  <c r="G139" i="15"/>
  <c r="H35" i="15"/>
  <c r="G34" i="15"/>
  <c r="E33" i="20"/>
  <c r="F34" i="20"/>
  <c r="G8" i="18"/>
  <c r="I30" i="15"/>
  <c r="G33" i="20"/>
  <c r="G42" i="15"/>
  <c r="G30" i="15"/>
  <c r="H9" i="15"/>
  <c r="G8" i="15"/>
  <c r="D33" i="20"/>
  <c r="D34" i="20"/>
  <c r="BG309" i="14"/>
  <c r="D37" i="20"/>
  <c r="I16" i="15"/>
  <c r="F137" i="15"/>
  <c r="H137" i="15"/>
  <c r="F40" i="15"/>
  <c r="E39" i="15"/>
  <c r="G14" i="15" l="1"/>
  <c r="G13" i="15" s="1"/>
  <c r="F10" i="15"/>
  <c r="C24" i="20"/>
  <c r="F102" i="20"/>
  <c r="E8" i="15"/>
  <c r="H10" i="15"/>
  <c r="F122" i="15"/>
  <c r="E121" i="15"/>
  <c r="F121" i="15" s="1"/>
  <c r="F159" i="20"/>
  <c r="F147" i="15"/>
  <c r="F55" i="20"/>
  <c r="H63" i="15"/>
  <c r="F52" i="20"/>
  <c r="F171" i="20"/>
  <c r="G25" i="21"/>
  <c r="C50" i="20"/>
  <c r="D50" i="20" s="1"/>
  <c r="F80" i="21"/>
  <c r="F138" i="20"/>
  <c r="H169" i="15"/>
  <c r="F13" i="21"/>
  <c r="E60" i="15"/>
  <c r="F60" i="15" s="1"/>
  <c r="H61" i="15"/>
  <c r="E62" i="15"/>
  <c r="F62" i="15" s="1"/>
  <c r="H64" i="15"/>
  <c r="AV311" i="14"/>
  <c r="C23" i="20"/>
  <c r="D23" i="20" s="1"/>
  <c r="BH311" i="14"/>
  <c r="G23" i="20"/>
  <c r="E23" i="20"/>
  <c r="F175" i="20"/>
  <c r="F15" i="15"/>
  <c r="F10" i="21"/>
  <c r="I152" i="15"/>
  <c r="I151" i="15" s="1"/>
  <c r="D11" i="20"/>
  <c r="F111" i="15"/>
  <c r="F76" i="21"/>
  <c r="D76" i="21"/>
  <c r="E49" i="15"/>
  <c r="F49" i="15" s="1"/>
  <c r="F53" i="21"/>
  <c r="F25" i="21"/>
  <c r="E14" i="15"/>
  <c r="F69" i="21"/>
  <c r="C83" i="21"/>
  <c r="D83" i="21" s="1"/>
  <c r="I41" i="15"/>
  <c r="E11" i="20"/>
  <c r="F11" i="20" s="1"/>
  <c r="F181" i="20"/>
  <c r="H128" i="15"/>
  <c r="D102" i="20"/>
  <c r="H70" i="15"/>
  <c r="F17" i="21"/>
  <c r="F45" i="20"/>
  <c r="G11" i="20"/>
  <c r="E119" i="20"/>
  <c r="I159" i="15"/>
  <c r="I166" i="15"/>
  <c r="D170" i="20"/>
  <c r="G71" i="20"/>
  <c r="G107" i="20"/>
  <c r="I125" i="15"/>
  <c r="I144" i="15"/>
  <c r="F5" i="20"/>
  <c r="C4" i="20"/>
  <c r="G65" i="20"/>
  <c r="I155" i="15"/>
  <c r="I120" i="15"/>
  <c r="I77" i="15"/>
  <c r="D155" i="20"/>
  <c r="I139" i="15"/>
  <c r="F178" i="20"/>
  <c r="C101" i="20"/>
  <c r="D101" i="20" s="1"/>
  <c r="F64" i="21"/>
  <c r="H56" i="15"/>
  <c r="H130" i="15"/>
  <c r="I177" i="15"/>
  <c r="F142" i="20"/>
  <c r="H111" i="15"/>
  <c r="G188" i="20"/>
  <c r="F170" i="20"/>
  <c r="BF311" i="14"/>
  <c r="H148" i="15"/>
  <c r="F38" i="21"/>
  <c r="F192" i="20"/>
  <c r="G155" i="15"/>
  <c r="BG311" i="14"/>
  <c r="F57" i="21"/>
  <c r="E180" i="15"/>
  <c r="F181" i="15"/>
  <c r="F93" i="20"/>
  <c r="H178" i="15"/>
  <c r="I55" i="15"/>
  <c r="E44" i="15"/>
  <c r="F44" i="15" s="1"/>
  <c r="F45" i="15"/>
  <c r="F174" i="20"/>
  <c r="D45" i="21"/>
  <c r="F45" i="21"/>
  <c r="I11" i="22"/>
  <c r="I110" i="15"/>
  <c r="G77" i="15"/>
  <c r="G148" i="20"/>
  <c r="E42" i="15"/>
  <c r="F43" i="15"/>
  <c r="H173" i="15"/>
  <c r="G172" i="15"/>
  <c r="F152" i="15"/>
  <c r="E151" i="15"/>
  <c r="F189" i="20"/>
  <c r="E188" i="20"/>
  <c r="G187" i="15"/>
  <c r="E126" i="15"/>
  <c r="F127" i="15"/>
  <c r="I49" i="15"/>
  <c r="F185" i="20"/>
  <c r="D185" i="20"/>
  <c r="C184" i="20"/>
  <c r="F25" i="20"/>
  <c r="F33" i="20"/>
  <c r="G119" i="20"/>
  <c r="F160" i="15"/>
  <c r="E159" i="15"/>
  <c r="F159" i="15" s="1"/>
  <c r="F189" i="15"/>
  <c r="E188" i="15"/>
  <c r="E139" i="15"/>
  <c r="F139" i="15" s="1"/>
  <c r="F140" i="15"/>
  <c r="I67" i="15"/>
  <c r="E145" i="15"/>
  <c r="D5" i="20"/>
  <c r="H34" i="15"/>
  <c r="H140" i="15"/>
  <c r="D25" i="20"/>
  <c r="E173" i="20"/>
  <c r="H127" i="15"/>
  <c r="D6" i="21"/>
  <c r="C67" i="21"/>
  <c r="D67" i="21" s="1"/>
  <c r="F6" i="21"/>
  <c r="F85" i="15"/>
  <c r="E84" i="15"/>
  <c r="H84" i="15" s="1"/>
  <c r="C198" i="20"/>
  <c r="D199" i="20"/>
  <c r="I83" i="15"/>
  <c r="D29" i="21"/>
  <c r="F29" i="21"/>
  <c r="F117" i="20"/>
  <c r="D21" i="20"/>
  <c r="F21" i="20"/>
  <c r="C20" i="20"/>
  <c r="G183" i="20"/>
  <c r="F139" i="20"/>
  <c r="E30" i="15"/>
  <c r="F31" i="15"/>
  <c r="G101" i="20"/>
  <c r="I172" i="15"/>
  <c r="G83" i="15"/>
  <c r="D174" i="20"/>
  <c r="C173" i="20"/>
  <c r="D173" i="20" s="1"/>
  <c r="H175" i="15"/>
  <c r="I116" i="15"/>
  <c r="E117" i="15"/>
  <c r="F118" i="15"/>
  <c r="I90" i="15"/>
  <c r="G173" i="20"/>
  <c r="F156" i="15"/>
  <c r="E155" i="15"/>
  <c r="F155" i="15" s="1"/>
  <c r="D42" i="21"/>
  <c r="F42" i="21"/>
  <c r="F6" i="18"/>
  <c r="C149" i="20"/>
  <c r="F149" i="20" s="1"/>
  <c r="E148" i="20"/>
  <c r="F73" i="15"/>
  <c r="E72" i="15"/>
  <c r="F72" i="15" s="1"/>
  <c r="E78" i="15"/>
  <c r="H78" i="15" s="1"/>
  <c r="F79" i="15"/>
  <c r="H79" i="15"/>
  <c r="G90" i="15"/>
  <c r="F81" i="20"/>
  <c r="C80" i="20"/>
  <c r="F80" i="20" s="1"/>
  <c r="D81" i="20"/>
  <c r="I182" i="15"/>
  <c r="I187" i="15"/>
  <c r="I134" i="15"/>
  <c r="D67" i="20"/>
  <c r="C66" i="20"/>
  <c r="F67" i="20"/>
  <c r="E67" i="15"/>
  <c r="F67" i="15" s="1"/>
  <c r="F68" i="15"/>
  <c r="E20" i="15"/>
  <c r="H20" i="15" s="1"/>
  <c r="F21" i="15"/>
  <c r="H50" i="15"/>
  <c r="G49" i="15"/>
  <c r="I101" i="15"/>
  <c r="D121" i="20"/>
  <c r="C120" i="20"/>
  <c r="H43" i="15"/>
  <c r="C72" i="20"/>
  <c r="D73" i="20"/>
  <c r="F73" i="20"/>
  <c r="H46" i="15"/>
  <c r="F92" i="15"/>
  <c r="E91" i="15"/>
  <c r="D34" i="21"/>
  <c r="F34" i="21"/>
  <c r="E172" i="15"/>
  <c r="F173" i="15"/>
  <c r="D26" i="20"/>
  <c r="F26" i="20"/>
  <c r="H99" i="15"/>
  <c r="H86" i="15"/>
  <c r="E79" i="20"/>
  <c r="G55" i="15"/>
  <c r="E182" i="15"/>
  <c r="F182" i="15" s="1"/>
  <c r="F183" i="15"/>
  <c r="C62" i="20"/>
  <c r="D109" i="20"/>
  <c r="C108" i="20"/>
  <c r="G101" i="15"/>
  <c r="H102" i="15"/>
  <c r="C188" i="20"/>
  <c r="D188" i="20" s="1"/>
  <c r="D189" i="20"/>
  <c r="H189" i="15"/>
  <c r="G79" i="20"/>
  <c r="F102" i="15"/>
  <c r="E101" i="15"/>
  <c r="F101" i="15" s="1"/>
  <c r="G182" i="15"/>
  <c r="H183" i="15"/>
  <c r="E167" i="15"/>
  <c r="F168" i="15"/>
  <c r="H168" i="15"/>
  <c r="F59" i="20"/>
  <c r="G124" i="15"/>
  <c r="I24" i="15"/>
  <c r="I73" i="15"/>
  <c r="H32" i="15"/>
  <c r="G197" i="20"/>
  <c r="I6" i="15"/>
  <c r="F64" i="20"/>
  <c r="E62" i="20"/>
  <c r="E85" i="21"/>
  <c r="H27" i="15"/>
  <c r="G7" i="15"/>
  <c r="G62" i="20"/>
  <c r="H39" i="15"/>
  <c r="G38" i="15"/>
  <c r="G3" i="20"/>
  <c r="G24" i="15"/>
  <c r="H25" i="15"/>
  <c r="G165" i="15"/>
  <c r="F134" i="15"/>
  <c r="H134" i="15"/>
  <c r="G41" i="15"/>
  <c r="E109" i="15"/>
  <c r="F110" i="15"/>
  <c r="H110" i="15"/>
  <c r="G19" i="15"/>
  <c r="G143" i="15"/>
  <c r="E198" i="20"/>
  <c r="F199" i="20"/>
  <c r="I19" i="15"/>
  <c r="F36" i="20"/>
  <c r="I14" i="15"/>
  <c r="E38" i="15"/>
  <c r="F38" i="15" s="1"/>
  <c r="F39" i="15"/>
  <c r="H74" i="15"/>
  <c r="G73" i="15"/>
  <c r="H36" i="15"/>
  <c r="H14" i="15" l="1"/>
  <c r="F8" i="15"/>
  <c r="G5" i="18"/>
  <c r="E5" i="18"/>
  <c r="E9" i="18" s="1"/>
  <c r="F172" i="15"/>
  <c r="H8" i="15"/>
  <c r="E7" i="15"/>
  <c r="E120" i="15"/>
  <c r="F120" i="15" s="1"/>
  <c r="G67" i="21"/>
  <c r="G85" i="21" s="1"/>
  <c r="H62" i="15"/>
  <c r="H60" i="15"/>
  <c r="E55" i="15"/>
  <c r="F55" i="15" s="1"/>
  <c r="F50" i="20"/>
  <c r="H49" i="15"/>
  <c r="F14" i="15"/>
  <c r="F83" i="21"/>
  <c r="E13" i="15"/>
  <c r="F13" i="15" s="1"/>
  <c r="G10" i="20"/>
  <c r="E10" i="20"/>
  <c r="F10" i="20" s="1"/>
  <c r="D24" i="20"/>
  <c r="I150" i="15"/>
  <c r="I171" i="15"/>
  <c r="E177" i="15"/>
  <c r="F177" i="15" s="1"/>
  <c r="D4" i="20"/>
  <c r="I165" i="15"/>
  <c r="I76" i="15"/>
  <c r="I143" i="15"/>
  <c r="F101" i="20"/>
  <c r="F173" i="20"/>
  <c r="H139" i="15"/>
  <c r="F24" i="20"/>
  <c r="G150" i="15"/>
  <c r="I124" i="15"/>
  <c r="F4" i="20"/>
  <c r="F67" i="21"/>
  <c r="C3" i="20"/>
  <c r="H67" i="15"/>
  <c r="F180" i="15"/>
  <c r="H180" i="15"/>
  <c r="H44" i="15"/>
  <c r="H101" i="15"/>
  <c r="D62" i="20"/>
  <c r="C49" i="20"/>
  <c r="D49" i="20" s="1"/>
  <c r="F120" i="20"/>
  <c r="C119" i="20"/>
  <c r="D120" i="20"/>
  <c r="D66" i="20"/>
  <c r="C65" i="20"/>
  <c r="F66" i="20"/>
  <c r="G82" i="15"/>
  <c r="D198" i="20"/>
  <c r="C197" i="20"/>
  <c r="D197" i="20" s="1"/>
  <c r="E144" i="15"/>
  <c r="F145" i="15"/>
  <c r="H145" i="15"/>
  <c r="C183" i="20"/>
  <c r="D184" i="20"/>
  <c r="G186" i="15"/>
  <c r="E41" i="15"/>
  <c r="F42" i="15"/>
  <c r="G76" i="15"/>
  <c r="C85" i="21"/>
  <c r="F85" i="21" s="1"/>
  <c r="H42" i="15"/>
  <c r="E166" i="15"/>
  <c r="F167" i="15"/>
  <c r="H167" i="15"/>
  <c r="G89" i="15"/>
  <c r="F78" i="15"/>
  <c r="E77" i="15"/>
  <c r="F117" i="15"/>
  <c r="E116" i="15"/>
  <c r="F30" i="15"/>
  <c r="E24" i="15"/>
  <c r="F20" i="20"/>
  <c r="D20" i="20"/>
  <c r="C19" i="20"/>
  <c r="I82" i="15"/>
  <c r="F188" i="20"/>
  <c r="H172" i="15"/>
  <c r="G171" i="15"/>
  <c r="G18" i="22" s="1"/>
  <c r="H30" i="15"/>
  <c r="D108" i="20"/>
  <c r="C107" i="20"/>
  <c r="F108" i="20"/>
  <c r="E90" i="15"/>
  <c r="F91" i="15"/>
  <c r="H91" i="15"/>
  <c r="D149" i="20"/>
  <c r="C148" i="20"/>
  <c r="D148" i="20" s="1"/>
  <c r="E187" i="15"/>
  <c r="H187" i="15" s="1"/>
  <c r="F188" i="15"/>
  <c r="E125" i="15"/>
  <c r="F126" i="15"/>
  <c r="H126" i="15"/>
  <c r="I109" i="15"/>
  <c r="H182" i="15"/>
  <c r="C71" i="20"/>
  <c r="D72" i="20"/>
  <c r="F72" i="20"/>
  <c r="E19" i="15"/>
  <c r="F20" i="15"/>
  <c r="I186" i="15"/>
  <c r="C79" i="20"/>
  <c r="D80" i="20"/>
  <c r="I89" i="15"/>
  <c r="I115" i="15"/>
  <c r="E83" i="15"/>
  <c r="H83" i="15" s="1"/>
  <c r="F84" i="15"/>
  <c r="F184" i="20"/>
  <c r="H188" i="15"/>
  <c r="E150" i="15"/>
  <c r="F151" i="15"/>
  <c r="K11" i="22"/>
  <c r="G72" i="15"/>
  <c r="H73" i="15"/>
  <c r="E197" i="20"/>
  <c r="F198" i="20"/>
  <c r="G17" i="22"/>
  <c r="H38" i="15"/>
  <c r="I13" i="15"/>
  <c r="F62" i="20"/>
  <c r="E49" i="20"/>
  <c r="I3" i="22"/>
  <c r="I72" i="15"/>
  <c r="I23" i="15"/>
  <c r="G12" i="15"/>
  <c r="G14" i="22"/>
  <c r="E14" i="22" s="1"/>
  <c r="G49" i="20"/>
  <c r="F23" i="20"/>
  <c r="I18" i="15"/>
  <c r="G18" i="15"/>
  <c r="C11" i="22"/>
  <c r="F109" i="15"/>
  <c r="H109" i="15"/>
  <c r="G23" i="15"/>
  <c r="G6" i="15"/>
  <c r="G13" i="22"/>
  <c r="E13" i="22" s="1"/>
  <c r="C8" i="18" l="1"/>
  <c r="C7" i="18"/>
  <c r="F24" i="15"/>
  <c r="C5" i="18"/>
  <c r="F5" i="18" s="1"/>
  <c r="G9" i="18"/>
  <c r="H7" i="15"/>
  <c r="E6" i="15"/>
  <c r="F7" i="15"/>
  <c r="E54" i="15"/>
  <c r="C7" i="22" s="1"/>
  <c r="D7" i="22" s="1"/>
  <c r="H55" i="15"/>
  <c r="E12" i="15"/>
  <c r="H12" i="15" s="1"/>
  <c r="H13" i="15"/>
  <c r="H177" i="15"/>
  <c r="E171" i="15"/>
  <c r="G191" i="15"/>
  <c r="I191" i="15"/>
  <c r="F41" i="15"/>
  <c r="I14" i="22"/>
  <c r="I15" i="22"/>
  <c r="I18" i="22"/>
  <c r="I13" i="22"/>
  <c r="I8" i="22"/>
  <c r="I17" i="22"/>
  <c r="H41" i="15"/>
  <c r="F49" i="20"/>
  <c r="G15" i="22"/>
  <c r="E15" i="22" s="1"/>
  <c r="E23" i="15"/>
  <c r="F23" i="15" s="1"/>
  <c r="H24" i="15"/>
  <c r="D3" i="20"/>
  <c r="F3" i="20"/>
  <c r="E18" i="15"/>
  <c r="H18" i="15" s="1"/>
  <c r="F19" i="15"/>
  <c r="E89" i="15"/>
  <c r="H89" i="15" s="1"/>
  <c r="F90" i="15"/>
  <c r="H90" i="15"/>
  <c r="G200" i="20"/>
  <c r="H19" i="15"/>
  <c r="I12" i="22"/>
  <c r="I9" i="22"/>
  <c r="F166" i="15"/>
  <c r="E165" i="15"/>
  <c r="H166" i="15"/>
  <c r="G19" i="22"/>
  <c r="C15" i="22"/>
  <c r="F150" i="15"/>
  <c r="I10" i="22"/>
  <c r="I19" i="22"/>
  <c r="D107" i="20"/>
  <c r="F107" i="20"/>
  <c r="H77" i="15"/>
  <c r="F77" i="15"/>
  <c r="E76" i="15"/>
  <c r="H76" i="15" s="1"/>
  <c r="E143" i="15"/>
  <c r="F144" i="15"/>
  <c r="H144" i="15"/>
  <c r="G9" i="22"/>
  <c r="E9" i="22" s="1"/>
  <c r="C200" i="20"/>
  <c r="D200" i="20" s="1"/>
  <c r="F83" i="15"/>
  <c r="E82" i="15"/>
  <c r="E186" i="15"/>
  <c r="F187" i="15"/>
  <c r="D19" i="20"/>
  <c r="F19" i="20"/>
  <c r="D183" i="20"/>
  <c r="F183" i="20"/>
  <c r="F148" i="20"/>
  <c r="D79" i="20"/>
  <c r="F79" i="20"/>
  <c r="F125" i="15"/>
  <c r="H125" i="15"/>
  <c r="E124" i="15"/>
  <c r="D119" i="20"/>
  <c r="F119" i="20"/>
  <c r="D71" i="20"/>
  <c r="F71" i="20"/>
  <c r="F116" i="15"/>
  <c r="E115" i="15"/>
  <c r="G10" i="22"/>
  <c r="E10" i="22" s="1"/>
  <c r="G8" i="22"/>
  <c r="D65" i="20"/>
  <c r="F65" i="20"/>
  <c r="G3" i="22"/>
  <c r="H6" i="15"/>
  <c r="I6" i="22"/>
  <c r="I54" i="15"/>
  <c r="K3" i="22"/>
  <c r="G5" i="22"/>
  <c r="E5" i="22" s="1"/>
  <c r="I12" i="15"/>
  <c r="H72" i="15"/>
  <c r="G54" i="15"/>
  <c r="G163" i="15" s="1"/>
  <c r="G6" i="22"/>
  <c r="E6" i="22" s="1"/>
  <c r="I5" i="22"/>
  <c r="G4" i="22"/>
  <c r="E4" i="22" s="1"/>
  <c r="E200" i="20"/>
  <c r="F197" i="20"/>
  <c r="M11" i="22"/>
  <c r="N11" i="22" s="1"/>
  <c r="D11" i="22"/>
  <c r="F11" i="22"/>
  <c r="H11" i="22"/>
  <c r="D8" i="18" l="1"/>
  <c r="F8" i="18"/>
  <c r="D5" i="18"/>
  <c r="D7" i="18"/>
  <c r="F7" i="18"/>
  <c r="C9" i="18"/>
  <c r="F9" i="18" s="1"/>
  <c r="K15" i="22"/>
  <c r="K8" i="22"/>
  <c r="K13" i="22"/>
  <c r="K14" i="22"/>
  <c r="G20" i="22"/>
  <c r="E19" i="22"/>
  <c r="E20" i="22" s="1"/>
  <c r="C3" i="22"/>
  <c r="F6" i="15"/>
  <c r="F54" i="15"/>
  <c r="F12" i="15"/>
  <c r="C4" i="22"/>
  <c r="M4" i="22" s="1"/>
  <c r="N4" i="22" s="1"/>
  <c r="H171" i="15"/>
  <c r="I20" i="22"/>
  <c r="E8" i="22"/>
  <c r="F171" i="15"/>
  <c r="C18" i="22"/>
  <c r="E3" i="22"/>
  <c r="G193" i="15"/>
  <c r="F200" i="20"/>
  <c r="C6" i="22"/>
  <c r="H6" i="22" s="1"/>
  <c r="H23" i="15"/>
  <c r="H124" i="15"/>
  <c r="C13" i="22"/>
  <c r="F124" i="15"/>
  <c r="C19" i="22"/>
  <c r="H19" i="22" s="1"/>
  <c r="F186" i="15"/>
  <c r="E191" i="15"/>
  <c r="K19" i="22"/>
  <c r="D15" i="22"/>
  <c r="H15" i="22"/>
  <c r="F15" i="22"/>
  <c r="M15" i="22"/>
  <c r="N15" i="22" s="1"/>
  <c r="H186" i="15"/>
  <c r="K9" i="22"/>
  <c r="C10" i="22"/>
  <c r="F89" i="15"/>
  <c r="C9" i="22"/>
  <c r="H9" i="22" s="1"/>
  <c r="F82" i="15"/>
  <c r="H82" i="15"/>
  <c r="C14" i="22"/>
  <c r="F143" i="15"/>
  <c r="H143" i="15"/>
  <c r="C12" i="22"/>
  <c r="F115" i="15"/>
  <c r="F76" i="15"/>
  <c r="C8" i="22"/>
  <c r="H8" i="22" s="1"/>
  <c r="K10" i="22"/>
  <c r="F165" i="15"/>
  <c r="C17" i="22"/>
  <c r="H165" i="15"/>
  <c r="C5" i="22"/>
  <c r="F18" i="15"/>
  <c r="E163" i="15"/>
  <c r="K12" i="22"/>
  <c r="K6" i="22"/>
  <c r="D3" i="22"/>
  <c r="I7" i="22"/>
  <c r="I4" i="22"/>
  <c r="I163" i="15"/>
  <c r="K5" i="22"/>
  <c r="G7" i="22"/>
  <c r="H54" i="15"/>
  <c r="D9" i="18" l="1"/>
  <c r="H3" i="22"/>
  <c r="M3" i="22"/>
  <c r="N3" i="22" s="1"/>
  <c r="F4" i="22"/>
  <c r="H4" i="22"/>
  <c r="D4" i="22"/>
  <c r="F3" i="22"/>
  <c r="H7" i="22"/>
  <c r="E7" i="22"/>
  <c r="E16" i="22" s="1"/>
  <c r="H18" i="22"/>
  <c r="F18" i="22"/>
  <c r="D18" i="22"/>
  <c r="M18" i="22"/>
  <c r="N18" i="22" s="1"/>
  <c r="F6" i="22"/>
  <c r="M6" i="22"/>
  <c r="N6" i="22" s="1"/>
  <c r="E193" i="15"/>
  <c r="D6" i="22"/>
  <c r="F163" i="15"/>
  <c r="D5" i="22"/>
  <c r="M5" i="22"/>
  <c r="N5" i="22" s="1"/>
  <c r="F5" i="22"/>
  <c r="M17" i="22"/>
  <c r="D17" i="22"/>
  <c r="C20" i="22"/>
  <c r="H17" i="22"/>
  <c r="F8" i="22"/>
  <c r="M8" i="22"/>
  <c r="N8" i="22" s="1"/>
  <c r="D8" i="22"/>
  <c r="F12" i="22"/>
  <c r="D12" i="22"/>
  <c r="M12" i="22"/>
  <c r="N12" i="22" s="1"/>
  <c r="H12" i="22"/>
  <c r="M9" i="22"/>
  <c r="N9" i="22" s="1"/>
  <c r="F9" i="22"/>
  <c r="D9" i="22"/>
  <c r="C16" i="22"/>
  <c r="F10" i="22"/>
  <c r="D10" i="22"/>
  <c r="M10" i="22"/>
  <c r="N10" i="22" s="1"/>
  <c r="K20" i="22"/>
  <c r="M19" i="22"/>
  <c r="N19" i="22" s="1"/>
  <c r="D19" i="22"/>
  <c r="F19" i="22"/>
  <c r="H5" i="22"/>
  <c r="F14" i="22"/>
  <c r="D14" i="22"/>
  <c r="M14" i="22"/>
  <c r="N14" i="22" s="1"/>
  <c r="H14" i="22"/>
  <c r="H10" i="22"/>
  <c r="F191" i="15"/>
  <c r="H191" i="15"/>
  <c r="D13" i="22"/>
  <c r="M13" i="22"/>
  <c r="N13" i="22" s="1"/>
  <c r="H13" i="22"/>
  <c r="F13" i="22"/>
  <c r="K7" i="22"/>
  <c r="G16" i="22"/>
  <c r="I193" i="15"/>
  <c r="K4" i="22"/>
  <c r="I16" i="22"/>
  <c r="H193" i="15" l="1"/>
  <c r="D26" i="22"/>
  <c r="E22" i="22"/>
  <c r="C49" i="22" s="1"/>
  <c r="F7" i="22"/>
  <c r="M7" i="22"/>
  <c r="N7" i="22" s="1"/>
  <c r="C22" i="22"/>
  <c r="D16" i="22"/>
  <c r="N17" i="22"/>
  <c r="M20" i="22"/>
  <c r="F20" i="22"/>
  <c r="D20" i="22"/>
  <c r="H20" i="22"/>
  <c r="I22" i="22"/>
  <c r="D25" i="22"/>
  <c r="G22" i="22"/>
  <c r="H16" i="22"/>
  <c r="K16" i="22"/>
  <c r="F22" i="22" l="1"/>
  <c r="M16" i="22"/>
  <c r="D30" i="22" s="1"/>
  <c r="D22" i="22"/>
  <c r="C48" i="22"/>
  <c r="D48" i="22" s="1"/>
  <c r="N20" i="22"/>
  <c r="D34" i="22"/>
  <c r="K22" i="22"/>
  <c r="H22" i="22"/>
  <c r="C50" i="22"/>
  <c r="C51" i="22"/>
  <c r="D50" i="22" l="1"/>
  <c r="N16" i="22"/>
  <c r="M22" i="22"/>
  <c r="N22" i="22" s="1"/>
  <c r="D49" i="22"/>
  <c r="C52" i="22"/>
  <c r="C53" i="22" l="1"/>
  <c r="D53" i="22" s="1"/>
</calcChain>
</file>

<file path=xl/comments1.xml><?xml version="1.0" encoding="utf-8"?>
<comments xmlns="http://schemas.openxmlformats.org/spreadsheetml/2006/main">
  <authors>
    <author>tc={7EDF9AEF-6B96-4280-B133-C88CC45E5DCA}</author>
  </authors>
  <commentList>
    <comment ref="AC20" authorId="0" shapeId="0">
      <text>
        <r>
          <rPr>
            <sz val="11"/>
            <color theme="1"/>
            <rFont val="Arial"/>
            <family val="2"/>
          </rPr>
          <t>[Threaded comment]
Your version of Excel allows you to read this threaded comment; however, any edits to it will get removed if the file is opened in a newer version of Excel. Learn more: https://go.microsoft.com/fwlink/?linkid=870924
Comment:
    ajuste según decreto 249 de marzo 25 
Reply:
    ajuste según decreto 378 de mayo 23</t>
        </r>
      </text>
    </comment>
  </commentList>
</comments>
</file>

<file path=xl/sharedStrings.xml><?xml version="1.0" encoding="utf-8"?>
<sst xmlns="http://schemas.openxmlformats.org/spreadsheetml/2006/main" count="5469" uniqueCount="1546">
  <si>
    <t xml:space="preserve">CODIGO:  </t>
  </si>
  <si>
    <t xml:space="preserve">VERSIÓN: </t>
  </si>
  <si>
    <t xml:space="preserve">FECHA: </t>
  </si>
  <si>
    <t>PÁGINA:</t>
  </si>
  <si>
    <t>UNIDAD EJECUTORA</t>
  </si>
  <si>
    <t>LÍNEA ESTRATÉGICA</t>
  </si>
  <si>
    <t>SECTOR</t>
  </si>
  <si>
    <t>PROGRAMA</t>
  </si>
  <si>
    <t>INDICADOR DE RESULTADO Y/O BIENESTAR</t>
  </si>
  <si>
    <t>PRODUCTO</t>
  </si>
  <si>
    <t>INDICADOR PRODUCTO</t>
  </si>
  <si>
    <t>PROYECTO</t>
  </si>
  <si>
    <t>CÓDIGO</t>
  </si>
  <si>
    <t>NOMBRE</t>
  </si>
  <si>
    <t>CÓDIGO PDD</t>
  </si>
  <si>
    <t>PRODUCTO PDD</t>
  </si>
  <si>
    <t>CÓDIGO CATÁLOGO DE PRODUCTOS MGA</t>
  </si>
  <si>
    <t xml:space="preserve">PRODUCTO CATÁLOGO MGA </t>
  </si>
  <si>
    <t>INDICADOR PDD</t>
  </si>
  <si>
    <t>CÓDIGO CATALOGO DE INDICADORES MGA</t>
  </si>
  <si>
    <t xml:space="preserve">INDICADOR CATÁLOGO MGA </t>
  </si>
  <si>
    <t>CÓDIGO BPIN</t>
  </si>
  <si>
    <t>NOMBRE DEL PROYECTO</t>
  </si>
  <si>
    <t>OBJETIVO DEL PROYECTO</t>
  </si>
  <si>
    <t xml:space="preserve">SGP SALÚD PUBLICA - PRESTACIÓN DE SERVICIOS
 </t>
  </si>
  <si>
    <t xml:space="preserve">SGP AGUA POTABLE Y SANEAMIENTO BÁSICO
</t>
  </si>
  <si>
    <t xml:space="preserve">RECURSO ORDINARIO
</t>
  </si>
  <si>
    <t xml:space="preserve">LIDERAZGO, GOBERNABILIDAD Y TRANSPARENCIA </t>
  </si>
  <si>
    <t>Gobierno territorial</t>
  </si>
  <si>
    <t>Fortalecimiento a la gestión y dirección de la administración pública territorial "Quindío con una administración al servicio de la ciudadanía "</t>
  </si>
  <si>
    <t>Índice de Gestión del Modelo Integrado de Planeación y de Gestión MIPG  de la Administración Departamental</t>
  </si>
  <si>
    <t>ND</t>
  </si>
  <si>
    <t>Implementación de  las Dimensiones y Políticas  del Modelo Integrado de Planeación y de Gestión MIPG</t>
  </si>
  <si>
    <t xml:space="preserve">Servicio de Implementación Sistemas de Gestión </t>
  </si>
  <si>
    <t>Número de Dimensiones y Políticas   de MIPG implementadas.</t>
  </si>
  <si>
    <t>Sistema de Gestión implementado</t>
  </si>
  <si>
    <t>Implementación del Modelo Integrado de Planeación y de Gestión MIPG  de la Administración Departamental del Quindío (Dimensiones  de Talento humano,  Información y Comunicación y Gestión del Conocimiento).</t>
  </si>
  <si>
    <t xml:space="preserve">Incrementar en Índice de Gestión y Desempeño  de la Administración Departamental ,  a Implementar los procesos y procedimientos de depuración de los expedientes administrativos pensionales, que permitan la determinación de cuotas partes pensionales, bonos pensionales y otros, con el fin de contar con información depurada y real. </t>
  </si>
  <si>
    <t>Estrategias  de actualización, depuración, seguimiento y evaluación de las bases de datos  del Pasivo Pensional  de la Administración Departamental.</t>
  </si>
  <si>
    <t xml:space="preserve">Servicio de saneamiento fiscal y financiero </t>
  </si>
  <si>
    <t>Estrategias  de actualización, depuración, seguimiento y evaluación de las bases de datos  del Pasivo Pensional  de la Administración Departamental</t>
  </si>
  <si>
    <t xml:space="preserve">Actualización, depuración, seguimiento y evaluación del Pasivo Pensional de la Administración Departamental del Quindío </t>
  </si>
  <si>
    <t>Incrementar  Índice de Gestión y Desempeño de la Administración Departamental a través del proceso de modernización administrativa, contemplando una estructura orgánica qué corresponda a las competencias del territorio, la habilitación de la oficina para los alcaldes en la gobernación y la Casa Delegada en la ciudad de Bogotá, la  creación de la oficina de la Felicidad; con el propósito de mejorar la gestión de la administración departamental .</t>
  </si>
  <si>
    <t xml:space="preserve">Proceso de modernización administrativa, incluido en  estudio de la viabilidad de creación de la Oficina de la Felicidad. </t>
  </si>
  <si>
    <t>Proceso de modernización administrativa implementada</t>
  </si>
  <si>
    <t xml:space="preserve">Metodologías aplicadas </t>
  </si>
  <si>
    <t xml:space="preserve">Implementación de un programa de modernización  de la gestión Administrativa  de la Administración Departamental del Quindío. "TÚ y YO SOMOS QUINDÍO" </t>
  </si>
  <si>
    <t>Fortalecimiento del buen gobierno para el respeto y garantía de los derechos humanos. "Quindío integrado y participativo"</t>
  </si>
  <si>
    <t>Porcentaje promedio  de participación de ciudadanos en los eventos de elección popular.</t>
  </si>
  <si>
    <t>Implementación del Plan de Acción del Sistema Departamental de Servicio a la Ciudadanía SDSC</t>
  </si>
  <si>
    <t>Servicio de integración de la oferta pública</t>
  </si>
  <si>
    <t>Plan de Acción del Sistema Departamental de Servicio a la Ciudadanía SDSC implementado</t>
  </si>
  <si>
    <t xml:space="preserve">Espacios de integración de oferta pública generados </t>
  </si>
  <si>
    <t xml:space="preserve">Implementación del Sistema Departamental de Servicio a la Ciudadanía SDSC   en la Administración Departamental. </t>
  </si>
  <si>
    <t>Aumentar en porcentaje promedio  de participación de ciudadanos en los eventos de elección popular través del desarrollo de  actividades qué permitan la interacción de la Comunidad y Estado, facilitando el acceso de los servicios qué oferta la Administración Departamental.</t>
  </si>
  <si>
    <t xml:space="preserve">305 SECRETARÍA DE PLANEACIÓN </t>
  </si>
  <si>
    <t>Porcentaje promedio  de participación de ciudadanos en los eventos de elección popular</t>
  </si>
  <si>
    <t>Fortalecimiento técnico y logístico del  Consejo Territorial de Planeación Departamental, como representantes de la sociedad civil en la planeación  del desarrollo integral  de la entidad territorial</t>
  </si>
  <si>
    <t>Servicio de promoción a la participación ciudadana</t>
  </si>
  <si>
    <t>Consejo Territorial de Planeación Departamental fortalecido</t>
  </si>
  <si>
    <t>Espacios de participación promovidos</t>
  </si>
  <si>
    <t xml:space="preserve">Fortalecimiento  del Consejo Territorial de Planeación del Departamento del Quindío. "TÚ y YO SOMOS QUINDIO" </t>
  </si>
  <si>
    <t>Incrementar la  participación de ciudadanos en los eventos de elección popular,  a través de los procesos de apoyo técnico y logístico al Consejo Territorial de Planeación Departamental, de conformidad con lo preceptuado en la Ley 152 de 1994.</t>
  </si>
  <si>
    <t>Eventos de Rendición Pública de Cuentas que divulgan la gestión administrativa.</t>
  </si>
  <si>
    <t>Eventos de Rendición Públicas de Cuentas realizados</t>
  </si>
  <si>
    <t xml:space="preserve"> Implementación  de eventos de Rendición Pública de Cuentas  de divulgación de gestión  de la Administración Departamental  "TU Y YO SOMOS QUINDIO" </t>
  </si>
  <si>
    <t>Incrementar la  participación de ciudadanos en los eventos de elección popular, a través  de la realización de la  Rendición Pública de Cuentas, con el propósito de generar un espacio de interlocución entre la sociedad civil y/o organizada.</t>
  </si>
  <si>
    <t>Instrumentos de planificación para el ordenamiento y la gestión territorial departamental (Plan de Desarrollo Departamental PDD, Ordenamiento Territorial, Sistema de Información Geográfica, Mecanismos de Integración, Catastro multipropósito etc.).</t>
  </si>
  <si>
    <t>Documentos de lineamientos técnicos</t>
  </si>
  <si>
    <t>Instrumentos de planificación de ordenamiento y gestión territorial departamental implementados</t>
  </si>
  <si>
    <t>Documentos de lineamientos técnicos realizados</t>
  </si>
  <si>
    <t xml:space="preserve"> Implementación   de instrumentos de planificación para  en  Ordenamiento y la Gestión Territorial Departamental del Quindío  "TU Y YO SOMOS QUINDIO" </t>
  </si>
  <si>
    <t>Incrementar el  Índice de Gestión y Desempeño de la  Administración Departamental a través de la Implementación de los  instrumentos de planificación para el ordenamiento y la gestión territorial departamental (Plan de Desarrollo Departamental PDD, Ordenamiento Territorial, Sistema de Información Geográfica, mecanismos de integración, catastro multipropósito etc.) para orientar  los gastos de inversión  de acuerdo al Ordenamiento  Territorial.</t>
  </si>
  <si>
    <t>Observatorio económico del departamento, con procesos de fortalecimiento</t>
  </si>
  <si>
    <t>Servicios de información implementados</t>
  </si>
  <si>
    <t>Observatorio económico del Departamento del Quindío actualizado y dotado</t>
  </si>
  <si>
    <t>Sistemas de información implementados</t>
  </si>
  <si>
    <t xml:space="preserve">  Implementación del Observatorio Económico  de la Administración Departamental del Quindío "TU Y YO SOMOS QUINDIO"</t>
  </si>
  <si>
    <t>Incrementar el  Índice de Gestión y Desempeño de la  Administración Departamental,  a través  de la implementación del  Observatorio Económico, con el objeto de proveer información  para la toma decisiones, facilitar en   seguimiento y monitoreo de dinámicas económicas y sociales del departamento.</t>
  </si>
  <si>
    <t>Banco de Programas y Proyectos del Departamento fortalecido</t>
  </si>
  <si>
    <t>Fortalecimiento del Banco de Programas y Proyectos de la administración departamental  "TÚ Y YO SOMOS QUINDIO"</t>
  </si>
  <si>
    <t>Incrementar el  Índice de Gestión y Desempeño de la  Administración Departamental, a través de  procesos de fortalecimiento del Banco de Programas y Proyectos, con el propósito de generar una mayor inversión social, qué impacte de manera positiva en las problemáticas socioeconómicas de la comunidad quindiana.</t>
  </si>
  <si>
    <t>Índice de Gestión del Modelo Integrado de Planeación y de Gestión MIPG   Departamental (Entes Territoriales Municipales)</t>
  </si>
  <si>
    <t xml:space="preserve">Entes territoriales  con servicio de asistencia técnica de los Instrumentos de Planificación para  el Ordenamiento y la Gestión Territorial departamental. </t>
  </si>
  <si>
    <t>Servicio de asistencia técnica</t>
  </si>
  <si>
    <t>Entes territoriales con procesos de asistencia técnica realizadas.</t>
  </si>
  <si>
    <t>Entidades territoriales asistidas técnicamente</t>
  </si>
  <si>
    <t>Asistencia Técnica  en  Instrumentos de Planificación y gestión  territorial en los  municipios del Departamento del  Quindío.</t>
  </si>
  <si>
    <t>Incrementar en  Índice de Gestión y Desempeño de la  Administración Departamental,  a través de procesos de  asistencia técnica a los entes territoriales Municipales  en Instrumentos de Planificación  y  Gestión Territorial.</t>
  </si>
  <si>
    <t>Entes territoriales con servicio de asistencia  técnica del Modelo Integrado de Planeación y de Gestión MIPG</t>
  </si>
  <si>
    <t>Entes Territoriales con procesos de asistencia técnica realizadas</t>
  </si>
  <si>
    <t>Entes territoriales  con servicio de asistencia técnica en la Medición del Desempeño Municipal</t>
  </si>
  <si>
    <t>Entes Territoriales con procesos de asistencia técnica realizadas.</t>
  </si>
  <si>
    <t xml:space="preserve">Entes territoriales  con servicio de asistencia técnica en el Sistema de Identificación de Potenciales Beneficiarios de Programas Sociales (SISBEN). </t>
  </si>
  <si>
    <t>Entes territoriales con servicio de asistencia técnica en la formulación, preparación, seguimiento y evaluación de las políticas públicas</t>
  </si>
  <si>
    <t xml:space="preserve">Entes territoriales  con servicio de asistencia técnica en Banco de Programas y Proyectos de Inversión Nacional (BPIN).  </t>
  </si>
  <si>
    <t>Servicio de Implementación Sistemas de Gestión</t>
  </si>
  <si>
    <t>Número de Dimensiones y Políticas   de MIPG implementadas</t>
  </si>
  <si>
    <t xml:space="preserve"> Implementación  del Modelo Integrado de Planeación y de Gestión MIPG en la Administración Departamental del   Quindío</t>
  </si>
  <si>
    <t xml:space="preserve"> Aumentar en Índice de Gestión y Desempeño de la Administración Departamental considerando las dimensiones y políticas qué conforman en Modelo Integrado de Gestión y Desempeño </t>
  </si>
  <si>
    <t>Índice de Desempeño Fiscal Administración Departamental</t>
  </si>
  <si>
    <t>Estrategia para el mejoramiento del Índice de Desempeño Fiscal en la Administración Departamental.</t>
  </si>
  <si>
    <t>Estrategia  de fortalecimiento  del Índice de Desempeño  Fiscal implementadas.</t>
  </si>
  <si>
    <t xml:space="preserve">Estrategia para el mejoramiento del Índice de Desempeño Fiscal ejecutada </t>
  </si>
  <si>
    <t>Implementación de estrategias de fortalecimiento del desempeño fiscal de la Administración departamental del Quindío</t>
  </si>
  <si>
    <t>Incrementar en Índice de Desempeño Fiscal de la Administración Departamental, a través de estrategias de autofinanciación de los gastos de funcionamiento, respaldo del servicio y mejoramiento de la deuda,  transferencias de la nación , generación de recursos propios, magnitud de la inversión y capacidad de ahorro, con el propósito de generar una mayor inversión social.</t>
  </si>
  <si>
    <t xml:space="preserve">Programa para el cumplimiento de las políticas y prácticas contables para la administración departamental         </t>
  </si>
  <si>
    <t>Servicio de saneamiento fiscal y financiero</t>
  </si>
  <si>
    <t>Programa para el cumplimiento de las políticas y prácticas contables implementado</t>
  </si>
  <si>
    <t xml:space="preserve">Implementación  de  un programa para el cumplimiento de las políticas y prácticas contables de la administración departamental del Quindío.    </t>
  </si>
  <si>
    <t>Incrementar el Índice de Desempeño Fiscal de la Administración Departamental,   a través de la implementación del programa para el cumplimiento de las políticas y prácticas contables para la administración departamental,  encaminado a la  generación de información  veraz, confiable y razonable.</t>
  </si>
  <si>
    <t xml:space="preserve">308 SECRETARÍA DE AGUAS E INFRAESTRUCTURA </t>
  </si>
  <si>
    <t xml:space="preserve">INCLUSIÓN SOCIAL Y EQUIDAD </t>
  </si>
  <si>
    <t>Justicia y del derecho</t>
  </si>
  <si>
    <t>Promoción al acceso a la justicia. "Tú y yo con justicia"</t>
  </si>
  <si>
    <t>Tasa de homicidio por cada 100.000 habitantes
Tasa de hurto a personas  por cada 100.000 habitantes
Tasa de hurto a residencias por cada 100.000 habitantes
Tasa de hurto a comercio por cada 100.000 habitantes
Tasa de violencia intrafamiliar x cada 100.000 habitantes
Tasa  de delitos sexuales x 100.000 habitantes</t>
  </si>
  <si>
    <t>Infraestructura de las Instituciones de Seguridad del Estado con procesos constructivos, mejorados, ampliados, mantenidos, y/o reforzados</t>
  </si>
  <si>
    <t>Servicio de promoción del acceso a la justicia</t>
  </si>
  <si>
    <t>Infraestructura de las Instituciones de Seguridad del Estado construida, mejorada, ampliada, mantenida, y/o reforzada</t>
  </si>
  <si>
    <t xml:space="preserve">Estrategias de acceso a la justicia desarrolladas </t>
  </si>
  <si>
    <t>Mantenimiento de las instituciones públicas y/o de seguridad y  justicia  del Estado en el Departamento Quindío</t>
  </si>
  <si>
    <t>Mantener y/o reforzar  las Instituciones de seguridad del departamento del Quindío, con el propósito de  brindar a la  comunidad mejores condiciones de equidad y justicia.</t>
  </si>
  <si>
    <t>Salud y protección social</t>
  </si>
  <si>
    <t>Aseguramiento y Prestación integral de servicios de salud "Tú y yo con servicios de salud"</t>
  </si>
  <si>
    <t>Educación</t>
  </si>
  <si>
    <t>Calidad, cobertura y fortalecimiento de la educación inicial, prescolar, básica y media." Tú y yo con educación y  calidad"</t>
  </si>
  <si>
    <t>Tasa de cobertura bruta en transición
Tasa de cobertura bruta en educación básica
Tasa de cobertura en educación media
Tasa de deserción escolar intra-anual</t>
  </si>
  <si>
    <t>Infraestructura de Instituciones Educativas con procesos constructivos, mejorados, ampliados, mantenidos y/o reforzados.</t>
  </si>
  <si>
    <t>Infraestructura educativa mantenida</t>
  </si>
  <si>
    <t>Infraestructura de Instituciones Educativas construida, mejorada, ampliada, mantenida, y/o reforzada.</t>
  </si>
  <si>
    <t>Sedes mantenidas</t>
  </si>
  <si>
    <t xml:space="preserve"> Mantener de la infraestructura educativa, con el propósito de garantizar  la permanencia y calidad  de la prestación  del servicio educativo en Departamento del Quindío.  </t>
  </si>
  <si>
    <t>Cultura</t>
  </si>
  <si>
    <t>Promoción y acceso efectivo a procesos culturales y artísticos. "Tú y yo somos cultura Quindiana"</t>
  </si>
  <si>
    <t>Tasa de participación en procesos y actividades artísticas y culturales.
Tasa de consumo de sustancias sicoactivas por 100.000 habitantes en el departamento del Quindío.</t>
  </si>
  <si>
    <t>3301068</t>
  </si>
  <si>
    <t>Servicio de mantenimiento de infraestructura cultural</t>
  </si>
  <si>
    <t>330106800</t>
  </si>
  <si>
    <t>Infraestructura cultural intervenida</t>
  </si>
  <si>
    <t xml:space="preserve"> Mantenimiento de la infraestructura cultural en el departamento del Quindío  </t>
  </si>
  <si>
    <t xml:space="preserve"> Realizar mantenimiento de la  infraestructura cultural, para fortalecer los espacios de los artistas y gestores culturales dedicados a la creación, promoción y divulgación de actividades en el Departamento del Quindío.</t>
  </si>
  <si>
    <t>Deporte y recreación</t>
  </si>
  <si>
    <t>Fomento a la recreación, la actividad física y el deporte para desarrollar entornos de convivencia y paz "Tú y yo en la recreación y en deporte"</t>
  </si>
  <si>
    <t>Cobertura de municipios qué participan en programas de recreación, actividad física y deporte social y comunitario en el Departamento del Quindío.
Cobertura de ligas apoyadas en el departamento del Quindío.
Porcentaje de medallería del departamento del Quindío en los Juegos Nacionales.</t>
  </si>
  <si>
    <t xml:space="preserve">Infraestructura  deportiva y/o recreativa con procesos   constructivos ,  mejorados,  ampliados,  mantenidos y/o  reforzados </t>
  </si>
  <si>
    <t>Servicio de mantenimiento a la infraestructura deportiva</t>
  </si>
  <si>
    <t xml:space="preserve">Infraestructura  deportiva y/o recreativa con procesos   constructivos,  mejorados,  ampliados,  mantenidos y/o   reforzados </t>
  </si>
  <si>
    <t>Intervenciones realizadas a infraestructura deportiva</t>
  </si>
  <si>
    <t xml:space="preserve">Mantenimiento, mejoramiento y/o rehabilitación de  obras físicas de infraestructura deportiva y recreativa en el Departamento del Quindío  </t>
  </si>
  <si>
    <t>Mantener, mejorar y/o rehabilitar obras físicas de infraestructura deportiva y recreativa en el Departamento del Quindío con el propósito de generar espacios para la utilización del tiempo libre.</t>
  </si>
  <si>
    <t xml:space="preserve">TERRITORIO, AMBIENTE Y DESARROLLO SOSTENIBLE </t>
  </si>
  <si>
    <t>Transporte</t>
  </si>
  <si>
    <t>Infraestructura red vial regional. "Tú y yo con movilidad vial"</t>
  </si>
  <si>
    <t xml:space="preserve">Índice de competitividad  en el sector de infraestructura vial </t>
  </si>
  <si>
    <t>Infraestructura  en  puentes  con procesos  de construcción, mejoramiento, ampliación, mantenimiento y/o reforzamiento</t>
  </si>
  <si>
    <t>Puente de la red vial secundaria con mantenimiento</t>
  </si>
  <si>
    <t>Infraestructura en puentes construida, mejorada, ampliada, mantenida y/o reforzada</t>
  </si>
  <si>
    <t>Puente de la red secundaria con mantenimiento</t>
  </si>
  <si>
    <t>Mantenimiento, mejoramiento, rehabilitación y/o atención las vías  para  garantizar  la movilidad y competitividad en el departamento del Quindío.</t>
  </si>
  <si>
    <t>Mejorar y mantener la comunicación vehicular entre los municipios del departamento y en sector rural mediante la disposición de una infraestructura vial adecuada, mediante programas de mantenimiento y/o mejoramiento de las vías construidas y sus obras complementarias, garantizando condiciones de eficiencia, seguridad y confort a los usuarios. Para estos efectos se podrá implementar mecanismos de carácter social como “Las Camineras”, qué desde la población local contribuyan al mantenimiento vial.</t>
  </si>
  <si>
    <t>Infraestructura   vial  con procesos  de construcción, mejoramiento, ampliación, mantenimiento y/o  reforzamiento.</t>
  </si>
  <si>
    <t xml:space="preserve">Vía terciaria mejorada </t>
  </si>
  <si>
    <t xml:space="preserve">Infraestructura  vial    construida, mejorada, ampliada,  mantenida, y/o  reforzada </t>
  </si>
  <si>
    <t>Vía terciaria mejorada</t>
  </si>
  <si>
    <t>Estudios y diseños de infraestructura vial</t>
  </si>
  <si>
    <t>Estudios de preinversión para la red vial regional</t>
  </si>
  <si>
    <t>Estudios y diseños de infraestructura vial elaborado.</t>
  </si>
  <si>
    <t>Estudios de preinversión realizados</t>
  </si>
  <si>
    <t xml:space="preserve"> Elaboración estudios y diseños de Infraestructura vial en el Departamento de Quindío </t>
  </si>
  <si>
    <t>Realizar  estudios de pre inversión de infraestructura vial,  con el objeto de gestionar  recursos de inversión   para  la  optimización de la red vial, reducción de costos de operación y  mejoramiento de la calidad de vida se los  habitantes del  departamento del Quindío,</t>
  </si>
  <si>
    <t>Ambiente y desarrollo sostenible</t>
  </si>
  <si>
    <t>Ordenamiento Ambiental Territorial. "Tú y yo planificamos con sentido ambiental"</t>
  </si>
  <si>
    <t xml:space="preserve">Porcentaje de Ecosistemas protegidos y/o en procesos de restauración en el Departamento </t>
  </si>
  <si>
    <t>Obras para estabilización de taludes</t>
  </si>
  <si>
    <t>320501000</t>
  </si>
  <si>
    <t>Obras para estabilización de taludes realizadas</t>
  </si>
  <si>
    <t>Construcción, mantenimiento y/o mejoramiento de obras  de estabilización de Taludes en el Departamento del Quindío</t>
  </si>
  <si>
    <t xml:space="preserve">Construir, mantener y/o mejorar de obras de infraestructura para la  estabilización de taludes qué presenten problemas de deslizamiento, con el propósito de establecer medidas de prevención y control para reducir los niveles de amenaza y riesgo. </t>
  </si>
  <si>
    <t>Obras de infraestructura para mitigación y atención a desastres</t>
  </si>
  <si>
    <t xml:space="preserve">Obras de infraestructura para mitigación y atención a desastres realizadas </t>
  </si>
  <si>
    <t xml:space="preserve"> Construcción, mantenimiento y/o mejoramiento de obras de infraestructura  para la mitigación y atención de desastres en los municipios del departamento del Quindío </t>
  </si>
  <si>
    <t xml:space="preserve"> Construir, mantener y/o mejorar  obras de infraestructura para la  mitigación y atención de desastres en los municipios del departamento del Quindío, con el propósito de evitar pérdidas de vidas humanas, servicios, infraestructura y económicas, </t>
  </si>
  <si>
    <t>Vivienda, Ciudad y Territorio</t>
  </si>
  <si>
    <t>Acceso a soluciones de vivienda. "Tú y yo con vivienda digna"</t>
  </si>
  <si>
    <t>Déficit cualitativo de viviendas por hogares</t>
  </si>
  <si>
    <t>Viviendas de interés social urbanas mejoradas</t>
  </si>
  <si>
    <t>400101500</t>
  </si>
  <si>
    <t>Viviendas de Interés Social urbanas mejoradas</t>
  </si>
  <si>
    <t xml:space="preserve">Mejoramiento de Vivienda de Interés Social en el Departamento del Quindío </t>
  </si>
  <si>
    <t>Mejoramiento  de  vivienda de interés social VIS, con el propósito de reducir el déficit cualitativo de vivienda en el departamento, permitiendo  mejorar las condiciones de  calidad de vida de los quindianos.</t>
  </si>
  <si>
    <t>Acceso de la población a los servicios de agua potable y saneamiento básico. "Tú y yo con calidad del agua"</t>
  </si>
  <si>
    <t xml:space="preserve">Cobertura de acueducto
Cobertura  de alcantarillado </t>
  </si>
  <si>
    <t xml:space="preserve">Adoptar e implementar la Política Pública de Producción Consumo Sostenible y Gestión Integral de Aseo  </t>
  </si>
  <si>
    <t>Documentos de planeación</t>
  </si>
  <si>
    <t>Política Pública de Producción Consumo Sostenible y Gestión Integral de Aseo  adoptada e implementada.</t>
  </si>
  <si>
    <t>Documentos de planeación elaborados</t>
  </si>
  <si>
    <t xml:space="preserve"> 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</si>
  <si>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 xml:space="preserve">Cobertura  de alcantarillado </t>
  </si>
  <si>
    <t>Alcantarillados construidos</t>
  </si>
  <si>
    <t>Plantas de tratamiento de aguas residuales  construidas</t>
  </si>
  <si>
    <t>Servicios de apoyo financiero para la ejecución de proyectos de acueductos y alcantarillado</t>
  </si>
  <si>
    <t>Proyectos de acueducto y alcantarillado en área urbana financiados</t>
  </si>
  <si>
    <t>Servicios de educación informal en agua potable y saneamiento básico</t>
  </si>
  <si>
    <t>Eventos de educación informal en agua y saneamiento básico realizados</t>
  </si>
  <si>
    <t>Estudios de pre inversión e inversión</t>
  </si>
  <si>
    <t xml:space="preserve">Estudios o diseños realizados </t>
  </si>
  <si>
    <t>4003026</t>
  </si>
  <si>
    <t>Servicios de apoyo financiero para la ejecución de proyectos de acueductos y de manejo de aguas residuales</t>
  </si>
  <si>
    <t>Proyectos de acueducto y de manejo de aguas residuales en área rural financiados</t>
  </si>
  <si>
    <t>Infraestructura institucional o  de edificios públicos de atención  de servicios ciudadanos con procesos constructivos mejorados,  ampliados,  mantenidos, y/o  reforzados</t>
  </si>
  <si>
    <t>4599016</t>
  </si>
  <si>
    <t>Infraestructura Institucional o edificios públicos construida mejorada, ampliada, mantenida, y/o reforzada</t>
  </si>
  <si>
    <t>Mantener  la  infraestructura institucional o de edificios públicos, con el propósito de propiciar un excelente servicio al ciudadano y bienestar al servidor público, con infraestructura moderna y amigable.</t>
  </si>
  <si>
    <t>Salones comunales adecuados</t>
  </si>
  <si>
    <t xml:space="preserve">Salón comunal adecuado </t>
  </si>
  <si>
    <t xml:space="preserve">Construcción y/o adecuación de casetas comunales en los diferentes barrios del departamento </t>
  </si>
  <si>
    <t>Realizar construcción y/o adecuación de casetas comunales en los diferentes barrios del departamento, qué permitan generar procesos de participación ciudadana y la implementación de buenas prácticas sociales en comunidad.</t>
  </si>
  <si>
    <t xml:space="preserve">309  SECRETARÍA DEL INTERIOR </t>
  </si>
  <si>
    <t>Servicio de asistencia técnica para la articulación de los operadores de los servicio de justicia</t>
  </si>
  <si>
    <t>Disminuir los índice delitos  en el departamento del Quindío a través de procesos de asistencia Técnica y articulación  de acciones  con las Administraciones municipales .</t>
  </si>
  <si>
    <t>Promoción de los métodos de resolución de conflictos. "Tú y yo resolvemos los conflictos"</t>
  </si>
  <si>
    <t>Servicio de asistencia técnica para la implementación de los métodos de resolución de conflictos</t>
  </si>
  <si>
    <t>Instituciones públicas y privadas asistidas técnicamente en métodos de resolución de conflictos</t>
  </si>
  <si>
    <t>Coordinar con los organismos de seguridad métodos  de intervenciones  transformadoras en zonas de miedo e impunidad</t>
  </si>
  <si>
    <t>Sistema penitenciario y carcelario en el marco de los derechos humanos. "Quindío respeta derechos penitenciarios"</t>
  </si>
  <si>
    <t>Servicio de resocialización de personas privadas de la libertad</t>
  </si>
  <si>
    <t>Personas privadas de la libertad (PPL) que reciben servicio de resocialización</t>
  </si>
  <si>
    <t xml:space="preserve">Implementación de  acciones de apoyo para  la  resocialización de las personas privadas de la libertad  en las Instituciones Penitenciarias  del Departamento  del Quindío. </t>
  </si>
  <si>
    <t xml:space="preserve"> Disminuir los índices de delitos en el departamento del Quindío, a través de la implementación de  acciones de apoyo para  la  resocialización de las personas privadas de la libertad en las Instituciones  Penitenciarios del departamento del Quindío.</t>
  </si>
  <si>
    <t>Calidad, cobertura y fortalecimiento de la educación inicial, prescolar, básica y media." Tú y yo con educación y de calidad"</t>
  </si>
  <si>
    <t>Cobertura de Instituciones Educativas con Planes Escolares de Gestión del Riesgo de Desastres-PEGERD</t>
  </si>
  <si>
    <t>Servicio de gestión de riesgos y desastres en establecimientos educativos</t>
  </si>
  <si>
    <t>Establecimientos educativos con acciones de gestión del riesgo implementadas</t>
  </si>
  <si>
    <t xml:space="preserve"> Implementación  y/o fortalecimiento  de  los planes para la gestión del riesgo y desastres en las Instituciones Educativas Oficiales  del Departamento </t>
  </si>
  <si>
    <t>Aumentar la cobertura de Instituciones Educativas con Planes Escolares de Gestión del Riesgo de Desastres-PEGERD, a través de procesos de acompañamiento  a la  comunidad educativa  en la implementación y fortalecimiento de los mismos.</t>
  </si>
  <si>
    <t xml:space="preserve">Inclusión social y Reconciliación </t>
  </si>
  <si>
    <t>Atención, asistencia y reparación integral a las víctimas. "Tú y yo con reparación integral"</t>
  </si>
  <si>
    <t>Cobertura de la población víctima atendida con procesos de atención, prevención y asistencia humanitaria</t>
  </si>
  <si>
    <t>Servicio de orientación y comunicación a las víctimas</t>
  </si>
  <si>
    <t>Solicitudes tramitadas</t>
  </si>
  <si>
    <t xml:space="preserve">Asistencia técnica, garantías, atención, ayuda humanitaria y promoción de iniciativas de memoria histórica a la población víctima del conflicto armado en el Departamento del Quindío </t>
  </si>
  <si>
    <t>Aumentar la cobertura en los procesos de atención, prevención, asistencia humanitaria,  líneas de emprendimiento,  fortalecimiento a proyectos productivos   y promoción  de iniciativas de la  memoria histórica qué beneficien  la población víctima del conflicto armado del Departamento del Quindío</t>
  </si>
  <si>
    <t>Servicio de ayuda y atención humanitaria</t>
  </si>
  <si>
    <t>Personas víctimas con ayuda humanitaria</t>
  </si>
  <si>
    <t>Servicio de asistencia técnica para la participación de las víctimas</t>
  </si>
  <si>
    <t>Eventos de participación realizados</t>
  </si>
  <si>
    <t>Cobertura de víctimas atendidas con la línea de emprendimiento y fortalecimiento.</t>
  </si>
  <si>
    <t>Servicio de apoyo para la generación de ingresos</t>
  </si>
  <si>
    <t>Hogares con asistencia técnica para la generación de ingresos</t>
  </si>
  <si>
    <t>Cobertura de Personas víctimas del conflicto beneficiadas con medidas de satisfacción (Construcción de memoria, Reparación simbólica y Construcción de lugares de memoria)</t>
  </si>
  <si>
    <t>Servicio de asistencia técnica para la realización de iniciativas de memoria histórica</t>
  </si>
  <si>
    <t>Iniciativas de memoria histórica asistidas técnicamente</t>
  </si>
  <si>
    <t>Inclusión social y productiva para la población en situación de vulnerabilidad. "Tú y yo, población vulnerable incluida"</t>
  </si>
  <si>
    <t>Cobertura de la población excombatiente atendida con procesos de atención y asistencia humanitaria</t>
  </si>
  <si>
    <t>Servicio de atención y asistencia para la población excombatiente del Departamento del Quindío</t>
  </si>
  <si>
    <t>Servicio de gestión de oferta social para la población vulnerable</t>
  </si>
  <si>
    <t>Población excombatiente beneficiada</t>
  </si>
  <si>
    <t>Beneficiarios de la oferta social atendidos</t>
  </si>
  <si>
    <t xml:space="preserve">Asistencia, atención y capacitación  a la población  excombatiente en el  Departamento del Quindío. </t>
  </si>
  <si>
    <t xml:space="preserve"> Aumentar la cobertura de la población excombatiente atendida con procesos de atención y asistencia en el departamento del Quindío. </t>
  </si>
  <si>
    <t>Fortalecimiento de la convivencia y la seguridad ciudadana. "Tú y yo seguros"</t>
  </si>
  <si>
    <t>Fortalecimiento institucional a organismos de seguridad</t>
  </si>
  <si>
    <t xml:space="preserve">Servicio de apoyo financiero para proyectos de convivencia y seguridad ciudadana </t>
  </si>
  <si>
    <t>Organismos de seguridad fortalecidos</t>
  </si>
  <si>
    <t>Proyectos de convivencia y seguridad ciudadana apoyados financieramente</t>
  </si>
  <si>
    <t>Instancias territoriales asistidas técnicamente</t>
  </si>
  <si>
    <t xml:space="preserve"> Disminuir los índices de violencia intrafamiliar   a través de la implementación de acciones y gestiones para impulsar y adoptar políticas y planes qué promuevan la paz, la reconciliación, la legalidad y la convivencia en el territorio.  </t>
  </si>
  <si>
    <t>Cobertura  de municipios del departamento del Quindío  atendidos con estudios y/o construcción de obras para mitigación y atención a desastres realizadas.</t>
  </si>
  <si>
    <t>Documentos de estudios técnicos para el ordenamiento ambiental territorial</t>
  </si>
  <si>
    <t>Documentos de estudios técnicos para el conocimiento y reducción del riesgo de desastres elaborados</t>
  </si>
  <si>
    <t>Fortalecimiento de los procesos de planificación del territorio para el conocimiento  y reducción del riesgo en el Departamento del Quindío.</t>
  </si>
  <si>
    <t>Aumentar la cobertura  de municipios del departamento del Quindío  atendidos con estudios   para mitigación y atención a desastres en la   planificación del  territorio  y priorización  de  acciones de intervención.</t>
  </si>
  <si>
    <t>Cobertura de   personas capacitadas en Gestión del Riesgo de Desastres  en el Departamento del Quindío, bajo en marco de Ciudades resilientes</t>
  </si>
  <si>
    <t>Servicio de educación informal</t>
  </si>
  <si>
    <t>Personas capacitadas</t>
  </si>
  <si>
    <t>Fortalecimiento de la gestión del Riesgo mediante los procesos de conocimiento, reducción del riesgo y manejo de desastres, en el Departamento del Quindío</t>
  </si>
  <si>
    <t xml:space="preserve">Aumentar cobertura de atención del Sistema Departamental de Gestión del Riesgo de Desastres del Departamento del Quindío,  a través del fortalecimiento  de los procesos de conocimiento, reducción del riesgo y manejo de desastres, con el propósito de contribuir a la seguridad, bienestar y calidad de vida de las personas. </t>
  </si>
  <si>
    <t>Cobertura de atención  del Sistema Departamental de Gestión del Riesgo de Desastres del Quindío.</t>
  </si>
  <si>
    <t>Instancias territoriales asistidas</t>
  </si>
  <si>
    <t>Servicio de atención a emergencias y desastres</t>
  </si>
  <si>
    <t>Servicio de fortalecimiento a las salas de crisis territorial</t>
  </si>
  <si>
    <t>Centro de reserva  para la atención a emergencias y desastres dotado</t>
  </si>
  <si>
    <t>Organismos de atención de emergencias fortalecidos</t>
  </si>
  <si>
    <t>Cobertura de asistencia a los municipios del departamento del Quindío en los procesos de la garantía y prevención de derechos humanos.</t>
  </si>
  <si>
    <t>Servicio de apoyo para la implementación de medidas en derechos humanos y derecho internacional humanitario</t>
  </si>
  <si>
    <t>Medidas implementadas en cumplimiento de las obligaciones internacionales en materia de Derechos Humanos y Derecho Internacional Humanitario</t>
  </si>
  <si>
    <t xml:space="preserve"> Implementación del Plan Integral de prevención de vulneraciones de los Derechos Humanos DDHH e infracciones  al Derecho Internacional Humanitario DIH en el Departamento del Quindío </t>
  </si>
  <si>
    <t>Aumentar la cobertura de asistencia a los municipios del departamento del Quindío en los procesos de la garantía y prevención de derechos humanos a través de la actualización, implementación y socialización en Plan Integral para la prevención a la vulneración de los DDHH.</t>
  </si>
  <si>
    <t>Iniciativas para la promoción de la participación ciudadana implementada.</t>
  </si>
  <si>
    <t xml:space="preserve"> Fortalecimiento de la participación ciudadana, veedurías y organizaciones comunales para el cumplimiento, protección y restablecimiento de los derechos contemplados en la Constitución Política.    </t>
  </si>
  <si>
    <t xml:space="preserve">Aumentar la participación de ciudadanos en los eventos de elección popular, a través del  fortalecimiento, difusión, promoción y gestión  de la participación ciudadana, en control social, las veedurías, los procesos de elección democrática, organizaciones comunales, libertad religiosa y de cultos. </t>
  </si>
  <si>
    <t>Implementar la Política de Libertad Religiosa</t>
  </si>
  <si>
    <t>Política de Libertad Religiosa Implementado</t>
  </si>
  <si>
    <t>Estrategia de acompañamiento sobre capacidades democráticas y organizativas  implementada</t>
  </si>
  <si>
    <t>Fortalecimiento de los organismos  de acción comunal (OAC)  de los doce municipios del Departamento en lo relacionado a sus procesos formativos, participativos, de organización y  gestión.</t>
  </si>
  <si>
    <t xml:space="preserve">Iniciativas organizativas de participación ciudadana promovidas </t>
  </si>
  <si>
    <t xml:space="preserve">Formulación de la  Política Pública Departamental para la  Acción Comunal </t>
  </si>
  <si>
    <t xml:space="preserve">Documentos de planeación </t>
  </si>
  <si>
    <t>Una Política Pública formulada.</t>
  </si>
  <si>
    <t xml:space="preserve">Planes estratégicos elaborados </t>
  </si>
  <si>
    <t xml:space="preserve">310 SECRETARÍA DE CULTURA </t>
  </si>
  <si>
    <t>Servicio de educación informal en áreas artísticas y culturales</t>
  </si>
  <si>
    <t xml:space="preserve">Implementación de la "Ruta de la felicidad y la identidad quindiana", para el fortalecimiento y visibilización de los procesos artísticos y culturales en el Departamento del Quindío  </t>
  </si>
  <si>
    <t>Fortalecer en sector cultural del departamento del Quindío incrementando las   tasas de  participación en formación y actividades  artísticos culturales, a través de la implementación de la " Ruta de  la felicidad e  identidad  quindiana en  los municipios",    con la consiguiente disminución de las tasas de consumo de sustancias psicoactivas.</t>
  </si>
  <si>
    <t>Servicio de circulación artística y cultural</t>
  </si>
  <si>
    <t>Producciones artísticas en circulación</t>
  </si>
  <si>
    <t>Formulación e implementación del Plan de Cultura</t>
  </si>
  <si>
    <t xml:space="preserve">Documentos de lineamientos técnicos </t>
  </si>
  <si>
    <t>Plan Decenal de cultura formulado e implementado</t>
  </si>
  <si>
    <t>Servicio de educación formal al sector artístico y cultural</t>
  </si>
  <si>
    <t>Cupos de educación formal ofertados</t>
  </si>
  <si>
    <t>Servicios bibliotecarios</t>
  </si>
  <si>
    <t>330108500</t>
  </si>
  <si>
    <t>Usuarios atendidos</t>
  </si>
  <si>
    <t xml:space="preserve">Implementación del programa "Tú y Yo Somos Cultura", para el fortalecimiento a la lectura,  escritura  y bibliotecas en el Departamento del Quindío   </t>
  </si>
  <si>
    <t xml:space="preserve">Incrementar la tasa de lectura  en el departamento del Quindío, a través del fortalecimiento del Plan Departamental de Lectura y Bibliotecas, con procesos de formación, producción y circulación de contenidos literarios con el fin de lograr  mayor acceso de las población a los servicios bibliotecarios físicos y virtuales..    </t>
  </si>
  <si>
    <t>Servicio de divulgación y publicaciones</t>
  </si>
  <si>
    <t>330110000</t>
  </si>
  <si>
    <t>Publicaciones realizadas</t>
  </si>
  <si>
    <t>Servicio de asistencia técnica en gestión artística y cultural</t>
  </si>
  <si>
    <t>330109500</t>
  </si>
  <si>
    <t>Personas asistidas técnicamente</t>
  </si>
  <si>
    <t xml:space="preserve"> Apoyo artistas y gestores culturales  del departamento del Quindío con el  beneficio de la Seguridad Social.  </t>
  </si>
  <si>
    <t xml:space="preserve">Aumentar la tasa de participación en procesos y actividades artísticas y culturales de los artistas y gestores del departamento del Quindío con la  implementación de los beneficios de la seguridad Social.  </t>
  </si>
  <si>
    <t>Gestión, protección y salvaguardia del patrimonio cultural colombiano. "Tú y yo protectores del patrimonio cultural"</t>
  </si>
  <si>
    <t>Servicio de asistencia técnica en el manejo y gestión del patrimonio arqueológico, antropológico e histórico.</t>
  </si>
  <si>
    <t>330204200</t>
  </si>
  <si>
    <t xml:space="preserve">Asistencias técnicas realizadas a entidades territoriales </t>
  </si>
  <si>
    <t xml:space="preserve"> Apoyo al Paisaje, Café y Tradición mediante procesos de manejo, gestión, asistencia técnica, divulgación y publicación del patrimonio, arqueológico, antropológico e histórico en el Departamento del Quindío </t>
  </si>
  <si>
    <t>Aumentar la tasa de cumplimiento del  Plan de Biocultura en patrimonio y PCC,   a través de la implementación del programa de asistencia técnica en el manejo y gestión del patrimonio arqueológico, antropológico e histórico, qué permita  la apropiación, divulgación y publicación del Patrimonio cultural y del Paisaje Cultural Cafetero</t>
  </si>
  <si>
    <t>Servicio de divulgación y publicación del Patrimonio cultural</t>
  </si>
  <si>
    <t>330207000</t>
  </si>
  <si>
    <t xml:space="preserve">311 SECRETARÍA DE TURISMO INDUSTRIA Y COMERCIO </t>
  </si>
  <si>
    <t>PRODUCTIVIDAD Y COMPETITIVIDAD</t>
  </si>
  <si>
    <t>Comercio, Industria y Turismo</t>
  </si>
  <si>
    <t xml:space="preserve">Productividad y competitividad de las empresas colombianas. "Tú y yo con empresas competitivas" </t>
  </si>
  <si>
    <t>Índice Departamental de Competitividad
Tasa de desempleo</t>
  </si>
  <si>
    <t>Servicio de apoyo y consolidación de las Comisiones Regionales de Competitividad - CRC</t>
  </si>
  <si>
    <t>350200600</t>
  </si>
  <si>
    <t xml:space="preserve">Planes de trabajo concertados con las CRC para su consolidación </t>
  </si>
  <si>
    <t xml:space="preserve">Fortalecimiento de la competitividad y productividad en el  departamento del Quindío </t>
  </si>
  <si>
    <t>Incrementar en índice de competitividad en el Departamento del Quindío, a través  de la consolidación de la Comisión Regional de Competitividad e Innovación y en apoyo a  las iniciativas clúster,  vinculando en sector público,  privado y la academia.</t>
  </si>
  <si>
    <t>Servicio de asistencia técnica para el desarrollo de iniciativas Clústeres</t>
  </si>
  <si>
    <t>350200700</t>
  </si>
  <si>
    <t>Clústeres asistidos en la implementación de los planes de acción</t>
  </si>
  <si>
    <t>350202200</t>
  </si>
  <si>
    <t>Empresas asistidas técnicamente</t>
  </si>
  <si>
    <t xml:space="preserve"> Fortalecimiento del sector empresarial  para el acceso a nuevos mercados en el departamento del Quindío</t>
  </si>
  <si>
    <t>Incrementar en índice de competitividad en el Departamento del Quindío,  a través de fortalecimiento del sector empresarial,  con el propósito de incrementar la competitividad para  en  acceso a nuevos mercados locales e internacionales.</t>
  </si>
  <si>
    <t>Índice Departamental de Competitividad Turística
Tasa de desempleo</t>
  </si>
  <si>
    <t>Servicio de asistencia técnica a los entes territoriales para el desarrollo turístico</t>
  </si>
  <si>
    <t>350203900</t>
  </si>
  <si>
    <t>Incrementar en índice de competitividad   turística en el Departamento del Quindío, a  través de la Formulación e implementación  del Plan Estratégico de Turismo, de procesos de asistencia técnica y apoyo a los municipios  en la certificación  de las  normas técnicas sectoriales de turismo,  con el propósito de ofrecer  un destino turístico sostenible,  competitivo y de calidad a nivel nacional e internacional.</t>
  </si>
  <si>
    <t>Proyectos de infraestructura turística apoyados</t>
  </si>
  <si>
    <t>Servicio de promoción turística</t>
  </si>
  <si>
    <t>350204600</t>
  </si>
  <si>
    <t>Campañas realizadas</t>
  </si>
  <si>
    <t>Incrementar en índice de competitividad   turística,  a través de la promoción del departamento como destino turístico y en  fortalecimiento de las  Agencias de Inversión   con la articulación de  instituciones,  gremios y demás actores del sector.</t>
  </si>
  <si>
    <t>Trabajo</t>
  </si>
  <si>
    <t>Generación y formalización del empleo. "Tú y yo con empleo de calidad"</t>
  </si>
  <si>
    <t>Servicios de apoyo financiero para la creación de empresas</t>
  </si>
  <si>
    <t>360201800</t>
  </si>
  <si>
    <t>Planes de negocio financiados</t>
  </si>
  <si>
    <t>Apoyo a la generación y formalización del empleo en el departamento del Quindío</t>
  </si>
  <si>
    <t>Incrementar en índice de competitividad  en el departamento del Quindío a través de la  formalización laboral y  generación de empleo con la  implementación  y promoción  del Ecosistemas de Emprendimientos  y la articulación con las entidades del sector trabajo.</t>
  </si>
  <si>
    <t>Servicio de asesoría técnica para el emprendimiento.</t>
  </si>
  <si>
    <t>360203201</t>
  </si>
  <si>
    <t>Emprendimientos fortalecidos</t>
  </si>
  <si>
    <t>Servicio de asistencia técnica para la generación y formalización del empleo</t>
  </si>
  <si>
    <t>360202904</t>
  </si>
  <si>
    <t>Talleres de oferta institucional realizados</t>
  </si>
  <si>
    <t>Servicio de información y monitoreo del mercado de trabajo</t>
  </si>
  <si>
    <t>360203000</t>
  </si>
  <si>
    <t>Reportes realizados</t>
  </si>
  <si>
    <t xml:space="preserve">312 SECRETARÍA DE AGRICULTURA, DESARROLLO RURAL Y MEDIO AMBIENTE </t>
  </si>
  <si>
    <t>Agricultura y desarrollo rural</t>
  </si>
  <si>
    <t>Inclusión productiva de pequeños productores rurales. "Tú y yo con oportunidades para el pequeño campesino"</t>
  </si>
  <si>
    <t>Crecimiento económico del sector agropecuario (PIB)</t>
  </si>
  <si>
    <t>Servicio de asesoría para el fortalecimiento de la asociatividad</t>
  </si>
  <si>
    <t>170201100</t>
  </si>
  <si>
    <t>Asociaciones fortalecidas</t>
  </si>
  <si>
    <t xml:space="preserve">Fortalecimiento e implementación de procesos de asociatividad y emprendimiento rural en el Departamento del Quindío.  </t>
  </si>
  <si>
    <t>Aumentar en crecimiento económico del sector agropecuario (PIB), a través del  fortalecimiento de las organizaciones de  productores, mediante acciones de capacitación, acompañamiento, asesoría y seguimiento,  para el fomento de la cultura de la asociatividad.</t>
  </si>
  <si>
    <t>Servicio de apoyo financiero para proyectos productivos</t>
  </si>
  <si>
    <t>170200700</t>
  </si>
  <si>
    <t>Proyectos productivos cofinanciados</t>
  </si>
  <si>
    <t>Servicio de apoyo financiero para el acceso a activos productivos y de comercialización</t>
  </si>
  <si>
    <t>170200900</t>
  </si>
  <si>
    <t>Productores apoyados con activos productivos y de comercialización</t>
  </si>
  <si>
    <t>Servicio de apoyo para el fomento organizativo de la agricultura campesina, familiar y comunitaria</t>
  </si>
  <si>
    <t>170201700</t>
  </si>
  <si>
    <t>Productores agropecuarios apoyados</t>
  </si>
  <si>
    <t>Aumentar en crecimiento económico del sector agropecuario (PIB), a través  del  acompañamiento técnico a los productores en la producción primaria ( Transferencia  de  Tecnología, financiación, Insumos, reconversión productiva, seguridad,  soberanía alimentaria, normalización de la  calidad  de  los  productos e  infraestructura  productiva  y  de  servicios),  con el propósito de consolidar en liderazgo  empresarial, la  asociatividad,  las  alianzas  estratégicas,  las  cadenas productivas y la cooperación  técnica.</t>
  </si>
  <si>
    <t>Servicio de apoyo para el acceso a maquinaria y equipos</t>
  </si>
  <si>
    <t>170201400</t>
  </si>
  <si>
    <t>Productores beneficiados con acceso a maquinaria y equipo</t>
  </si>
  <si>
    <t>Servicio de acompañamiento productivo y empresarial</t>
  </si>
  <si>
    <t>170202100</t>
  </si>
  <si>
    <t>Unidades productivas beneficiadas</t>
  </si>
  <si>
    <t>Servicio de apoyo a la comercialización</t>
  </si>
  <si>
    <t>170203800</t>
  </si>
  <si>
    <t>Organizaciones de productores formales apoyadas</t>
  </si>
  <si>
    <t>Aumentar en crecimiento económico del sector agropecuario (PIB), a través de la Formulación  e implementación de  programas y proyectos  integrales sostenibles,  mejoramiento de la  gestión de la calidad,   desarrollo de nuevos productos, inteligencia de mercados, estrategias de mercadeo y comercialización, sistemas de información, infraestructura y equipamiento.</t>
  </si>
  <si>
    <t>170203801</t>
  </si>
  <si>
    <t>Productores apoyados para la participación en mercados campesinos</t>
  </si>
  <si>
    <t>170202301</t>
  </si>
  <si>
    <t>Planes de Desarrollo Agropecuario y Rural elaborados</t>
  </si>
  <si>
    <t>Implementación de procesos de extensión agropecuaria e inocuidad (estatus sanitario, BPA, BPG) alimentaria; en el Departamento del Quindío</t>
  </si>
  <si>
    <t>Aumentar en crecimiento económico del sector agropecuario (PIB),  a través del desarrollo de  lineamientos para el fortalecimiento de habilidades, competencias técnicas, humanas,  financieras y estratégicas de los productores, para fortalecer la competitividad y sostenibilidad territorial del sector agropecuario.</t>
  </si>
  <si>
    <t>Servicios de acompañamiento en la implementación de planes de desarrollo agropecuario y rural</t>
  </si>
  <si>
    <t>170202400</t>
  </si>
  <si>
    <t>Planes de Desarrollo Agropecuario y Rural acompañados</t>
  </si>
  <si>
    <t>Servicio de apoyo en la formulación y estructuración de proyectos</t>
  </si>
  <si>
    <t>170202500</t>
  </si>
  <si>
    <t>Proyectos estructurados</t>
  </si>
  <si>
    <t xml:space="preserve"> Servicio de apoyo en la formulación y estructuración de proyectos de Desarrollo Rural e inclusión productiva  campesina en el Departamento del Quindío  </t>
  </si>
  <si>
    <t>Aumentar en crecimiento económico del sector agropecuario (PIB),  a través de la Formulación  e implementación de  programas y proyectos qué permitan  en ajuste, fortalecimiento  y la  articulación  interinstitucional  pública, privada y académica, en cuanto a la  operativización de las competencias de investigación, educación,  extensión  y  asistencia  técnica  agropecuaria sostenible.</t>
  </si>
  <si>
    <t>Servicios financieros y gestión del riesgo para las actividades agropecuarias y rurales. "Tú y yo con un campo protegido"</t>
  </si>
  <si>
    <t>Servicio de apoyo a la implementación de mecanismos y herramientas para el conocimiento, reducción y manejo de riesgos agropecuarios</t>
  </si>
  <si>
    <t>170301300</t>
  </si>
  <si>
    <t>Personas beneficiadas</t>
  </si>
  <si>
    <t xml:space="preserve"> Apoyo a la Implementación de procesos para la prevención y mitigación de riesgos naturales del sector agropecuario en el Departamento del Quindío.  </t>
  </si>
  <si>
    <t>Aumentar en crecimiento económico del sector agropecuario (PIB), a través  del acompañamiento técnico, económico a los productores en la prevención y mitigación de riesgos naturales , gestionando en desarrollo y fortalecimiento de capacidades y habilidades técnicas, mediante transferencia de innovaciones tecnológicas y provisión de bienes y servicios.</t>
  </si>
  <si>
    <t>Ordenamiento social y uso productivo del territorio rural. "Tú y yo con un campo planificado"</t>
  </si>
  <si>
    <t>170400203</t>
  </si>
  <si>
    <t>Documentos de lineamientos para el ordenamiento social y productivo elaborados</t>
  </si>
  <si>
    <t>Implementación de procesos de ordenamiento productivo y social territorial en el Departamento del Quindío</t>
  </si>
  <si>
    <t>Aumentar en crecimiento económico del sector agropecuario (PIB), a través de la formulación  e implementación  de programas y proyectos agropecuarios, sostenibles, de reconversión productiva, para ajustar en uso de la tierra acorde con su aptitud, aunando esfuerzos para mejorar la formalización de la propiedad rural, siguiendo los lineamientos del Plan de Ordenamiento Productivo y Social de la Propiedad Rural (POPSPR).</t>
  </si>
  <si>
    <t>Servicio de apoyo para el fomento de la formalidad</t>
  </si>
  <si>
    <t>170401700</t>
  </si>
  <si>
    <t xml:space="preserve">Personas sensibilizadas en la formalización </t>
  </si>
  <si>
    <t>Aprovechamiento de mercados externos. "Tú y yo a los mercados internacionales"</t>
  </si>
  <si>
    <t>Servicio de apoyo financiero para la participación en ferias nacionales e internacionales</t>
  </si>
  <si>
    <t>170600400</t>
  </si>
  <si>
    <t>Participaciones en ferias nacionales e internacionales</t>
  </si>
  <si>
    <t xml:space="preserve"> Fortalecimiento de eventos y  ferias para la competitividad productiva y empresarial del sector rural en el Departamento del Quindío </t>
  </si>
  <si>
    <t xml:space="preserve"> Aumentar en crecimiento económico del sector agropecuario (PIB),  a través del comercio interior  y exterior, inteligencia de mercados,  sistemas de información, acompañamiento  y  financiación  en mercadeo y  comercialización.</t>
  </si>
  <si>
    <t>Sanidad agropecuaria e inocuidad agroalimentaria. "Tú y yo con un agro saludable"</t>
  </si>
  <si>
    <t>Servicio de divulgación y socialización</t>
  </si>
  <si>
    <t>170706900</t>
  </si>
  <si>
    <t>Eventos realizados</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</si>
  <si>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t>
  </si>
  <si>
    <t>Ciencia, tecnología e innovación agropecuaria. "Tú y yo con un agro interconectado"</t>
  </si>
  <si>
    <t>170801600</t>
  </si>
  <si>
    <t>Documentos de lineamientos técnicos elaborados</t>
  </si>
  <si>
    <t xml:space="preserve"> Implementación de procesos de innovación, ciencia y tecnología agropecuario en el Departamento del Quindío  </t>
  </si>
  <si>
    <t xml:space="preserve"> Aumentar en crecimiento económico del sector agropecuario (PIB), a través de la coordinación interinstitucional en investigación, transferencia y adopción de tecnologías, qué permitan proyectar la educación, la ciencia, la tecnología  y   la  innovación, como  potenciales de desarrollo, basados en la vocación y ventajas  comparativas  de  la  región, mediante la implementación de  sistemas de información y  metodologías del SNCCTI y SNIA, en el marco de la adopción e implementación de las Agendas de Competitividad, PEDCTI,  PECTIA, POPSPR y PDEA, entre otras.</t>
  </si>
  <si>
    <t>Servicio de información actualizado</t>
  </si>
  <si>
    <t>170805100</t>
  </si>
  <si>
    <t>Sistemas de información actualizados</t>
  </si>
  <si>
    <t>Infraestructura productiva y comercialización. "Tú y yo con agro competitivo"</t>
  </si>
  <si>
    <t>Centros logísticos agropecuarios adecuados</t>
  </si>
  <si>
    <t xml:space="preserve"> Aumentar en crecimiento económico del sector agropecuario (PIB), a través del   fortalecimiento  y la  articulación  interinstitucional  pública, privada y académica, en cuanto a la  operativización de las competencias de investigación, educación,  extensión  y  asistencia  técnica agroindustrial, así  como  en  fomento  al  crédito, a la  infraestructura  productiva y en mejoramiento  continuo   de  la  calidad  de  vida  de  los  empresarios rurales.</t>
  </si>
  <si>
    <t>Infraestructura de pos cosecha adecuada</t>
  </si>
  <si>
    <t>170903400</t>
  </si>
  <si>
    <t>Servicio de procesamiento de caña panelera</t>
  </si>
  <si>
    <t>170909300</t>
  </si>
  <si>
    <t>Trapiches paneleros con servicio de procesamiento de caña.</t>
  </si>
  <si>
    <t>Crecimiento económico del sector agropecuario (PIB)
Tasa desempleo</t>
  </si>
  <si>
    <t>Servicio de asistencia técnica para emprendedores y/o empresas en edad temprana</t>
  </si>
  <si>
    <t>350201701</t>
  </si>
  <si>
    <t xml:space="preserve">Necesidades empresariales atendidas a partir de emprendimientos </t>
  </si>
  <si>
    <t xml:space="preserve"> Fortalecimiento  de nuevos emprendimientos e iniciativas clúster de las cadenas promisorias agropecuarias en el Departamento del Quindío.                     </t>
  </si>
  <si>
    <t xml:space="preserve"> Aumentar en crecimiento económico del sector agropecuario (PIB),  a través de acciones de capacitación, acompañamiento, asesoría, y seguimiento en competencias administrativas, organizacionales, mercados, extensión, planes de negocio y coordinación interinstitucional para el fomento de la cultura de asociatividad mediante alianzas Clúster</t>
  </si>
  <si>
    <t>Servicio de asistencia técnica para el desarrollo de iniciativas clústeres</t>
  </si>
  <si>
    <t>3201</t>
  </si>
  <si>
    <t>Fortalecimiento del desempeño ambiental de los sectores productivos. "Tú y yo guardianes de la biodiversidad.</t>
  </si>
  <si>
    <t>Documentos de lineamientos técnicos para mejorar la calidad ambiental de las áreas urbanas</t>
  </si>
  <si>
    <t>320101300</t>
  </si>
  <si>
    <t>Documentos de lineamientos técnicos para  mejorar la calidad ambiental de las áreas urbanas elaborados</t>
  </si>
  <si>
    <t xml:space="preserve">Fortalecimiento  de los procesos de Gestión Ambiental Urbana y Rural para la protección del Paisaje y la Biodiversidad en el  departamento del   Quindío  </t>
  </si>
  <si>
    <t>Incrementar en porcentaje de ecosistemas protegidos y/o en procesos de restauración en el Departamento, a través del apoyo a los entes territoriales en la generación de lineamientos técnicos qué permitan mejorar la gestión y manejo de los relictos boscosos, los humedales y la silvicultura en áreas urbanas mejorando la calidad ambiental del Departamento. Además,   de la realización de campañas de monitoreo de calidad del aire .</t>
  </si>
  <si>
    <t>Servicio de vigilancia de la calidad del aire</t>
  </si>
  <si>
    <t>320100805</t>
  </si>
  <si>
    <t>Campaña de monitoreo de calidad del aire realizadas</t>
  </si>
  <si>
    <t>Conservación de la biodiversidad y sus servicios ecosistémicos. "Tú y yo en territorios biodiversos"</t>
  </si>
  <si>
    <t xml:space="preserve"> Generación y desarrollo de acciones para la conservación de las áreas de importancia estratégica hídrica en el Departamento del Quindío </t>
  </si>
  <si>
    <t xml:space="preserve">Incrementar en porcentaje de ecosistemas protegidos y/o en procesos de restauración en el Departamento, a través de la  Adquisición y Mantenimiento de áreas estratégicas  de protección, en cumplimiento de las disposiciones de la Ley 99 de 1993, los instrumentos de Planeación Ambiental (POMCA del Río La Vieja) ;   promoción y recuperación de los cuerpos hídricos  mediante en enriquecimiento de especies nativas en los bosques riparios y la  promoción y desarrollo de esquemas de pago por servicios ambientales qué incentiven  la preservación de áreas de importancia estratégica para la conservación del recurso hídrico en el departamento. </t>
  </si>
  <si>
    <t>Servicio de recuperación de cuerpos de agua lénticos y lóticos</t>
  </si>
  <si>
    <t>320203704</t>
  </si>
  <si>
    <t>Bosque ripario recuperado</t>
  </si>
  <si>
    <t>Adquisición, mantenimiento y administración de áreas de importancia estratégica para la conservación y regulación del recurso hídrico.</t>
  </si>
  <si>
    <t xml:space="preserve">Número de Hectáreas intervenidas </t>
  </si>
  <si>
    <t>Extensión de cuerpos de agua recuperados</t>
  </si>
  <si>
    <t>Servicio apoyo financiero para la implementación de esquemas de pago por servicios ambientales</t>
  </si>
  <si>
    <t>Servicio apoyo financiero para la implementación de esquemas de pago por Servicios ambientales</t>
  </si>
  <si>
    <t>320201700</t>
  </si>
  <si>
    <t xml:space="preserve">Esquemas de pago por Servicio ambientales implementados </t>
  </si>
  <si>
    <t xml:space="preserve">Áreas con esquemas de pago por Servicios Ambientales implementados </t>
  </si>
  <si>
    <t xml:space="preserve">Estrategia  departamental para la protección y bienestar de los animales domésticos y silvestres del Departamento </t>
  </si>
  <si>
    <t>Estrategia  para la protección y bienestar de los animales domésticos y silvestres adoptada</t>
  </si>
  <si>
    <t>Talleres realizados</t>
  </si>
  <si>
    <t xml:space="preserve">Apoyo a la generación de entornos  amigables para los animales  domésticos y silvestres en el departamento del Quindío </t>
  </si>
  <si>
    <t>Incrementar en porcentaje de ecosistemas protegidos y/o en procesos de restauración en el Departamento, a través de la implementación de  la estrategia “Quindío libre de maltrato animal”, en asocio con los diferentes sectores e instituciones del departamento, para  la protección de la fauna silvestre y doméstica,  qué generen en la  comunidad   concientización de la  tenencia responsable de mascotas y un departamento sin tráfico de fauna.</t>
  </si>
  <si>
    <t>Realizar  campaña  de sensibilización y apropiación del patrimonio ambiental en el Departamento</t>
  </si>
  <si>
    <t>Campaña  de sensibilización y apropiación del patrimonio ambiental realizada</t>
  </si>
  <si>
    <t xml:space="preserve">Realización de campañas de sensibilización y apropiación del patrimonio ambiental  del paisaje, la biodiversidad y sus servicios ecosistémicos en el Departamento del Quindío </t>
  </si>
  <si>
    <t>Incrementar en porcentaje de ecosistemas protegidos y/o en procesos de restauración en el Departamento,  a través de la realización de  campañas educativas ambientales qué permitan la apropiación y sensibilización del patrimonio ambiental y en Paisaje Cultural Cafetero,    en  los sectores institucionales, educativos y sociales, articulados con el Comité Interinstitucional de Educación Ambiental CIDEA y los Proyectos Educativos Ambientales PRAES.</t>
  </si>
  <si>
    <t>3204</t>
  </si>
  <si>
    <t>Gestión de la información y en conocimiento ambiental. "Tú y yo conscientes con la naturaleza"</t>
  </si>
  <si>
    <t>Servicio de apoyo financiero a emprendimientos</t>
  </si>
  <si>
    <t>320401200</t>
  </si>
  <si>
    <t xml:space="preserve">Emprendimientos apoyados </t>
  </si>
  <si>
    <t xml:space="preserve">Apoyo a nuevos modelos de vida sostenibles, sustentables y eficientes en el suelo rural y urbano en el Departamento del Quindío  </t>
  </si>
  <si>
    <t xml:space="preserve"> Incrementar en porcentaje de ecosistemas protegidos y/o en procesos de restauración en el Departamento, a través del apoyo a iniciativas de emprendimientos verdes qué incorporen conceptos de eficiencia ambiental como economía circular, carbono neutral, agricultura regenerativa  entre otros.</t>
  </si>
  <si>
    <t>3205009</t>
  </si>
  <si>
    <t>Barreras rompe vientos recuperadas</t>
  </si>
  <si>
    <t>320500900</t>
  </si>
  <si>
    <t>Barreras rompe vientos</t>
  </si>
  <si>
    <t xml:space="preserve">Aumentar en porcentaje de ecosistemas protegidos y/o en procesos de restauración en el Departamento, a través de la implementación de  estrategias que permitan en desarrollo de acciones de adaptación y mitigación de los efectos del cambio climático con la  intervención de obras  de estabilización de taludes, control erosión  y barreras rompe vientos. </t>
  </si>
  <si>
    <t>3205014</t>
  </si>
  <si>
    <t>Obras para el control de erosión</t>
  </si>
  <si>
    <t>320501400</t>
  </si>
  <si>
    <t xml:space="preserve">Área reforestada </t>
  </si>
  <si>
    <t>3206</t>
  </si>
  <si>
    <t>Gestión del cambio climático para un desarrollo bajo en carbono y resiliente al clima. "Tú y yo preparados para el cambio climático"</t>
  </si>
  <si>
    <t>3206005</t>
  </si>
  <si>
    <t>Servicio de divulgación de la información en gestión del cambio climático para un desarrollo bajo en carbono y resiliente al clima</t>
  </si>
  <si>
    <t>320600500</t>
  </si>
  <si>
    <t xml:space="preserve">Campañas de información en gestión de cambio climático realizadas </t>
  </si>
  <si>
    <t xml:space="preserve">Aumentar en porcentaje de ecosistemas protegidos y/o en procesos de restauración en el Departamento,  a través   de  la realización de campañas educativas ambientales,  Servicios de producción de Plántulas  en viveros  e instalación de estufas ecoeficientes,   qué permitan la protección de patrimonio ambiental,  en paisaje, la biodiversidad y sus servicios ecosistémicos. </t>
  </si>
  <si>
    <t>Servicio de producción de plántulas en viveros</t>
  </si>
  <si>
    <t>320601400</t>
  </si>
  <si>
    <t>Plántulas producidas</t>
  </si>
  <si>
    <t>3206015</t>
  </si>
  <si>
    <t>Estufas ecoeficientes</t>
  </si>
  <si>
    <t>320601500</t>
  </si>
  <si>
    <t>Estufas ecoeficientes instaladas y en operación</t>
  </si>
  <si>
    <t>Fortalecimiento a la gestión y dirección de la administración pública territorial "Quindío con una administración al servicio de la ciudadanía"</t>
  </si>
  <si>
    <t>Desarrollo de  la Política  de Transparencia, Acceso a la Información Pública y Lucha Contra la Corrupción del Modelo Integrado de Planificación y Gestión MIPG, articulada con el "Pacto por la Integridad , Transparencia y Legalidad" del Gobierno Nacional</t>
  </si>
  <si>
    <t xml:space="preserve">Política de Transparencia, Acceso a la Información Pública y Lucha Contra la Corrupción  articulada   con el "Pacto por la Integridad , Transparencia y Legalidad" del Gobierno Nacional desarrollada.                                                                                   </t>
  </si>
  <si>
    <t>Herramientas implementada</t>
  </si>
  <si>
    <t>Implementación de la Política de Transparencia, Acceso a la Información Pública y Lucha Contra la Corrupción del Modelo Integrado de Planificación y Gestión MIPG, articulada con el "Pacto por la Integridad, Transparencia y Legalidad"  en el Departamento del Quindío</t>
  </si>
  <si>
    <t>Aumentar Índice de Gestión del Modelo Integrado de Planeación y de Gestión MIPG  del Departamento del Quindío, a través de desarrollo de la Política de Transparencia, Acceso a la Información Pública y Lucha Contra la Corrupción del Modelo Integrado de Planificación y Gestión MIPG, articulada con el "Pacto por la Integridad, Transparencia y Legalidad" del Gobierno Nacional, basado en la generación de cambios culturales en la institucionalidad y la ciudadanía.</t>
  </si>
  <si>
    <t>Desarrollo e implementación de la estrategia de comunicaciones para la Administración Departamental</t>
  </si>
  <si>
    <t>Estrategia de comunicaciones desarrollada e implementada</t>
  </si>
  <si>
    <t>Desarrollo e implementación de  una estrategia  de comunicaciones  de la gestión institucional  de la Administración Departamental del Quindío "Hacia un  gobierno abierto".</t>
  </si>
  <si>
    <t>Aumentar Índice de Gestión del Modelo Integrado de Planeación y de Gestión MIPG  del Departamento del Quindío, a través del desarrollo e implementación de la estrategia de comunicaciones para la administración departamental,  conducente a la divulgación de la  oferta institucional a nivel departamental, nacional e internacional, con el propósito de acercar a la comunidad y en Estado, incrementado de esta forma, la participación de los diferentes actores de la gestión territorial.</t>
  </si>
  <si>
    <t xml:space="preserve">Encuentros ciudadanos en el Departamento del Quindío en aplicación de la Política de Transparencia, Acceso a la Información Pública y Lucha contra la Corrupción.  </t>
  </si>
  <si>
    <t>Encuentros  ciudadanos realizados.</t>
  </si>
  <si>
    <t>Fortalecimiento de  las capacidades institucionales de la administración departamental del Quindío, para generar condiciones de gobernanza territorial, participación, administración eficiente y transparente.</t>
  </si>
  <si>
    <t xml:space="preserve">Incrementar en porcentaje promedio  de participación de ciudadanos en los eventos de elección popular,  a través de la realización de  encuentros ciudadanos como un mecanismo de gobernabilidad para identificar los problemas y necesidades más sentidas de la comunidad, enmarcado en la generación de soluciones adecuadas, a través de la ejecución de proyectos qué propicien en desarrollo territorial participativo e incluyente </t>
  </si>
  <si>
    <t xml:space="preserve">314 SECRETARÍA DE EDUCACIÓN </t>
  </si>
  <si>
    <t>Tasa de cobertura bruta en educación básica
Tasa de cobertura en educación media
Tasa de Analfabetismo
Tasa de deserción escolar intra-anual
Tasa de repitencia</t>
  </si>
  <si>
    <t>Servicio educación formal por modelos educativos flexibles</t>
  </si>
  <si>
    <t>Beneficiarios atendidos con modelos educativos flexibles</t>
  </si>
  <si>
    <t>Fortalecimiento de Estrategias de Acceso, Bienestar y Permanencia en el Sector Educativo del Departamento del Quindío</t>
  </si>
  <si>
    <t>Aumentar las tasas de cobertura bruta y disminuir las tasas  repitencia y deserción escolar  en la  educación inicial, preescolar, básica y media, a través  del fortalecimiento de estrategias  de acceso,  bienestar y  permanencia de los niños, niñas, adolescentes, jóvenes y adultos en el sector educativo del Departamento del Quindío, promoviendo la trayectoria educativa completa.</t>
  </si>
  <si>
    <t>Tasa de deserción escolar intra -anual</t>
  </si>
  <si>
    <t>Servicio de fomento para la permanencia en programas de educación formal</t>
  </si>
  <si>
    <t>Personas beneficiarias de estrategias de permanencia</t>
  </si>
  <si>
    <t xml:space="preserve">Tasa de Analfabetismo </t>
  </si>
  <si>
    <t>Servicio de alfabetización</t>
  </si>
  <si>
    <t xml:space="preserve">Personas beneficiarias con modelos de alfabetización </t>
  </si>
  <si>
    <t xml:space="preserve">Tasa de cobertura bruta en educación básica
Tasa de cobertura en educación media
</t>
  </si>
  <si>
    <t>Servicio de apoyo para la implementación de la estrategia educativa del sistema de responsabilidad penal para adolescentes</t>
  </si>
  <si>
    <t>Entidades Territoriales certificadas con asistencia técnica para el fortalecimiento de la estrategia educativa del sistema de responsabilidad penal para adolescentes</t>
  </si>
  <si>
    <t>Tasa de cobertura bruta en transición
Tasa de cobertura bruta en educación básica
Tasa de cobertura en educación media
Tasa de deserción escolar intra-anual
Tasa de repitencia</t>
  </si>
  <si>
    <t>Servicio de apoyo para el fortalecimiento de escuelas de padres</t>
  </si>
  <si>
    <t>Escuelas de padres apoyadas</t>
  </si>
  <si>
    <t>Servicio de apoyo a la permanencia con alimentación escolar</t>
  </si>
  <si>
    <t>Beneficiarios de la alimentación escolar</t>
  </si>
  <si>
    <t>Servicio de apoyo a la permanencia con transporte escolar</t>
  </si>
  <si>
    <t>Beneficiarios de transporte escolar</t>
  </si>
  <si>
    <t>Infraestructura de Instituciones Educativas con procesos constructivos, mejorados, ampliados, mantenidos, y/o reforzados.</t>
  </si>
  <si>
    <t xml:space="preserve">Sedes mantenidas </t>
  </si>
  <si>
    <t xml:space="preserve">Tasa de cobertura bruta en transición
Tasa de cobertura bruta en educación básica
Tasa de cobertura en educación media 
Tasa de deserción escolar intra-anual </t>
  </si>
  <si>
    <t>Estudios de preinversión</t>
  </si>
  <si>
    <t>Estudios o diseños realizados</t>
  </si>
  <si>
    <t>Infraestructura educativa dotada</t>
  </si>
  <si>
    <t>Sedes dotadas</t>
  </si>
  <si>
    <t>Cobertura en asistencia técnica a la educación inicial (0 a 4 años)</t>
  </si>
  <si>
    <t>Servicio de información para la gestión de la educación inicial y preescolar en condiciones de calidad</t>
  </si>
  <si>
    <t xml:space="preserve">Entidades territoriales que hacen seguimiento a las condiciones de calidad de los prestadores de educación inicial o preescolar a través del Sistema de Información de Primera Infancia -SIPI- </t>
  </si>
  <si>
    <t>Fortalecimiento para la gestión de la educación inicial y preescolar en el marco de la atención integral a la primera infancia en el Departamento del Quindío.</t>
  </si>
  <si>
    <t>Aumentar las coberturas de asistencia técnica en educación inicial y transición en el departamento del Quindío, a través de estrategias de mejoramiento de la calidad de la educación inicial en el nivel de preescolar en los Establecimientos Educativos Oficiales del departamento con la  apropiación de  políticas  y  lineamientos pedagógicos expedidos por el Ministerio de Educación Nacional.</t>
  </si>
  <si>
    <t>Tasa de cobertura bruta en transición</t>
  </si>
  <si>
    <t>Servicio de atención integral para la primera infancia</t>
  </si>
  <si>
    <t>Instituciones educativas oficiales que implementan en nivel preescolar en el marco de la atención integral</t>
  </si>
  <si>
    <t>Porcentaje de pruebas SABER 5 Lenguaje (nivel Insuficiente) 
Porcentaje de pruebas SABER 5 Matemáticas (nivel Insuficiente) 
Porcentaje de pruebas SABER 9 Lenguaje (nivel Insuficiente)  
Porcentaje de pruebas SABER 9 Matemáticas (nivel Insuficiente) 
Porcentaje de Colegios pruebas SABER 11 con resultado A+ - A</t>
  </si>
  <si>
    <t>Servicio de evaluación de la calidad de la educación preescolar, básica o media.</t>
  </si>
  <si>
    <t>Estudiantes evaluados con pruebas de calidad educativa</t>
  </si>
  <si>
    <t>Fortalecimiento de la Calidad Educativa con inclusión y equidad para el Desarrollo Integral de niños, niñas, adolescentes y jóvenes en el Departamento del Quindío.</t>
  </si>
  <si>
    <t>Aumentar las tasas  de coberturas  brutas y de  pruebas  saber 5, 9 y 11  y disminución  de los índices de analfabetismo, deserción, repitencia  en la  educación inicial y transición,    a través del fortalecimiento de la calidad educativa con inclusión y equidad,  generando  estrategias en innovación educativa  qué promuevan   en desarrollo integral de los estudiantes y docentes de las Instituciones Educativas Oficiales del Departamento.</t>
  </si>
  <si>
    <t>Tasa de cobertura bruta en transición
Tasa de cobertura bruta en educación básica
Tasa de cobertura en educación media 
Tasa de deserción escolar intra-anual 
Cobertura de Instituciones Educativas con Planes Escolares de Gestión del Riesgo de Desastres-PEGERD</t>
  </si>
  <si>
    <t>Servicio de acondicionamiento de ambientes de aprendizaje</t>
  </si>
  <si>
    <t>Ambientes de aprendizaje en funcionamiento</t>
  </si>
  <si>
    <t>Servicio de fortalecimiento a las capacidades de los docentes de educación inicial, preescolar, básica y media</t>
  </si>
  <si>
    <t>Docentes de educación inicial, preescolar, básica y media beneficiados con estrategias de mejoramiento de sus capacidades</t>
  </si>
  <si>
    <t xml:space="preserve">Docentes y agentes educativos  de educación inicial, preescolar, básica y media beneficiados con estrategias de mejoramiento de sus capacidades </t>
  </si>
  <si>
    <t>Servicio de fortalecimiento a las capacidades de los docentes y agentes educativos en educación inicial o preescolar de acuerdo a los referentes nacionales</t>
  </si>
  <si>
    <t>Servicio de fortalecimiento a las capacidades de los docentes de educación Inicial, preescolar, básica y media</t>
  </si>
  <si>
    <t>Docentes y agentes educativos beneficiarios de Servicio de fortalecimiento a sus capacidades de acuerdo a los referentes nacionales</t>
  </si>
  <si>
    <t xml:space="preserve">Tasa de cobertura bruta en educación media 
Años promedio de estudio (población de 15 a 24 años) </t>
  </si>
  <si>
    <t>Servicio de articulación entre la educación media y el sector productivo.</t>
  </si>
  <si>
    <t xml:space="preserve">Programas y proyectos de educación pertinente articulados con el sector productivo </t>
  </si>
  <si>
    <t>Servicios de asistencia técnica en innovación educativa en la educación inicial, preescolar, básica y media</t>
  </si>
  <si>
    <t>Instituciones educativas asistidas técnicamente en innovación educativa</t>
  </si>
  <si>
    <t>Servicio de fomento para la prevención de riesgos sociales en entornos escolares</t>
  </si>
  <si>
    <t>Entidades territoriales con estrategias para la prevención de riesgos sociales en los entornos escolares implementadas</t>
  </si>
  <si>
    <t>Servicio de apoyo a proyectos pedagógicos productivos</t>
  </si>
  <si>
    <t>Proyectos apoyados</t>
  </si>
  <si>
    <t>Servicio de orientación vocacional</t>
  </si>
  <si>
    <t>Estudiantes vinculados a procesos de orientación vocacional</t>
  </si>
  <si>
    <t>Tasa de cobertura bruta en transición
Tasa de cobertura bruta en educación básica
Tasa de cobertura en educación media
Tasa de Analfabetismo
Tasa de deserción escolar intra-anual
Tasa de repitencia</t>
  </si>
  <si>
    <t>Servicio de asistencia técnica en educación inicial, preescolar, básica y media</t>
  </si>
  <si>
    <t>Entidades y organizaciones asistidas técnicamente</t>
  </si>
  <si>
    <t>Fortalecimiento territorial para una gestión educativa integral en la Secretaría de Educación Departamental del Quindío</t>
  </si>
  <si>
    <t>Aumentar las tasas de cobertura bruta y disminuir las tasas  repitencia y deserción escolar, a través del fortalecimiento  del seguimiento y evaluación de la gestión institucional, buscando potenciar en los diferentes equipos de trabajo, las capacidades para ejecutar procesos de gestión integrales y articulados en la prestación del servicio educativo de calidad</t>
  </si>
  <si>
    <t>Servicio de monitoreo y seguimiento a la gestión del sector educativo</t>
  </si>
  <si>
    <t>Entidades territoriales con seguimiento y evaluación a la gestión.</t>
  </si>
  <si>
    <t>Servicios de atención psicosocial a estudiantes y docentes</t>
  </si>
  <si>
    <t xml:space="preserve">Personas atendidas </t>
  </si>
  <si>
    <t>Servicio educativo</t>
  </si>
  <si>
    <t>Establecimientos educativos en operación</t>
  </si>
  <si>
    <t>Servicio de accesibilidad a contenidos web para fines pedagógicos</t>
  </si>
  <si>
    <t>Estudiantes con acceso a contenidos web en el establecimiento educativo</t>
  </si>
  <si>
    <t>Fortalecimiento de las  Tecnologías de Información y Comunicación TIC,  para una innovación educativa de calidad en el departamento del Quindío.</t>
  </si>
  <si>
    <t>Aumentar las tasas de cobertura bruta y disminuir las tasas  repitencia y deserción escolar a través de la implementación de  estrategias basadas en las Tecnologías de la Información para los Establecimientos  Educativos y la  Secretaria de Educación Departamental, permitiendo dar una respuesta pertinente a las necesidades en los diferentes recursos tecnológicos, propiciando una Gestión Educativa Integral.</t>
  </si>
  <si>
    <t>Establecimientos educativos conectados a internet</t>
  </si>
  <si>
    <t>Documento para la planeación estratégica en TI</t>
  </si>
  <si>
    <t>Planes de mejoramiento de los sistemas de información de las secretarías de educación implementados</t>
  </si>
  <si>
    <t>Documentos de planeación para la educación inicial, preescolar, básica y media emitidos</t>
  </si>
  <si>
    <t>Porcentaje de estudiantes de grado 11 con dominio de inglés a nivel B1 (preintermedio)</t>
  </si>
  <si>
    <t>Servicio educativos de promoción del bilingüismo</t>
  </si>
  <si>
    <t>Estudiantes beneficiados con estrategias de promoción del bilingüismo</t>
  </si>
  <si>
    <t>Fortalecimiento de las competencias comunicativas en lengua extranjera en estudiantes y docentes de las instituciones educativas oficiales del Departamento del Quindío.</t>
  </si>
  <si>
    <t>Aumentar en porcentaje de estudiantes de grado 11 con dominio de inglés a nivel B1 (preintermedio) a través del fortalecimiento del nivel de inglés de los niños, niñas y jóvenes qué asisten a las Instituciones Educativas Oficiales del Departamento del Quindío.</t>
  </si>
  <si>
    <t>Servicios educativos de promoción del bilingüismo</t>
  </si>
  <si>
    <t>Instituciones educativas fortalecidas en competencias comunicativas en un segundo idioma</t>
  </si>
  <si>
    <t>Servicio educativo de promoción del bilingüismo para docentes</t>
  </si>
  <si>
    <t>Docentes beneficiados con estrategias de promoción del bilingüismo</t>
  </si>
  <si>
    <t>Implementación del observatorio de educación, con el fin de recopilar y producir información del sector educativo con enfoque territorial.</t>
  </si>
  <si>
    <t>Aumentar las tasas de cobertura bruta y disminuir las tasas  repitencia y deserción escolar, a través del diseño e implementación en   Observatorio de Investigación, Innovación y Documentación Educativa del Departamento del Quindío.</t>
  </si>
  <si>
    <t>Servicios de información en materia educativa</t>
  </si>
  <si>
    <t>Observatorio implementado</t>
  </si>
  <si>
    <t>Tasa de cobertura en educación superior</t>
  </si>
  <si>
    <t>Servicio de apoyo para el acceso y la permanencia a la educación superior o terciaria</t>
  </si>
  <si>
    <t>Estrategias o programas de  fomento para  acceso y  permanencia a la educación superior o terciaria implementados</t>
  </si>
  <si>
    <t>Estrategias y programas de  fomento para acceso y  permanencia a la educación superior o postsecundaria implementados</t>
  </si>
  <si>
    <t>Fortalecimiento de estrategias para el acceso y la permanencia  de los estudiantes egresados de los Establecimientos Educativos Oficiales a la educación superior o terciaria en el Departamento del Quindío.</t>
  </si>
  <si>
    <t>Aumentar la tasa de cobertura en educación superior,  a través del fortalecimiento del acceso y la permanencia de los estudiantes egresados de los Establecimientos Educativos Oficiales   adscritos a la Secretaría de Educación Departamental a la educación técnica, tecnológica o superior.</t>
  </si>
  <si>
    <t>Generación de una cultura qué valora y gestiona en conocimiento y la innovación.</t>
  </si>
  <si>
    <t xml:space="preserve">
Tasa de cobertura bruta en educación básica
Tasa de cobertura en educación media
</t>
  </si>
  <si>
    <t>Servicio para el fortalecimiento de capacidades institucionales para el fomento de vocación científica</t>
  </si>
  <si>
    <t>Instituciones educativas qué participan en programas que fomentan la cultura de la Ciencia, la Tecnología y la Innovación fortalecidas</t>
  </si>
  <si>
    <t>Instituciones educativas que participan en programas qué fomentan la cultura de la Ciencia, la Tecnología y la Innovación fortalecidas</t>
  </si>
  <si>
    <t>Implementación  y fortalecimiento de  las estrategias qué fomenten la ciencia, la tecnología y la innovación en las Instituciones Educativas Oficiales del Departamento.</t>
  </si>
  <si>
    <t xml:space="preserve">Aumentar las tasas de cobertura bruta en educación  básica y media, a través de la  Promoción  de  la investigación en los estudiantes  matriculados en las Instituciones Educativas Oficiales del Departamento del Quindío, a través de la Ciencia, Tecnología y la Innovación. </t>
  </si>
  <si>
    <t>316 SECRETARÍA DE FAMILIA</t>
  </si>
  <si>
    <t>Salud Pública, "Tú y yo con salud de calidad"</t>
  </si>
  <si>
    <t>Razón de mortalidad materna (por 100.000 nacidos vivos)
Porcentaje de atención institucional del parto.
Tasa  de mujeres de 10 a 14 años qué han sido madres o están en embarazo.
Tasa de mujeres de 15 a 19 años qué han sido madres o están en embarazo.
Prevalencia de VIH/SIDA en población de 15 a 49 años de edad.
Tasa de mortalidad asociada a VIH/SIDA.
Porcentaje transmisión materno -infantil del VIH.
Cobertura de tratamiento antirretroviral</t>
  </si>
  <si>
    <t xml:space="preserve">Servicio de gestión del riesgo en temas de salud sexual y reproductiva </t>
  </si>
  <si>
    <t>Campañas de gestión del riesgo en temas de salud sexual y reproductiva implementadas.</t>
  </si>
  <si>
    <t xml:space="preserve">  Diseño e implementación de campañas para la promoción de la vida y prevención del consumo de sustancias psicoactivas en el Departamento del Quindío. "TU Y YO UNIDOS POR LA VIDA".  </t>
  </si>
  <si>
    <t>Tasa de violencia de género.
Tasa de Suicidio  x 100.000 Habitantes en el Departamento del Quindío.
Tasa de suicidios en niños y niñas ( 6 a 11 años)
Tasa de suicidios en adolescentes (12 a 17 años)
Tasa de suicidios (18 - 28 años)Tasa de Consumo de Sustancias Psicoactivas  x 100.000 Habitantes en el Departamento del Quindío.</t>
  </si>
  <si>
    <t xml:space="preserve">Servicio de gestión del riesgo en temas de trastornos mentales </t>
  </si>
  <si>
    <t>Campañas de gestión del riesgo en temas de trastornos mentales implementadas</t>
  </si>
  <si>
    <t>Servicio de educación informal al sector artístico y cultural</t>
  </si>
  <si>
    <t>Capacitaciones de educación informal realizadas</t>
  </si>
  <si>
    <t>Aumentar la cobertura  de municipios con jóvenes en riesgo psicosocial impactados en los barrios vulnerables del Departamento del Quindío, a través de la implementación de acciones que permitan fortalecer los entornos protectores de los jóvenes en riesgo psicosocial por consumo de sustancias psicoactivas, comportamiento suicida, Violencia Intrafamiliar, en barrios vulnerables, de los municipios, del Departamento del Quindío.</t>
  </si>
  <si>
    <t>Inclusión social y Reconciliación</t>
  </si>
  <si>
    <t>Desarrollo Integral de Niños, Niñas, Adolescentes y sus Familias. "Tú y yo niños, niñas y adolescentes con desarrollo integral"</t>
  </si>
  <si>
    <t xml:space="preserve">Cobertura en la  implementación del  Modelo de entornos protectores y atención integral de   la primera infancia </t>
  </si>
  <si>
    <t xml:space="preserve">Diseñar e implementar un modelo de atención integral en entornos protectores para la primera infancia </t>
  </si>
  <si>
    <t>Modelo de atención integral de entornos protectores implementado</t>
  </si>
  <si>
    <t>Aumentar la cobertura en la implementación del Modelo de Entornos Protectores y Atención Integral de la Primera Infancia, a través de la atención integral a los niños y niñas, promoviendo la aplicabilidad de las rutas integrales de atención y  entornos protectores seguros en el departamento Quindío.</t>
  </si>
  <si>
    <t xml:space="preserve">Cobertura  en la  implementación y seguimiento de las   Rutas integrales de atención  a la primera infancia </t>
  </si>
  <si>
    <t xml:space="preserve">Implementar y realizar seguimiento a las rutas integrales de atención </t>
  </si>
  <si>
    <t xml:space="preserve">Servicio de atención integral a la primera infancia </t>
  </si>
  <si>
    <t xml:space="preserve">Número de rutas integrales de atención  a la  primera infancia implementadas y con seguimiento </t>
  </si>
  <si>
    <t>Niños y niñas atendidos en servicio integrales</t>
  </si>
  <si>
    <t>Tasa de Violencia Intrafamiliar x 100.000 Habitantes en el Departamento del Quindío.
Tasa de violencia de pareja cuando la víctima está entre los 18 y 28 años 
Tasa de violencia de Género
Tasa de Suicidio  x 100.000 Habitantes en el Departamento del Quindío.
Tasa  de Niños, Niñas y Adolescentes qué participan en una actividad remunerada  o no  x cada 100.000 habitantes  en el departamento del Quindío
Tasa  de mujeres de 12 a 14 años qué han sido madres o están en embarazo X 100.000 habitantes en el Departamento del Quindío
Cobertura a los grupos de adulto mayor del departamento del Quindío en articulación con los Municipios, en el marco de garantizar estimulación física, cognitiva, emocional y social en bienestar de una vejez activa y saludable</t>
  </si>
  <si>
    <t xml:space="preserve">Implementar la  política pública para la protección, en fortalecimiento y en desarrollo integral de la familia Quindiana </t>
  </si>
  <si>
    <t>4102043</t>
  </si>
  <si>
    <t xml:space="preserve">Servicio de promoción de temas de dinámica relacional y desarrollo autónomo </t>
  </si>
  <si>
    <t>Política Pública de Familia  implementada</t>
  </si>
  <si>
    <t>Familias atendidas</t>
  </si>
  <si>
    <t xml:space="preserve"> Implementación de la  política pública  de Familia para la  promoción  del desarrollo integral de la población del Departamento del Quindío. </t>
  </si>
  <si>
    <t xml:space="preserve">Disminuir las tasas de violencia intrafamiliar, suicidio y embarazos en el departamento del Quindío a través del Desarrollo de  estrategias,  programas y proyectos en el marco de la implementación y seguimiento de la Política Pública de Familia para promover en desarrollo integral de la población. </t>
  </si>
  <si>
    <t>.- Tasa de violencia contra niños y niñas o a 5 años       
.- Tasa de violencia contra niños y niñas de 6 a 11 años
.- Tasa de violencia contra niños y niñas de 12 a 17 años
-Tasa de niños, niñas y adolescentes víctimas de violencia sexual  x 100 mil habitantes   en el Departamento del Quindío
-Tasa de suicidios en adolescentes (12 a 17 años)
-Tasa  de Niños, Niñas y Adolescentes qué participan en una actividad remunerada  o no  x cada 100.000 habitantes  en el departamento del Quindío
-Tasa  de mujeres de 12 a 14 años qué han sido madres o están en embarazo X 100.000 habitantes en el Departamento del Quindío
-Tasa de Consumo de Sustancias Psicoactivas  x 100.000 Habitantes en el Departamento del Quindío.</t>
  </si>
  <si>
    <t xml:space="preserve">Revisión, ajuste  e implementación de  la política pública de primera infancia, infancia y adolescencia en el Departamento del Quindío  </t>
  </si>
  <si>
    <t xml:space="preserve">Disminuir las tasa de violencia  contra niños, niñas y adolescentes, embarazos a temprana edad y consumo de sustancias psicoactivas en el Departamento del Quindío, a través del desarrollo de estrategias, proyectos y programas en el marco de la implementación y seguimiento de la Política Pública de Primera Infancia, Infancia y Adolescencia, al igual que su ajuste, para promover en desarrollo integral de la población. </t>
  </si>
  <si>
    <t>Implementar  la política pública de primera infancia, infancia y adolescencia</t>
  </si>
  <si>
    <t>Servicio de promoción de temas de dinámica relacional y desarrollo autónomo</t>
  </si>
  <si>
    <t xml:space="preserve">Política Pública de Primera Infancia, Infancia y Adolescencia implementada. </t>
  </si>
  <si>
    <t>Niños, niñas y adolescentes atendidos</t>
  </si>
  <si>
    <t>Tasa de Suicidio  x 100.000 Habitantes en el Departamento del Quindío.
Tasa de violencia de pareja cuando la víctima está entre los 18 y 28 años 
Tasa de violencia de Género
Tasa de Violencia Intrafamiliar x 100.000 Habitantes en el Departamento del Quindío.
Tasa de Consumo de Sustancias Psicoactivas  x 100.000 Habitantes en el Departamento del Quindío.
Cobertura de adolescentes y jóvenes atendidos en Post egreso, en los servicios de restablecimiento en la administración de justicia.
Cobertura  de municipios   con  jóvenes en riesgo psicosocial impactados en los  Barrios vulnerables del Departamento del Quindío</t>
  </si>
  <si>
    <t xml:space="preserve">Implementar  la política pública de juventud </t>
  </si>
  <si>
    <t>Servicio dirigidos a la atención de niños, niñas, adolescentes y jóvenes, con enfoque pedagógico y restaurativo encaminados a la inclusión social</t>
  </si>
  <si>
    <t>Política Pública de Juventud implementada</t>
  </si>
  <si>
    <t xml:space="preserve">Implementación de  la política pública de juventud en el Departamento del Quindío  </t>
  </si>
  <si>
    <t xml:space="preserve"> Disminuir las tasa de violencia intrafamiliar,  consumo de sustancias psicoactivas y suicidio en el Departamento del Quindío a través de la revisión, ajuste e implementación la política pública de juventud con el propósito de desarrollar estrategias, programas y acciones acordes  con la normatividad y las nuevas dinámicas sociales. </t>
  </si>
  <si>
    <t>Tasa de Violencia Intrafamiliar x 100.000 Habitantes en el Departamento del Quindío.
Tasa de violencia de Género</t>
  </si>
  <si>
    <t>Rutas integrales de atención en violencia intrafamiliar y  violencia de género</t>
  </si>
  <si>
    <t>Servicio de asistencia técnica a comunidades en temas de fortalecimiento del tejido social y construcción de escenarios comunitarios protectores de derechos</t>
  </si>
  <si>
    <t>Capacitación en activación de las Rutas Integrales de Atención en Violencia Intrafamiliar y de Género, a trabajadores de Supermercados y Tenderos de los Municipios realizadas</t>
  </si>
  <si>
    <t>Acciones ejecutadas con las comunidades</t>
  </si>
  <si>
    <t xml:space="preserve"> Disminuir las tasa de violencia   intrafamiliar y de género en el Departamento del Quindío , a través de la  articulación de acciones  con aliados estratégicos para capacitar a trabajadores de Supermercados y “tenderos” de los barrios, en la activación de Rutas Integrales de Atención en Violencia Intrafamiliar y Violencia de género. </t>
  </si>
  <si>
    <t>Cobertura de atención de niños y niñas en Hogar Infantil Nocturno, hijos de trabajadoras sexuales en el Departamento del Quindío</t>
  </si>
  <si>
    <t xml:space="preserve">Atención integral a niños y niñas en primera infancia en espacios socialmente no convencionales: tiempos no convencionales </t>
  </si>
  <si>
    <t>Servicio de atención integral a la primera infancia</t>
  </si>
  <si>
    <t xml:space="preserve">Atención integral a niños y niñas en primera infancia en espacios socialmente no convencionales implementados </t>
  </si>
  <si>
    <t>Niños y niñas atendidos en servicios integrales</t>
  </si>
  <si>
    <t xml:space="preserve"> Diseño e implementación del programa comunitario para la prevención de los derechos de niños, niñas y adolescentes y su desarrollo integral. "TU Y YO COMPROMETIDOS CON LOS SUEÑOS". </t>
  </si>
  <si>
    <t xml:space="preserve"> Disminución de la Tasa de Violencia Intrafamiliar y  aumento de la cobertura de atención de niños y niñas en Hogar Infantil Nocturno, hijos de trabajadoras sexuales en el Departamento del Quindío, a través del diseño e implementación   de un programa comunitario para la   prevención y garantía de los derechos de los niños, niñas y adolescentes  buscando disminuir la violencia intrafamiliar en el departamento del Quindío en espacios socialmente no convencionales. </t>
  </si>
  <si>
    <t>Tasa de Violencia Intrafamiliar x 100.000 Habitantes en el Departamento del Quindío.
Tasa de violencia contra niños y niñas o a 5 años       
Tasa de violencia contra niños y niñas de 6 a 11 años
Tasa de violencia contra niños y niñas de 12 a 17 años
Tasa de niños, niñas y adolescentes víctimas de violencia sexual  x 100 mil habitantes   en el Departamento del Quindío
Tasa de violencia de pareja cuando la víctima está entre los 18 y 28 años 
Tasa de violencia de Género</t>
  </si>
  <si>
    <t>Servicio de divulgación para la promoción y prevención de los derechos de los niños, niñas y adolescentes</t>
  </si>
  <si>
    <t xml:space="preserve">Servicios de promoción de los derechos de los niños, niñas, adolescentes y jóvenes </t>
  </si>
  <si>
    <t>410202200</t>
  </si>
  <si>
    <t xml:space="preserve">Eventos de divulgación realizados </t>
  </si>
  <si>
    <t xml:space="preserve">Campañas de promoción realizadas </t>
  </si>
  <si>
    <t>Cobertura de adolescentes y jóvenes atendidos en Post egreso, en los servicios de restablecimiento en la administración de justicia.</t>
  </si>
  <si>
    <t>Servicios dirigidos a la atención de niños, niñas, adolescentes y jóvenes, con enfoque pedagógico y restaurativo encaminados a la inclusión social</t>
  </si>
  <si>
    <t>Niños, niñas, adolescentes y jóvenes atendidos en los servicios de restablecimiento en la administración de justicia</t>
  </si>
  <si>
    <t xml:space="preserve"> Servicio de atención Post egreso de adolescentes y jóvenes, en los servicios de restablecimiento en la administración de justicia, con enfoque pedagógico y restaurativo encaminados a la inclusión social en el  Departamento del   Quindío.</t>
  </si>
  <si>
    <t xml:space="preserve">Aumentar la cobertura de adolescentes y jóvenes atendidos en Post egreso, en los servicios de restablecimiento en la administración de justicia,  a través del desarrollo  de acciones encaminadas a reconocer, garantizar y permitir en goce efectivo de los derechos de los adolescentes y jóvenes del departamento del Quindío, promoviendo su integralidad, realización, protección y sostenibilidad. </t>
  </si>
  <si>
    <t xml:space="preserve">Cobertura de municipios del departamento apoyados con  emprendimientos juveniles </t>
  </si>
  <si>
    <t>Servicio de asistencia técnica para fortalecimiento de unidades productivas colectivas para la generación de ingresos</t>
  </si>
  <si>
    <t>Unidades productivas colectivas con asistencia técnica</t>
  </si>
  <si>
    <t>Aumentar la cobertura de municipios del departamento apoyados con  emprendimientos juveniles,   a través del fortalecimiento de los procesos de asistencia técnica en temas de formalización y comercialización.</t>
  </si>
  <si>
    <t>Cobertura para la atención al ciudadano migrante a través del plan de atención y de repatriación.</t>
  </si>
  <si>
    <t xml:space="preserve">Mecanismos de articulación implementados para la gestión de oferta social </t>
  </si>
  <si>
    <t xml:space="preserve">mecanismos de articulación implementados para la gestión de oferta social </t>
  </si>
  <si>
    <t xml:space="preserve">Aumentar la cobertura para la atención al ciudadano migrante a través del plan de atención y de repatriación </t>
  </si>
  <si>
    <t>Servicio de acompañamiento familiar y comunitario para la superación de la pobreza</t>
  </si>
  <si>
    <t>Comunidades con acompañamiento familiar.</t>
  </si>
  <si>
    <t>Disminuir  la tasa de violencia intrafamiliar en el departamento del Quindío, a través de  procesos de acompañamiento familiar y comunitario a hogares de los doce municipios en condiciones de vulnerabilidad por “violencia intrafamiliar,” a través del desarrollo de programas de Inclusión social y productivos qué les permita emprender alternativas de generación de ingresos y   mejorar   las relaciones de convivencia en el entorno familiar y social.</t>
  </si>
  <si>
    <t xml:space="preserve">Cobertura de municipios del departamento con procesos de implementación de proyectos  productivos  para las personas con discapacidad </t>
  </si>
  <si>
    <t>Servicio de apoyo para el fortalecimiento de unidades productivas colectivas para la generación de ingresos</t>
  </si>
  <si>
    <t>Unidades productivas colectivas fortalecidas</t>
  </si>
  <si>
    <t>Aumentar la cobertura de municipios del departamento con procesos de implementación de proyectos  productivos  para las personas con discapacidad, a través de la  formulación e implementación  de proyectos productivos qué garanticen a las personas con discapacidad y sus familias, ingresos económicos para satisfacer sus necesidades básicas.</t>
  </si>
  <si>
    <t xml:space="preserve">Tasa planes de vida de los cabildos  indígenas construidos e implementados </t>
  </si>
  <si>
    <t xml:space="preserve">Apoyar la construcción e Implementación de los  Planes de vida de los cabildos Indígenas asentados en el Departamento del Quindío </t>
  </si>
  <si>
    <t>Documento de lineamientos técnicos</t>
  </si>
  <si>
    <t xml:space="preserve">Planes de vida de los cabildos indígenas  construidos  e implementados </t>
  </si>
  <si>
    <t xml:space="preserve">Documentos de lineamientos técnicos elaborados </t>
  </si>
  <si>
    <t>Incrementar la tasa planes de vida de los cabildos y resguardos   indígenas construidos e implementados, por medio del apoyo en  la construcción e implementación de los  mismos, como instrumentos de planeación organización y preservación de la historia y la cultura.</t>
  </si>
  <si>
    <t>Tasa de  planes de vida de los resguardos  indígenas construidos e implementados</t>
  </si>
  <si>
    <t xml:space="preserve">Apoyar la construcción e Implementación de los  Planes de vida de los resguardos indígenas  asentados en el Departamento del Quindío </t>
  </si>
  <si>
    <t xml:space="preserve">Planes de vida de los resguardos indígenas  construidos  e implementados </t>
  </si>
  <si>
    <t>Cobertura  de población diferencial,  comunidades negras, afros raizales y Palenqueras asentadas en el departamento del Quindío con una  política pública .</t>
  </si>
  <si>
    <t>Formular e implementar la política pública para la comunidad negra, afrocolombiana, raizal y palenquera residente en el Departamento del Quindío</t>
  </si>
  <si>
    <t xml:space="preserve">Política Pública para la comunidad negra, afrocolombiana, raizal y palenquera residente en el departamento del Quindío formulada e implementada </t>
  </si>
  <si>
    <t>Aumentar la cobertura  de población diferencial,  comunidades negras, afros raizales y Palenquearas asentadas en el departamento del Quindío con una  política publicación en propósito de garantizar la protección de derechos y la atención integral  con enfoque diferencial de las comunidades.</t>
  </si>
  <si>
    <t>Atención integral de población en situación permanente de desprotección social y/o familiar "Tú y yo con atención integral"</t>
  </si>
  <si>
    <t>Servicios de atención integral a población en condición de discapacidad</t>
  </si>
  <si>
    <t>Servicio de atención integral a población en condición de discapacidad</t>
  </si>
  <si>
    <t xml:space="preserve">Personas atendidas con servicios integrales de atención </t>
  </si>
  <si>
    <t>Personas con discapacidad atendidas con servicios integrales</t>
  </si>
  <si>
    <t xml:space="preserve">Incrementar  la cobertura  de municipios del Departamento del Quindío  con programas  y banco de ayudas  para la Rehabilitación Basada en la Comunidad  RBC, a través del fortalecimiento de la capacidad  de atención integral  a población con discapacidad del departamento del Quindío. </t>
  </si>
  <si>
    <t xml:space="preserve">Estrategia de rehabilitación basada en la comunidad implementada en los municipios  </t>
  </si>
  <si>
    <t>Cobertura de municipios del departamento del Quindío, con programas de atención a la población habitante de calle.</t>
  </si>
  <si>
    <t>Servicio de articulación de oferta social para la población habitante de calle</t>
  </si>
  <si>
    <t xml:space="preserve">Servicio de atención integral al habitante de la calle </t>
  </si>
  <si>
    <t xml:space="preserve">Servicio de articulación habitante de calle implementado en los municipios </t>
  </si>
  <si>
    <t>Personas atendidas con servicios integrales</t>
  </si>
  <si>
    <t xml:space="preserve">Aumentar la cobertura de municipios del departamento del Quindío, con programas de atención a la población habitante de calle a través de la coordinación y articulación  de la oferta social para la población en condición de calle en el departamento del Quindío. </t>
  </si>
  <si>
    <t xml:space="preserve">Cobertura a los grupos de adulto mayor del departamento del Quindío en articulación con los Municipios, en el marco de garantizar estimulación física, cognitiva, emocional y social en bienestar de una vejez activa y saludable </t>
  </si>
  <si>
    <t>Servicios de atención y protección integral al adulto mayor</t>
  </si>
  <si>
    <t>Centros de protección social de día para el adulto mayor construidos y dotados</t>
  </si>
  <si>
    <t xml:space="preserve">Adultos mayores atendidos con servicios integrales </t>
  </si>
  <si>
    <t>Centros de día para el adulto mayor construidos y dotados</t>
  </si>
  <si>
    <t xml:space="preserve"> Servicio  de atención integral e inclusión para el bienestar de los adultos mayores del departamento del Quindío </t>
  </si>
  <si>
    <t>Disminuir Tasa de Suicidio  y Violencia Intrafamiliar , además del aumento de la Cobertura a los grupos de adulto mayor en programas  de estimulación física, cognitiva, emocional y social en bienestar de una vejez activa y saludable  y  en apoyo  a los   centros vida y de bienestar  con  recursos  de la  Estampilla Pro adulto Mayor  en el Departamento del Quindío.</t>
  </si>
  <si>
    <t>Cobertura  de  centros vida y centros de bienestar del adulto mayor (Legalmente constituidos)  apoyados con los recursos de la  Estampilla Pro adulto Mayor .</t>
  </si>
  <si>
    <t>Transferencia estampilla para el bienestar del adulto mayor</t>
  </si>
  <si>
    <t>Servicio de atención y protección integral al adulto mayor</t>
  </si>
  <si>
    <t>Municipios con recursos transferidos con la estampilla Departamental para el bienestar del adulto mayor</t>
  </si>
  <si>
    <t>Adultos mayores atendidos con servicios integrales</t>
  </si>
  <si>
    <t xml:space="preserve">Cobertura de Asociaciones de mujeres fortalecidas  </t>
  </si>
  <si>
    <t>Servicio de asesoría para el fortalecimiento de la Asociatividad</t>
  </si>
  <si>
    <t>170201102</t>
  </si>
  <si>
    <t>Asociaciones de mujeres fortalecidas</t>
  </si>
  <si>
    <t xml:space="preserve"> Implementación de  estrategias de acompañamiento y asesoría a las asociaciones de mujeres del departamento del Quindío</t>
  </si>
  <si>
    <t xml:space="preserve">Aumentar la cobertura de Asociaciones de mujeres fortalecidas a través de la Implementación de  estrategias de acompañamiento y asesoría a las asociaciones de mujeres del departamento del Quindío con el propósito de brindar fortalecimiento  </t>
  </si>
  <si>
    <t>Derechos fundamentales del trabajo y fortalecimiento del diálogo social. "Tú y yo con una niñez protegida"</t>
  </si>
  <si>
    <t>Tasa  de Niños, Niñas y Adolescentes qué participan en una actividad remunerada  o no  x cada 100.000 habitantes  en el departamento del Quindío</t>
  </si>
  <si>
    <t>Servicio de educación informal para la prevención integral del trabajo infantil</t>
  </si>
  <si>
    <t>Desarrollo de jornadas de capacitación, sensibilización y prevención del  trabajo infantil  y protección del adolescente en el departamento del Quindío.</t>
  </si>
  <si>
    <t xml:space="preserve">Disminuir la Tasa  de Niños, Niñas y Adolescentes qué participan en una actividad remunerada  o no  x cada 100.000 habitantes  en el departamento del Quindío a través de jornadas de capacitación, sensibilización y prevención del  trabajo infantil  y protección del adolescente en el departamento del Quindío. </t>
  </si>
  <si>
    <t>Gobierno Territorial</t>
  </si>
  <si>
    <t>Tasa de participación femenina en cargos de elección popular en el departamento del Quindío</t>
  </si>
  <si>
    <t>Iniciativas para la promoción de la participación femenina en escenarios sociales y políticos implementada.</t>
  </si>
  <si>
    <t>Estrategias para el fomento de a la participación de las mujeres en los espacios de participación política y de toma de decisión implementadas</t>
  </si>
  <si>
    <t xml:space="preserve"> Implementación del  programa de liderazgo  para la participación femenina en escenarios sociales y políticos del departamento del Quindío</t>
  </si>
  <si>
    <t xml:space="preserve">Aumentar la tasa de participación femenina en cargos de elección popular en el departamento del Quindío a través de la Implementación de un programa de liderazgo enfocado a las mujeres , con el propósito de incrementar la participación femenina en escenarios sociales y políticas </t>
  </si>
  <si>
    <t xml:space="preserve"> Implementar la política pública de equidad de género para la mujer </t>
  </si>
  <si>
    <t>Servicio de promoción de la garantía de derechos</t>
  </si>
  <si>
    <t>Política pública de la mujer y equidad de género   implementada.</t>
  </si>
  <si>
    <t>Estrategias de promoción de la garantía de derechos implementadas</t>
  </si>
  <si>
    <t xml:space="preserve">  Implementación de la política pública de equidad de género para la mujer en el Departamento del Quindío  </t>
  </si>
  <si>
    <t>Disminuir la tasa de violencia  intrafamiliar, de género y embarazos a temprana edad, así  como en  aumento de la tasas de participación femenina en cargos de elección popular y fortalecimiento de las  asociaciones de mujeres a través de acciones encaminadas a la garantía de derechos de las mujeres,  promoción de su participación en el ámbito económico, social y cultural del departamento  Quindío.</t>
  </si>
  <si>
    <t>Tasa de Suicidio  x 100.000 Habitantes en el Departamento del Quindío.
Tasa de Violencia Intrafamiliar x 100.000 Habitantes en el Departamento del Quindío.
Tasa de Consumo de Sustancias Psicoactivas  x 100.000 Habitantes en el Departamento del Quindío.
Tasa de violencia de Género</t>
  </si>
  <si>
    <t>Implementar  la política  pública de diversidad sexual e identidad de género</t>
  </si>
  <si>
    <t>Política pública de diversidad sexual e identidad de género implementada.</t>
  </si>
  <si>
    <t xml:space="preserve">Disminuir  las tasa de suicidio, violencia intrafamiliar  consumo de sustancias psicoactivas  y violencia de género en el departamento del Quindío, a través de la implementación en la política pública de diversidad sexual e identidad de género con la participación de los diferente actores qué contribuyen  de manera integral a garantizar la visibilización, inclusión y mejoramiento de las condiciones de calidad de vida de la personas sexualmente diversas. </t>
  </si>
  <si>
    <t>Casa de la Mujer Empoderada implementada</t>
  </si>
  <si>
    <t>Espacios generados para el fortalecimiento de capacidades institucionales del Estado</t>
  </si>
  <si>
    <t>Mejorar las condiciones de calidad de vida de la población, en acceso incluyente y equitativo a la oferta de servicios del Estado y la ampliación de oportunidades para los Quindianos a través de la Implementación de la Casa de la Mujer Empoderada, para la  participación  y promoción de la  mujeres en escenarios sociales, políticos y productivos en el departamento del Quindío.</t>
  </si>
  <si>
    <t>Casa Refugio de la Mujer implementada</t>
  </si>
  <si>
    <t>Implementación de la Casa Refugio de la Mujer del Departamento del Quindío</t>
  </si>
  <si>
    <t xml:space="preserve">Mejorar las condiciones de calidad de vida de la población, en acceso incluyente y equitativo a la oferta de servicios del Estado y la ampliación de oportunidades para los Quindianos a través de la implementación de la  Casa Refugia para la protección de la mujer víctima del departamento del Quindío. </t>
  </si>
  <si>
    <t>Documentos de planeación realizados</t>
  </si>
  <si>
    <t xml:space="preserve">318 SECRETARIA DE SALUD </t>
  </si>
  <si>
    <t xml:space="preserve">Inspección, vigilancia y control. "Tú y yo con salud certificada" </t>
  </si>
  <si>
    <t>Mortalidad por diarreica aguda (EDA) menores 5 años (número de muertes anual)</t>
  </si>
  <si>
    <t>Servicio de concepto sanitario</t>
  </si>
  <si>
    <t>Servicio de registro sanitario</t>
  </si>
  <si>
    <t>Conceptos sanitarios expedidos</t>
  </si>
  <si>
    <t xml:space="preserve">Fortalecimiento de la autoridad sanitaria en el Departamento del Quindío                                                                                           </t>
  </si>
  <si>
    <t>Consolidar  y desarrollar en Sistema de  vigilancia en salud pública integrado  control sanitario y de inspección vigilancia y control del sistema de salud, a través de visitas de IVC con el fin de escalar en el posicionamiento de la entidad territorial y dar cumplimiento efectivo a su misionalidad</t>
  </si>
  <si>
    <t>Tasa de mortalidad en menores de 1 año (por 1000 nacidos vivos).</t>
  </si>
  <si>
    <t>Servicio de información de vigilancia epidemiológica</t>
  </si>
  <si>
    <t>Informes de evento generados en la vigencia</t>
  </si>
  <si>
    <t>Prevalencia de niños menores de 5 años con desnutrición aguda</t>
  </si>
  <si>
    <t>Servicio de asistencia técnica en inspección, vigilancia y control</t>
  </si>
  <si>
    <t>Asistencias técnica en Inspección, Vigilancia y Control realizadas</t>
  </si>
  <si>
    <t>Mortalidad por infección respiratoria aguda (IRA) menores 5 años (número de muertes anual)</t>
  </si>
  <si>
    <t>Realizar la vigilancia epidemiológica de plaguicidas en el marco del programa VEO (vigilancia epidemiológica de organofosforados y carba matos) en los municipios de competencia departamental.</t>
  </si>
  <si>
    <t>Municipios con procesos de vigilancia epidemiológica de plaguicidas organofosforados y carbamatos realizados.</t>
  </si>
  <si>
    <t xml:space="preserve">Implementación del Modelo Operativo de Inspección, Vigilancia y Control IVC sanitario en los municipios de competencia departamental. </t>
  </si>
  <si>
    <t>Servicio de promoción, prevención, vigilancia y control de vectores y zoonosis</t>
  </si>
  <si>
    <t xml:space="preserve">Modelo de IVC sanitario operando </t>
  </si>
  <si>
    <t xml:space="preserve">Municipios categorías 4,5 y 6 que formulen y ejecuten real y efectivamente acciones de promoción, prevención, vigilancia  y control de vectores y zoonosis  realizados </t>
  </si>
  <si>
    <t>Mortalidad por dengue (casos)</t>
  </si>
  <si>
    <t>Municipios categorías 4, 5 y 6 qué formulen y ejecuten real y efectivamente acciones de promoción, prevención, vigilancia y control de vectores y zoonosis realizados</t>
  </si>
  <si>
    <t>Servicio de evaluación, aprobación y seguimiento de planes de gestión integral del riesgo</t>
  </si>
  <si>
    <t>Informes de evaluación, aprobación y seguimiento de Planes de Gestión Integral de Riesgo realizados</t>
  </si>
  <si>
    <t>Tasa mortalidad en menores de 5 años (por 1.000 nacidos vivos).</t>
  </si>
  <si>
    <t>Servicio de inspección, vigilancia y control</t>
  </si>
  <si>
    <t>visitas realizadas</t>
  </si>
  <si>
    <t>Visitas realizadas</t>
  </si>
  <si>
    <t>Porcentaje de población asegurada al SGSSS
Oportunidad en la presunción diagnóstica y tratamiento oncológico en menores de 18 años (alta y media)</t>
  </si>
  <si>
    <t>Documentos técnicos publicados y/o socializados</t>
  </si>
  <si>
    <t xml:space="preserve"> Implementación de programas de promoción social en poblaciones  especiales en el Departamento del Quindío </t>
  </si>
  <si>
    <t>Fortalecer la gestión intersectorial en salud de los grupos con alta vulnerabilidad</t>
  </si>
  <si>
    <t>Tasa de violencia de género</t>
  </si>
  <si>
    <t>Servicio de adopción y seguimiento de acciones y medidas especiales</t>
  </si>
  <si>
    <t>Acciones y medidas especiales ejecutadas</t>
  </si>
  <si>
    <t>Mortalidad por diarreica aguda (EDA) menores 5 años (número de muertes anual)
Prevalencia de niños menores de 5 años con desnutrición aguda
Índice de riesgo de la calidad de agua para consumo humano IRCA</t>
  </si>
  <si>
    <t>Servicio de análisis de laboratorio</t>
  </si>
  <si>
    <t>Análisis realizados</t>
  </si>
  <si>
    <t>Mejorar la capacidad analítica del LSP Departamental  para dar respuesta  a las necesidades del Sistema de Vigilancia en Salud Pública</t>
  </si>
  <si>
    <t>Tasa ajustada por edad de mortalidad asociada a cáncer de cuello uterino (por 100.000 mujeres).</t>
  </si>
  <si>
    <t>Servicio de auditoría y visitas inspectivas</t>
  </si>
  <si>
    <t>Auditorías y visitas inspectivas realizadas</t>
  </si>
  <si>
    <t xml:space="preserve">Informes de los resultados obtenidos en la vigilancia sanitaria </t>
  </si>
  <si>
    <t>Asistencias técnicas realizadas</t>
  </si>
  <si>
    <t xml:space="preserve"> Asistencia técnica para el fortalecimiento de la gestión de las entidades territoriales del Departamento del Quindío  </t>
  </si>
  <si>
    <t xml:space="preserve">Fortalecer los procesos de articulación y competencias territoriales en el sistema general de seguridad social en salud </t>
  </si>
  <si>
    <t>Oportunidad en la presunción diagnóstica y tratamiento oncológico en menores de 18 años (alta y media)</t>
  </si>
  <si>
    <t>Servicio de información para la gestión de la inspección, vigilancia y control sanitario</t>
  </si>
  <si>
    <t>Usuarios del sistema</t>
  </si>
  <si>
    <t>Asesoría y apoyo al proceso del sistema obligatorio de garantía de calidad de los prestadores de salud en el Departamento del Quindío</t>
  </si>
  <si>
    <t>Asegurar la implementación y cumplimiento de la totalidad de los estándares de Habilitación de acuerdo al nivel de complejidad.</t>
  </si>
  <si>
    <t>Razón de mortalidad materna (por 100.000 nacidos vivos)</t>
  </si>
  <si>
    <t>Servicio de certificaciones en buenas prácticas</t>
  </si>
  <si>
    <t>Certificaciones expedidas</t>
  </si>
  <si>
    <t>Porcentaje de atención institucional del parto por personal calificado.</t>
  </si>
  <si>
    <t>Porcentaje de población asegurada al SGSSS</t>
  </si>
  <si>
    <t>Servicios de comunicación y divulgación en inspección, vigilancia y control</t>
  </si>
  <si>
    <t>Eventos de rendición de cuentas realizados</t>
  </si>
  <si>
    <t xml:space="preserve"> Apoyo operativo a la inversión social en salud en el Departamento del Quindío </t>
  </si>
  <si>
    <t xml:space="preserve">Fortalecer los procesos estratégicos, administrativos y misionales del sector salud en el departamento del Quindío  </t>
  </si>
  <si>
    <t>Porcentaje de nacidos vivos con 4 o más controles prenatales</t>
  </si>
  <si>
    <t>Servicio del ejercicio del procedimiento administrativo sancionatorio</t>
  </si>
  <si>
    <t xml:space="preserve">Procesos con aplicación del procedimiento administrativo sancionatorio tramitados </t>
  </si>
  <si>
    <t>Porcentaje transmisión materno -infantil del VIH.</t>
  </si>
  <si>
    <t>Servicio de Gestión de Peticiones, Quejas, Reclamos y Denuncias</t>
  </si>
  <si>
    <t>Preguntas Quejas Reclamos y Denuncias Gestionadas</t>
  </si>
  <si>
    <t>Servicio de implementación de estrategias para el fortalecimiento del control social en salud</t>
  </si>
  <si>
    <t>Estrategias para el fortalecimiento del control social en salud implementadas</t>
  </si>
  <si>
    <t>Servicio de gestión del riesgo para temas de consumo, aprovechamiento biológico, calidad e inocuidad de los alimentos.</t>
  </si>
  <si>
    <t>Campañas de gestión del riesgo para temas de consumo, aprovechamiento biológico, calidad e inocuidad de los alimentos implementadas</t>
  </si>
  <si>
    <t xml:space="preserve"> Aprovechamiento biológico y consumo de  alimentos inocuos  en el Departamento del Quindío </t>
  </si>
  <si>
    <t>Disminuir o mantener la proporción de niños menores de 5 años en riesgo de desnutrición moderada o severa aguda</t>
  </si>
  <si>
    <t>Servicios de promoción de la salud y prevención de riesgos asociados a condiciones no transmisibles</t>
  </si>
  <si>
    <t>Campañas de promoción de la salud y prevención de riesgos asociados a condiciones no transmisibles implementadas</t>
  </si>
  <si>
    <t>Tasa de mortalidad por malaria.</t>
  </si>
  <si>
    <t xml:space="preserve">Servicio de educación informal en temas de salud pública </t>
  </si>
  <si>
    <t>Control en Salud Ambiental para la consecución de un estado de vida saludable de la población  del  Departamento del Quindío.</t>
  </si>
  <si>
    <t>Disminuir  los factores de riesgo sanitarios y ambientales asociados a eventos de interés en salud pública relacionados con la salud ambiental como en aumento de la carga contaminante del agua, entre otros.</t>
  </si>
  <si>
    <t>Tasa  de mujeres de 10 a 14 años qué han sido madres o están en embarazo.
Tasa de mujeres de 15 a 19 años qué han sido madres o están en embarazo.</t>
  </si>
  <si>
    <t>DNP</t>
  </si>
  <si>
    <t xml:space="preserve">Realizar seguimiento y monitoreo a las Entidades Administradoras de Planes Básicos EAPB en la implementación de la Ruta Integral de Atención para la Promoción y Mantenimiento de la Salud y Materno Perinatal en el Departamento  </t>
  </si>
  <si>
    <t>Servicio de promoción de la salud y prevención de riesgos asociados a condiciones no transmisibles (1905031)</t>
  </si>
  <si>
    <t>Entidades Administradoras de Planes Básicos EAPB con Rutas de obligatorio cumplimiento Implementadas</t>
  </si>
  <si>
    <t>Campañas de promoción de la salud  y prevención de riesgos asociados a condiciones no transmisibles implementadas (190503100)</t>
  </si>
  <si>
    <t>Formular en Plan de Fortalecimiento de Capacidades en Salud Ambiental en coordinación con el Consejo Territorial de Salud Ambiental COTSA</t>
  </si>
  <si>
    <t xml:space="preserve"> Plan de Fortalecimiento de Capacidades en Salud Ambiental Formulado </t>
  </si>
  <si>
    <t>Implementar el protocolo de vigilancia sanitaria y ambiental de los efectos en salud relacionados con la contaminación del aire en los 11 municipios de competencia departamental.</t>
  </si>
  <si>
    <t>Servicio de gestión del riesgo para abordar situaciones de salud relacionadas con condiciones ambientales</t>
  </si>
  <si>
    <t>Protocolo implementado</t>
  </si>
  <si>
    <t>Campañas de gestión del riesgo para abordar situaciones de salud relacionadas con condiciones ambientales implementadas</t>
  </si>
  <si>
    <t>Mortalidad por dengue (casos)
Letalidad por dengue.</t>
  </si>
  <si>
    <t>Formulación e implementación del Plan Departamental en Salud Ambiental de adaptación al cambio climático.</t>
  </si>
  <si>
    <t>Plan Departamental en Salud Ambiental de adaptación al cambio climático implementado</t>
  </si>
  <si>
    <t>Implementar la estrategia de entornos saludables en articulación intersectorial y sectorial en los entornos de vivienda, educativo, institucional y comunitario con énfasis en la Atención Primaria en Salud Ambiental APSA.</t>
  </si>
  <si>
    <t xml:space="preserve">Estrategia de entornos saludables en articulación intersectorial y sectorial implementada </t>
  </si>
  <si>
    <t xml:space="preserve">Implementación de la estrategia de movilidad saludable, segura y sostenible </t>
  </si>
  <si>
    <t xml:space="preserve">Estrategia de movilidad saludable, segura y sostenible   implementada </t>
  </si>
  <si>
    <t>Personas atendidas con campañas de gestión del riesgo para abordar situaciones de salud relacionadas con condiciones ambientales</t>
  </si>
  <si>
    <t xml:space="preserve">Fortalecimiento de acciones propias a los derechos sexuales y reproductivos en el Departamento del Quindío. </t>
  </si>
  <si>
    <t xml:space="preserve">Disminuir de los eventos de interés en salud pública relacionados con la salud sexual y reproductiva en especial de la mortalidad materna  </t>
  </si>
  <si>
    <t xml:space="preserve">Realizar seguimiento y Monitoreo a las Entidades Administradoras de Planes Básicos EAPB en la implementación de la Ruta Integral de Atención para la Promoción y Mantenimiento de la Salud y Materno Perinatal en el Departamento  </t>
  </si>
  <si>
    <t>Servicio de gestión del riesgo en temas de salud sexual y reproductiva (1905021)</t>
  </si>
  <si>
    <t>Campañas de gestión del riesgo en temas de salud sexual y reproductiva implementadas (190502100)</t>
  </si>
  <si>
    <t>Servicio de gestión del riesgo en temas de consumo de sustancias psicoactivas</t>
  </si>
  <si>
    <t>Campañas de gestión del riesgo en temas de consumo de sustancias psicoactivas implementadas</t>
  </si>
  <si>
    <t>Consolidación de acciones de promoción de la salud y prevención primaria en salud mental en el Departamento del Quindío.</t>
  </si>
  <si>
    <t>Disminuir la morbimortalidad asociada a la salud mental principalmente de la violencia intrafamiliar</t>
  </si>
  <si>
    <t>Adaptar e implementar la política pública de salud mental para el Departamento del Quindío</t>
  </si>
  <si>
    <t xml:space="preserve">Política pública en Salud Mental adaptada e Implementada  </t>
  </si>
  <si>
    <t xml:space="preserve">
190501501</t>
  </si>
  <si>
    <t>Planes de salud pública elaborados</t>
  </si>
  <si>
    <t>Tasa ajustada por edad de mortalidad asociada a cáncer de cuello uterino (por 100.000 mujeres).
Oportunidad en la presunción diagnóstica y tratamiento oncológico en menores de 18 años (alta y media)</t>
  </si>
  <si>
    <t>Servicio de gestión del riesgo para abordar condiciones crónicas prevalentes</t>
  </si>
  <si>
    <t>Campañas de gestión del riesgo para abordar condiciones crónicas prevalentes implementadas</t>
  </si>
  <si>
    <t>Disminuir la carga de la enfermedad asociada a las enfermedades crónicas no trasmisibles</t>
  </si>
  <si>
    <t>Cobertura de vacunación con DPT en menores de 1 año
Cobertura de vacunación con Triple Viral en niños de 1 año
Cobertura útil con esquema completo de vacunación para la edad (triple viral a los 5 años)</t>
  </si>
  <si>
    <t>Cuartos fríos adecuados</t>
  </si>
  <si>
    <t xml:space="preserve">Fortalecimiento de acciones de promoción, prevención y protección específica para la población infantil en el Departamento del Quindío.  </t>
  </si>
  <si>
    <t>Reducir la exposición a condiciones y factores de riesgo ambientales, sanitarios y biológicos, de las contingencias y daños producidos por las enfermedades transmisibles</t>
  </si>
  <si>
    <t>Cobertura útil con esquema completo de vacunación para la edad (triple viral a los 5 años)
Mortalidad por infección respiratoria aguda (IRA) menores 5 años (número de muertes anual)
Mortalidad por diarreica aguda (EDA) menores 5 años (número de muertes anual)
Tasa de mortalidad por malaria.</t>
  </si>
  <si>
    <t>Servicio de gestión del riesgo para enfermedades emergentes, reemergentes y desatendidas</t>
  </si>
  <si>
    <t>Campañas de gestión del riesgo para enfermedades emergentes, reemergentes y desatendidas implementadas.</t>
  </si>
  <si>
    <t>Servicio de gestión del riesgo para enfermedades inmunoprevenibles</t>
  </si>
  <si>
    <t>Campañas de gestión del riesgo para enfermedades inmunoprevenibles  implementadas</t>
  </si>
  <si>
    <t>Mortalidad por dengue (casos) 
Letalidad por dengue.</t>
  </si>
  <si>
    <t xml:space="preserve">Difusión de la estrategia de gestión integral y de control en vectores, zoonosis y cambio climático del Departamento del Quindío.   </t>
  </si>
  <si>
    <t xml:space="preserve"> Fortalecimiento de la inclusión social para la disminución del riesgo de contraer enfermedades transmisibles en el Departamento del Quindío.  </t>
  </si>
  <si>
    <t>Servicio de gestión del riesgo para enfermedades emergentes, reemergentes y desatendidas.</t>
  </si>
  <si>
    <t xml:space="preserve">Implementación de acciones para la contención de la pandemia Tú y Yo contra COVID </t>
  </si>
  <si>
    <t>Eficiente gestión integral del riesgo en eventos de interés en salud pública, ante la pandemia por COVID-19</t>
  </si>
  <si>
    <t>Servicios de atención en salud pública en situaciones de emergencias y desastres</t>
  </si>
  <si>
    <t xml:space="preserve">Servicio de atención en salud pública en situaciones de emergencias y desastres </t>
  </si>
  <si>
    <t>Personas en capacidad de ser atendidas</t>
  </si>
  <si>
    <t>Coordinar acciones  para la gestión integral  del riesgo en  situaciones de emergencias y desastres  en las IPS y autoridad sanitaria del departamento</t>
  </si>
  <si>
    <t>Servicio de gestión del riesgo para abordar situaciones prevalentes de origen laboral</t>
  </si>
  <si>
    <t>Campañas de gestión del riesgo para abordar situaciones prevalentes de origen laboral implementadas</t>
  </si>
  <si>
    <t xml:space="preserve"> Prevención vigilancia y control de eventos en el ámbito laboral en el Departamento del Quindío.  </t>
  </si>
  <si>
    <t xml:space="preserve">Disminuir los eventos de origen laboral en los trabajadores del sector formal del Departamento del Quindío </t>
  </si>
  <si>
    <t xml:space="preserve">Documentos de planeación en epidemiología y demografía elaborados </t>
  </si>
  <si>
    <t xml:space="preserve"> Fortalecimiento del sistema de vigilancia en salud pública en el Departamento del Quindío. </t>
  </si>
  <si>
    <t xml:space="preserve"> Aumentar los índices de cumplimiento en los indicadores de calidad, cobertura y  oportunidad del sistema de vigilancia en salud pública departamental </t>
  </si>
  <si>
    <t>Porcentaje de atención institucional del parto.</t>
  </si>
  <si>
    <t>Centros reguladores de urgencias, emergencias y desastres funcionando y dotados</t>
  </si>
  <si>
    <t xml:space="preserve">Centros reguladores de urgencias, emergencias y desastres dotados </t>
  </si>
  <si>
    <t>Centros reguladores de urgencias, emergencias y desastres dotados y funcionando.</t>
  </si>
  <si>
    <t xml:space="preserve">190500900
</t>
  </si>
  <si>
    <t>Centros reguladores de urgencias, emergencias y desastres dotados</t>
  </si>
  <si>
    <t xml:space="preserve">Fortalecimiento de la red de urgencias y emergencias en el Departamento del Quindío. </t>
  </si>
  <si>
    <t>Fortalecer en la integración de la red hospitalaria del departamento del Quindío.</t>
  </si>
  <si>
    <t>Fortalecimiento de las intervenciones colectivas y prioridades en salud pública del Departamento del Quindío- PIC</t>
  </si>
  <si>
    <t>Disminuir la morbimortalidad asociada  a la carga de la enfermedad por los determinantes sociales fortaleciendo  las acciones de complementariedad  a los municipios</t>
  </si>
  <si>
    <t xml:space="preserve">Subsidio y cofinanciación al régimen subsidiado del Sistema General de Seguridad Social en Salud en el Departamento del Quindío.  </t>
  </si>
  <si>
    <t>Aumentar la cobertura universal en aseguramiento al sistema de atención integral y para la población del Departamento del Quindío</t>
  </si>
  <si>
    <t>Cobertura de tratamiento antirretroviral</t>
  </si>
  <si>
    <t xml:space="preserve">Servicio de cofinanciación para la continuidad del  régimen subsidiado en salud  </t>
  </si>
  <si>
    <t xml:space="preserve">Servicio de tecnologías en salud financiadas con la unidad de pago por capitación - UPC </t>
  </si>
  <si>
    <t>Personas afiliadas</t>
  </si>
  <si>
    <t>Pacientes atendidos con tecnologías en salud financiados con cargo a los recursos de la UPC del Régimen Subsidiado</t>
  </si>
  <si>
    <t>Servicio de apoyo con tecnologías para prestación de servicios en salud</t>
  </si>
  <si>
    <t>Población inimputable atendida</t>
  </si>
  <si>
    <t>Pacientes atendidos con medicamentos en salud financiados con cargo a los recursos de la UPC del Régimen Subsidiado</t>
  </si>
  <si>
    <t xml:space="preserve">Mejoramiento en la prestación de los servicios de salud para la atención de la población no afiliada </t>
  </si>
  <si>
    <t>Servicios de reconocimientos para el cumplimiento de metas de calidad, financiera, producción y transferencias especiales.</t>
  </si>
  <si>
    <t xml:space="preserve">Servicio de apoyo financiero para el fortalecimiento patrimonial de las empresas prestadoras de salud con participación financiera de las entidades territoriales </t>
  </si>
  <si>
    <t>Porcentaje de recursos transferidos</t>
  </si>
  <si>
    <t>Empresas prestadoras de salud capitalizadas</t>
  </si>
  <si>
    <t>Servicios de reconocimientos de deuda</t>
  </si>
  <si>
    <t>Porcentaje de recursos pagados</t>
  </si>
  <si>
    <t>Tasa de mujeres de 15 a 19 años qué han sido madres o están en embarazo.</t>
  </si>
  <si>
    <t>Servicio de asistencia técnica a Instituciones prestadoras de servicios de salud</t>
  </si>
  <si>
    <t>Instituciones Prestadoras de Servicios de salud asistidas técnicamente</t>
  </si>
  <si>
    <t xml:space="preserve">Fortalecimiento de la red de prestación de servicios pública del Departamento del Quindío.   </t>
  </si>
  <si>
    <t>Aumento en la calidad del proceso de reporte, vigilancia y control del manejo de los recursos de salud en el Departamento del Quindío</t>
  </si>
  <si>
    <t>Cobertura útil con esquema completo de vacunación para la edad (triple viral a los 5 años)
Porcentaje de nacidos vivos con 4 o más controles prenatales</t>
  </si>
  <si>
    <t>Hospitales de primer nivel de atención dotados</t>
  </si>
  <si>
    <t>Servicio de apoyo a la prestación del servicio de transporte de pacientes</t>
  </si>
  <si>
    <t>Entidades de la red pública en salud apoyadas en la adquisición de ambulancias</t>
  </si>
  <si>
    <t>Servicio de tecnologías en salud financiadas con la unidad de pago por capitación - UPC (1906023)</t>
  </si>
  <si>
    <t>Pacientes atendidos</t>
  </si>
  <si>
    <t>324  SECRETARÍA TECNOLÓGIAS DE LA INFORMACIÓN Y COMUNICACIÓN</t>
  </si>
  <si>
    <t>Tecnologías de la información y las comunicaciones</t>
  </si>
  <si>
    <t>Facilitar en acceso y uso de las Tecnologías de la Información y las Comunicaciones (TIC)  en todo el territorio nacional.  "Tú y yo somos ciudadanos TIC"</t>
  </si>
  <si>
    <t>Tasa de crecimiento de puntos de acceso a internet gratis 
Índice Departamental de Competitividad
Tasa de Desempleo</t>
  </si>
  <si>
    <t>Servicio de acceso y uso de tecnologías de la información y las comunicaciones</t>
  </si>
  <si>
    <t>Centros de acceso comunitario en zonas urbanas funcionando</t>
  </si>
  <si>
    <t xml:space="preserve"> Fortalecimiento  y apoyo a las tecnologías de la información y las comunicaciones en el departamento del Quindío.</t>
  </si>
  <si>
    <t xml:space="preserve"> Incrementar  la Tasa de crecimiento de puntos de acceso a internet gratis  y del Índice de competitividad en el departamento del Quindío, mediante en mejoramiento de los servicio de acceso a las tecnologías de la información  y las comunicaciones </t>
  </si>
  <si>
    <t>Soluciones de conectividad en instituciones públicas instaladas</t>
  </si>
  <si>
    <t>Servicio de acceso Zonas Wifi</t>
  </si>
  <si>
    <t>Servicio de acceso zonas digitales</t>
  </si>
  <si>
    <t>Zonas Wifi en áreas rurales instaladas</t>
  </si>
  <si>
    <t>Zonas digitales en áreas rurales con redes terrestres instaladas</t>
  </si>
  <si>
    <t>Servicio de apoyo en tecnologías de la información y las comunicaciones para la educación básica, primaria y secundaria</t>
  </si>
  <si>
    <t>Relación de estudiantes por terminal de cómputo en sedes educativas oficiales</t>
  </si>
  <si>
    <t>Nivel de avance alto en el Índice de Gobierno digital
Índice Departamental de Competitividad
Tasa de Desempleo</t>
  </si>
  <si>
    <t>Servicio de educación informal en tecnologías de la información y las comunicaciones.</t>
  </si>
  <si>
    <t>Personas capacitadas en tecnologías de la información y las comunicaciones</t>
  </si>
  <si>
    <t>Incrementar  en  Índice de Gobierno digital y de competitividad, además de disminuir la tasa de desempleo en el Departamento de Quindío, a través del fortalecimiento de la apropiación tecnológica, mediante estrategias de asistencia técnica, pedagógicas qué permitan lograr el empoderamiento TIC en el Departamento</t>
  </si>
  <si>
    <t>Servicio de asistencia técnica para proyectos en Tecnologías de la Información y las Comunicaciones</t>
  </si>
  <si>
    <t>Municipios asistidos en diseño, implementación, ejecución y/ o liquidación  de proyectos</t>
  </si>
  <si>
    <t>Servicio de educación para el trabajo en temas de uso pedagógico de tecnologías de la información y las comunicaciones.</t>
  </si>
  <si>
    <t>Docentes formados en uso pedagógico de tecnologías de la información y las comunicaciones.</t>
  </si>
  <si>
    <t>Servicio de telecomunicaciones para el envío de alertas tempranas a la población.</t>
  </si>
  <si>
    <t xml:space="preserve">Disponibilidad del servicio  de telecomunicaciones para el envío de alertas tempranas a la población. </t>
  </si>
  <si>
    <t>Servicio de promoción de la industria de tecnologías de la información</t>
  </si>
  <si>
    <t xml:space="preserve">Eventos para  promoción  de productos y servicio de la industria TI realizados </t>
  </si>
  <si>
    <t xml:space="preserve"> Fortalecimiento del sector empresarial del departamento del Quindío </t>
  </si>
  <si>
    <t xml:space="preserve">Incrementar la Tasa de crecimiento de puntos de acceso a internet gratis,  en Índice Departamental de Competitividad y la Tasa de Desempleo  a través de la potencialización  del Sector Empresarial del departamento del Quindío con la  apropiación y uso de las tecnologías de la información y las comunicaciones  </t>
  </si>
  <si>
    <t>Servicio de asistencia técnica a empresas de la industria de Tecnologías de la Información para mejorar sus capacidades de comercialización e innovación</t>
  </si>
  <si>
    <t>Empresas beneficiadas con actividades de fortalecimiento  de la industria TI</t>
  </si>
  <si>
    <t>Servicio de asistencia técnica a emprendedores y empresas</t>
  </si>
  <si>
    <t>Emprendedores y empresas asistidas técnicamente</t>
  </si>
  <si>
    <t xml:space="preserve">Tasa de crecimiento de puntos de acceso a internet gratis </t>
  </si>
  <si>
    <t>Servicio de educación informal en Teletrabajo</t>
  </si>
  <si>
    <t xml:space="preserve">Personas y/o entidades (públicas y privadas) de la comunidad capacitadas en teletrabajo </t>
  </si>
  <si>
    <t>Servicio de educación informal para aumentar la calidad y cantidad de talento humano para la industria TI</t>
  </si>
  <si>
    <t>Personas capacitadas en programas informales de Tecnologías de la Información</t>
  </si>
  <si>
    <t>3903</t>
  </si>
  <si>
    <t xml:space="preserve">Desarrollo tecnológico e innovación para el crecimiento empresarial </t>
  </si>
  <si>
    <t>Tasa de crecimiento de empresas en el sector productivo transformadas digitalmente</t>
  </si>
  <si>
    <t>Servicio de apoyo para la transferencia de conocimiento y tecnología</t>
  </si>
  <si>
    <t>390300501</t>
  </si>
  <si>
    <t>Nuevas tecnologías adoptadas</t>
  </si>
  <si>
    <t xml:space="preserve">   Implementación de la transformación digital del sector empresarial en el Departamento del Quindío  </t>
  </si>
  <si>
    <t xml:space="preserve">Incrementar la tasa de crecimiento de empresas en el sector productivo transformadas digitalmente,  a través de  la apropiación de herramientas digitales, qué les  permitan ser competitivos en los diferentes sectores </t>
  </si>
  <si>
    <t>390300507</t>
  </si>
  <si>
    <t>Start up generadas</t>
  </si>
  <si>
    <t>390300511</t>
  </si>
  <si>
    <t>Conocimiento tecnológico adquirido</t>
  </si>
  <si>
    <t>Incremento de emprendimientos y/o empresas de base tecnológica</t>
  </si>
  <si>
    <t>Servicios de comunicación con enfoque en ciencia tecnología y sociedad</t>
  </si>
  <si>
    <t>Juguetes, juegos o videojuegos para la comunicación de la ciencia, tecnología e innovación producidos</t>
  </si>
  <si>
    <t xml:space="preserve">  Implementación  y  divulgación de la estrategia    "Quindío innovador y competitivo"   </t>
  </si>
  <si>
    <t xml:space="preserve"> Incrementar  los  emprendimientos y/o empresas de base tecnológica a través de la implementación de una estrategia de  promoción de la  cultura  de la innovación  y gestión del  conocimiento. </t>
  </si>
  <si>
    <t>Nivel de avance alto en el Índice de Gobierno digital</t>
  </si>
  <si>
    <t>Desarrollos digitales</t>
  </si>
  <si>
    <t>Productos digitales desarrollados</t>
  </si>
  <si>
    <t xml:space="preserve"> Fortalecimiento de la estrategia de gobierno digital  en la Administración Departamental y  Entes Territoriales del departamento del  Quindío  </t>
  </si>
  <si>
    <t xml:space="preserve">Incrementar  Índice de Gobierno digital de la Administración departamental  y los Entes territoriales del Quindío generando condiciones de gobernanza, participación comunitaria y administraciones  eficientes </t>
  </si>
  <si>
    <t>Servicio de educación informal para la implementación de la estrategia de gobierno digital</t>
  </si>
  <si>
    <t>Personas capacitadas para la implementación de la Estrategia de Gobierno digital</t>
  </si>
  <si>
    <t>Servicio de educación informal en Gestión TI y en Seguridad y Privacidad de la Información</t>
  </si>
  <si>
    <t>Personas capacitadas en Gestión TI y en Seguridad y Privacidad de la Información</t>
  </si>
  <si>
    <t>Documentos de evaluación</t>
  </si>
  <si>
    <t>Documentos de evaluación de programas enfocados en generar competencias TIC</t>
  </si>
  <si>
    <t>Documentos metodológicos</t>
  </si>
  <si>
    <t>Documento metodológico del modelo de acompañamiento para la implementación de la Estrategia de Gobierno digital elaborado</t>
  </si>
  <si>
    <t>TOTAL ADMINISTRACIÓN CENTRAL:</t>
  </si>
  <si>
    <t xml:space="preserve">319 INDEPORTES QUINDÍO </t>
  </si>
  <si>
    <t>Cobertura de municipios qué participan en programas de recreación, actividad física y deporte social y comunitario en el Departamento del Quindío.
Tasa de consumo de sustancias psicoactivas X100.000 habitantes en el Departamento del Quindío</t>
  </si>
  <si>
    <t>Servicio de Escuelas Deportivas</t>
  </si>
  <si>
    <t>Municipios con Escuelas Deportivas</t>
  </si>
  <si>
    <t>Fortalecimiento, hábitos y estilos de vida saludable como instrumento SALVAVIDAS en el departamento del Quindío</t>
  </si>
  <si>
    <t xml:space="preserve">Incrementar la cobertura de municipios qué participan en programas de recreación, actividad física, deporte social y comunitario, además de la  disminución de las tasas de sustancias psicoactivas en el Departamento del Quindío,  a través   participación y promoción de actividades físicas, deportivas y recreativas. </t>
  </si>
  <si>
    <t>Servicio de promoción de la actividad física, la recreación y el deporte</t>
  </si>
  <si>
    <t>Municipios vinculados al programa Supérate-Intercolegiados</t>
  </si>
  <si>
    <t>430103704</t>
  </si>
  <si>
    <t>Municipios implementando  programas de recreación, actividad física y deporte social comunitario</t>
  </si>
  <si>
    <t>Formular e  implementar una  política pública para el desarrollo y acceso al deporte, la recreación, la actividad física, la educación física y en uso adecuado del tiempo libre, como ejes de transformación humana y social en el departamento del Quindío</t>
  </si>
  <si>
    <t>Documentos normativos</t>
  </si>
  <si>
    <t>Política pública formulada e implementada</t>
  </si>
  <si>
    <t>Documentos normativos realizados</t>
  </si>
  <si>
    <t>Formación y preparación de deportistas. "Tú y yo campeones"</t>
  </si>
  <si>
    <t>Servicio de asistencia técnica para la promoción del deporte</t>
  </si>
  <si>
    <t xml:space="preserve">Organismos deportivos asistidos </t>
  </si>
  <si>
    <t>Fortalecimiento al deporte competitivo y de altos logros "TU Y    YO SOMOS SALVAVIDAS POR UN QUINDIO GANADOR" en el Departamento del Quindío</t>
  </si>
  <si>
    <t xml:space="preserve">Incrementar la cobertura de municipios qué participan en programas de recreación, actividad física , deporte social y comunitario, además de la  disminución de las tasas de sustancias psicoactivas en el Departamento del Quindío, a través  de  la definición de  nuevas metodologías para el desarrollo del deporte formativo y competitivo  </t>
  </si>
  <si>
    <t>Servicio de organización de eventos deportivos de alto rendimiento</t>
  </si>
  <si>
    <t>Juegos Deportivos Realizados</t>
  </si>
  <si>
    <t>Eventos deportivos de alto rendimiento con sede en Colombia realizados</t>
  </si>
  <si>
    <t>Desarrollo de los  XXII JUEGOS DEPORTIVOS NACIONALES Y VI JUEGOS PARANACIONALES   2023</t>
  </si>
  <si>
    <t xml:space="preserve">Incrementar la cobertura de municipios qué participan en programas de recreación, actividad física , deporte social y comunitario, además de la  disminución de las tasas de sustancias psicoactivas en el Departamento del Quindío, a través de la participación deportiva y organización de eventos multideportivos  </t>
  </si>
  <si>
    <t xml:space="preserve">Infraestructura  deportiva y/o recreativa con procesos   constructivos, mejorados,  ampliados, mantenidos y/o  reforzados </t>
  </si>
  <si>
    <t xml:space="preserve">Infraestructura   deportiva y/o recreativa construida, mejorada, ampliada, mantenida, y/o  reforzada </t>
  </si>
  <si>
    <t>Mantenimiento de obras complementarias de la infraestructura  deportiva y recreativa en el Departamento del Quindío.</t>
  </si>
  <si>
    <t>Incrementar la cobertura de municipios qué participan en programas de recreación, actividad física y deporte social y comunitario en el Departamento del Quindío, a través del   mantenimiento de obras complementarias de infraestructura deportiva y recreativa en el Departamento del Quindío con el propósito de generar espacio para la utilización del tiempo libre.</t>
  </si>
  <si>
    <t>Mantenimiento de obras complementarias en la Infraestructura educativa en el Departamento del Quindío.</t>
  </si>
  <si>
    <t>Incrementar las tasas de cobertura bruta en preescolar, educación básica y media, a través de esfuerzos interinstitucionales para realizar  obras complementarias en  Infraestructura educativa  mantenida, en el Departamento del Quindío.</t>
  </si>
  <si>
    <t xml:space="preserve">índice de competitividad  en el sector de infraestructura vial </t>
  </si>
  <si>
    <t xml:space="preserve"> Mantenimiento de obras complementarias a la infraestructura vial en el Departamento del Quindío</t>
  </si>
  <si>
    <t>Incrementar en índice de competitividad  en el sector de infraestructura vial,    a través de obras físicas complementarias, garantizando condiciones de eficiencia, seguridad y confort a los a sus usuarios</t>
  </si>
  <si>
    <t xml:space="preserve">Servicio de asistencia técnica y jurídica en saneamiento y titulación de predios </t>
  </si>
  <si>
    <t>400100100</t>
  </si>
  <si>
    <t>Entidades territoriales asistidas técnica y jurídicamente</t>
  </si>
  <si>
    <t xml:space="preserve">Apoyo en la formulación y ejecución de proyectos de vivienda en el Departamento del Quindío  </t>
  </si>
  <si>
    <t>Disminuir en déficit cualitativo cuantitativo  de viviendas por hogares, a través de procesos de apoyo  en la formulación y ejecución de proyectos de vivienda,  con el ánimo de garantizar el derecho a la salud, a entornos saludables de los hogares de menores ingresos y a mejorar la calidad de vida de los quindianos.</t>
  </si>
  <si>
    <t>Déficit cuantitativo de viviendas por hogares</t>
  </si>
  <si>
    <t xml:space="preserve">Viviendas de Interés Prioritario urbanas construidas </t>
  </si>
  <si>
    <t>400101700</t>
  </si>
  <si>
    <t>Viviendas de Interés Prioritario urbanas construidas</t>
  </si>
  <si>
    <t xml:space="preserve">Viviendas de Interés Prioritario urbanas mejoradas </t>
  </si>
  <si>
    <t>400101800</t>
  </si>
  <si>
    <t>Viviendas de Interés Prioritario urbanas mejoradas</t>
  </si>
  <si>
    <t>Estudios de preinversión e inversión</t>
  </si>
  <si>
    <t>400103000</t>
  </si>
  <si>
    <t>Servicio de apoyo financiero para adquisición de vivienda</t>
  </si>
  <si>
    <t>Equipamientos construidos</t>
  </si>
  <si>
    <t>4001014</t>
  </si>
  <si>
    <t>Viviendas de Interés Social urbanas construidas</t>
  </si>
  <si>
    <t>400101400</t>
  </si>
  <si>
    <t>4001015</t>
  </si>
  <si>
    <t>321 INSTITUTO DEPARTAMENTAL DE TRANSITO</t>
  </si>
  <si>
    <t>Seguridad de Transporte. "Tú y yo seguros en la vía"</t>
  </si>
  <si>
    <t>Tasa de lesionados por siniestros viales por cada 100 habitantes.
Tasa de fallecidos por siniestros viales por cada 100 habitantes.</t>
  </si>
  <si>
    <t>Formular e Implementar una estrategia de movilidad saludable, segura y sostenible.</t>
  </si>
  <si>
    <t>Servicio de promoción y difusión para la seguridad de transporte</t>
  </si>
  <si>
    <t xml:space="preserve">Estrategia de movilidad saludable, segura y sostenible  formulada e implementada </t>
  </si>
  <si>
    <t xml:space="preserve">Estrategias implementadas </t>
  </si>
  <si>
    <t>Implementación del programa de seguridad vial en el Departamento del Quindío  "TU Y YO POR LA SEGURIDAD VIAL"</t>
  </si>
  <si>
    <t>Disminuir las tasa de lesionados por siniestros viales y fallecidos por siniestros viales  a través de acciones de fortalecimiento de la seguridad vial en el Departamento del Quindío.</t>
  </si>
  <si>
    <t>Formular e Implementar un programa de formación en normas de tránsito y fomento de cultura  de la seguridad en la vía.</t>
  </si>
  <si>
    <t xml:space="preserve">Servicio de educación informal en seguridad vial </t>
  </si>
  <si>
    <t>Programa de formación cultural  de la seguridad en la vía formulado e implementado.</t>
  </si>
  <si>
    <t>Programa de control y atención del tránsito y en transporte formulado e implementado</t>
  </si>
  <si>
    <t>Diseñar e Implementar un programa de señalización y demarcación en los municipios y vías de jurisdicción del IDTQ.</t>
  </si>
  <si>
    <t>Vías con dispositivos de control y señalización</t>
  </si>
  <si>
    <t>Programa de Señalización y demarcación en los municipios y vías de jurisdicción del IDTQ diseñado e Implementado</t>
  </si>
  <si>
    <t xml:space="preserve">Demarcación horizontal longitudinal realizada </t>
  </si>
  <si>
    <t>TOTAL POAI:</t>
  </si>
  <si>
    <t xml:space="preserve">Programa de saneamiento fiscal y financiero ejecutado </t>
  </si>
  <si>
    <t>Rendición de cuentas realizadas</t>
  </si>
  <si>
    <t>Programa de saneamiento fiscal y financiero ejecutado</t>
  </si>
  <si>
    <t>Mantenimiento  de la infraestructura institucional o de edificios públicos en el Departamento del Quindío</t>
  </si>
  <si>
    <t xml:space="preserve"> Implementación  de acciones con los Entes Municipales, para la reducción de los delitos en el Departamento del Quindío</t>
  </si>
  <si>
    <t xml:space="preserve">Fortalecimiento institucional de la entidades municipales para la consolidación de la convivencia, el orden público  y la seguridad ciudadana  en el departamento del Quindío  </t>
  </si>
  <si>
    <t>Gestión del riesgo de desastres y emergencias. "Tú y yo preparados en gestión del riesgo"</t>
  </si>
  <si>
    <t>Municipios con organismos de Acción Comunal fortalecidos.</t>
  </si>
  <si>
    <t xml:space="preserve">Servicio de información para el sector artístico y cultural </t>
  </si>
  <si>
    <t>Sistema de información del sector artístico cultural en operación</t>
  </si>
  <si>
    <t>Servicio de asistencia técnica a las MiPymes para el acceso a nuevos mercados</t>
  </si>
  <si>
    <t>Servicio de educación informal en el marco de la conservación de la biodiversidad y los Servicio ecosistémicos</t>
  </si>
  <si>
    <t>Calidad y fomento de la Educación "Tú y yo preparados para la educación superior"</t>
  </si>
  <si>
    <t>Ciencia, Tecnología e Innovación</t>
  </si>
  <si>
    <t xml:space="preserve"> Diseño e implementación de un  Modelo de  atención integral a la primera infancia  a través de las Rutas Integrales de Atención  RIA en el Departamento del  Quindío </t>
  </si>
  <si>
    <t>Fomento del desarrollo de aplicaciones, software y contenidos para impulsar la apropiación de las Tecnologías de la Información y las Comunicaciones (TIC) "Quindío paraíso empresarial TIC-Quindío TIC"</t>
  </si>
  <si>
    <t>Estrategias de promoción de la cultura ciudadana implementadas</t>
  </si>
  <si>
    <t>Formular e Implementar un programa de control, prevención y atención del tránsito y el transporte en los municipios y vías de jurisdicción del IDTQ.</t>
  </si>
  <si>
    <t xml:space="preserve"> 1 de 1</t>
  </si>
  <si>
    <t xml:space="preserve">Banco de Programas y Proyectos del Departamento  con Procesos de fortalecimiento. </t>
  </si>
  <si>
    <t>Cobertura  de municipios del departamento del Quindío  atendidos con estudios y/o construcción de obras   para mitigación y atención a desastres realizadas.
Porcentaje de Ecosistemas protegidos y/o en procesos de restauración en el Departamento.</t>
  </si>
  <si>
    <t>Inclusión social y reconciliación</t>
  </si>
  <si>
    <t>Atención integral de población en situación permanente de desprotección social y/o familiar. "Tú y yo con atención integral"</t>
  </si>
  <si>
    <t>Cobertura de municipios del departamento con procesos de implementación de proyectos productivos para las personas con discapacidad.</t>
  </si>
  <si>
    <t>Centros de atención integral para personas con discapacidad construidos y dotados</t>
  </si>
  <si>
    <t>Centros de atención integral para personas con discapacidad construidos y dotados.</t>
  </si>
  <si>
    <t>Centros de atención integral para personas con Discapacidad construidos y dotados</t>
  </si>
  <si>
    <t xml:space="preserve">Centros de atención integral para personas con discapacidad construidos y dotados </t>
  </si>
  <si>
    <t>Plantas de beneficio animal adecuadas</t>
  </si>
  <si>
    <t>Plazas de mercado adecuadas</t>
  </si>
  <si>
    <t xml:space="preserve">Plantas de beneficio animal adecuadas </t>
  </si>
  <si>
    <t>.Cobertura en formación artística y cultural
.Tasa de consumo de sustancias psicoactivas por 100.000 habitantes en el departamento del Quindío.</t>
  </si>
  <si>
    <t>Tasa de participación en procesos y actividades artísticas y culturales.
Tasa de consumo de sustancias psicoactivas por 100.000 habitantes en el departamento del Quindío.</t>
  </si>
  <si>
    <t>Tasa de lectura
Tasa de consumo de sustancias psicoactivas por 100.000 habitantes en el departamento del Quindío.</t>
  </si>
  <si>
    <t>Tasa de cumplimiento al Plan de Biocultura en patrimonio y del PCC.
Tasa de consumo de sustancias psicoactivas por 100.000 habitantes en el departamento del Quindío.</t>
  </si>
  <si>
    <t>Cobertura  de municipios   con  jóvenes en riesgo psicosocial impactados en los  barrios vulnerables del Departamento del Quindío</t>
  </si>
  <si>
    <t>Cobertura de municipios atendidos  con el Banco de ayudas técnicas NO POS tipo Estándar, para las personas con discapacidad .</t>
  </si>
  <si>
    <t>Cobertura  de municipios del Departamento del Quindío  con el   Programas  de Rehabilitación Basada en la Comunidad  RBC</t>
  </si>
  <si>
    <t xml:space="preserve">Tasa de participación femenina en cargos de elección popular en el departamento del Quindío </t>
  </si>
  <si>
    <t>Tasa de violencia de Género</t>
  </si>
  <si>
    <t>Cobertura de ligas apoyadas en el departamento del Quindío.
Porcentaje de medallería del departamento del Quindío en los Juegos Nacionales.</t>
  </si>
  <si>
    <t xml:space="preserve">Apoyo en  la articulación de la  oferta social para la población habitante de calle del departamento del Quindío  </t>
  </si>
  <si>
    <t xml:space="preserve">Implementación del plan departamental para el manejo empresarial de los servicios de agua y saneamiento básico en el Departamento del Quindío  </t>
  </si>
  <si>
    <t xml:space="preserve">Implementación acciones de fortalecimiento  de los entornos protectores de los jóvenes en barrios vulnerables de los municipios, del Departamento del Quindío. </t>
  </si>
  <si>
    <t xml:space="preserve">Implementación de procesos productivos agropecuarios familiares campesinos en busca de la soberanía y seguridad alimentaria en el Departamento del Quindío </t>
  </si>
  <si>
    <t xml:space="preserve">Implementación de procesos de agro industrialización con calidad e inocuidad en el Departamento del Quindío </t>
  </si>
  <si>
    <t xml:space="preserve"> Fortalecimiento de las actividades de vigilancia y control del laboratorio de salud pública en el Departamento del Quindío</t>
  </si>
  <si>
    <t xml:space="preserve">Prevención, preparación, contingencia, mitigación y superación de emergencias y contingencias por eventos relacionados con la salud pública en el Departamento del Quindío.  </t>
  </si>
  <si>
    <t>Prestación de Servicios a la Población no Afiliada al Sistema General de Seguridad Social en Salud y en el NO POS a la Población del Régimen Subsidiado.</t>
  </si>
  <si>
    <t xml:space="preserve">Implementación de procesos de  sanidad e inocuidad alimentaria en el departamento del Quindío. </t>
  </si>
  <si>
    <t xml:space="preserve">Desarrollo de un  programa  de acompañamiento  familiar y comunitario  en procesos de Inclusión social y productivos para el emprendimiento de  alternativas de generación de ingresos  en el departamento del Quindío  </t>
  </si>
  <si>
    <t xml:space="preserve">Formulación e implementación   de proyectos productivos  dirigidos a  la población en condición  de  discapacidad y sus familias para la generación de  ingresos  y fortalecimiento del entorno familiar.  </t>
  </si>
  <si>
    <t xml:space="preserve">Formulación  e Implementación del  programa departamental para atención al ciudadano migrante y de repatriación.  </t>
  </si>
  <si>
    <t xml:space="preserve">Apoyo en la construcción e Implementación de los Planes de Vida de los Cabildos y Resguardos indígenas  asentados en el Departamento del Quindío "TU Y YO UNIDOS CON DIGNIDAD".  </t>
  </si>
  <si>
    <t xml:space="preserve">Formulación e implementación de la política pública para la comunidad negra, afrocolombiana, raizal y palenquera residente en el Departamento del Quindío   </t>
  </si>
  <si>
    <t xml:space="preserve">Servicio de atención integral a población en condición de discapacidad en los municipios del Departamento del Quindío "TU Y YO JUNTOS EN LA INCLUSIÓN". </t>
  </si>
  <si>
    <t xml:space="preserve">Fortalecimiento  de unidades productivas colectivas  juveniles para la generación de ingresos  en el departamento del Quindío  </t>
  </si>
  <si>
    <t>Registros sanitarios expedidos</t>
  </si>
  <si>
    <t>Implementación de un programa  de protección del  patrimonio ambiental  en paisaje la biodiversidad y sus servicios ecosistémicos en el Departamento de  Quindio</t>
  </si>
  <si>
    <t>Implementación  de acciones de Gestión del Cambio Climático en el marco del PIGCC en el Departamento del Quindío  Quindio</t>
  </si>
  <si>
    <t>Generación de estilos de vida saludable y control y vigilancia en la gestión del riesgo de condiciones no transmisibles en el  Departamento del Quindío.</t>
  </si>
  <si>
    <t xml:space="preserve">  Implementación de  métodos  para la resolución de conflictos y el  fortalecimiento de la seguridad de los ciudadanos en el Departamento del Quindío  </t>
  </si>
  <si>
    <t>FUENTES DE FINANCIACIÓN</t>
  </si>
  <si>
    <t xml:space="preserve">MONOPOLIO EDUCACIÓN, SALUD Y DEPORTE  </t>
  </si>
  <si>
    <t>NACIÓN  - ANTICONTRABANDO -ESTUPEFACIENTES</t>
  </si>
  <si>
    <t>Incrementar el Índice de Gestión y Desempeño de la Administración Departamental,  a través del fortalecimiento de las  capacidades institucionales de la Secretaría Administrativa conforme al alcance del Modelo Integrado de Planeación y Gestión, generando condiciones de gobernanza territorial eficiente y transparente</t>
  </si>
  <si>
    <t>Secretaría Administrativa</t>
  </si>
  <si>
    <t>Liderazgo, Gobernabilidad y Transparecia</t>
  </si>
  <si>
    <t>Secretaría de Planeación</t>
  </si>
  <si>
    <t>Secretaría de Hacienda y Finanzas Públicas</t>
  </si>
  <si>
    <t>Secretaría de Aguas e Infraestructura</t>
  </si>
  <si>
    <t>Inclusión Social y Equidad</t>
  </si>
  <si>
    <t>Productividad y Competitividad</t>
  </si>
  <si>
    <t>Territorio, Ambiente y Desarrollo Sostenible</t>
  </si>
  <si>
    <t>Secretaría del Interior</t>
  </si>
  <si>
    <t>Secretaría de Cultura</t>
  </si>
  <si>
    <t>Inclusión social y Equidad</t>
  </si>
  <si>
    <t>Secretaría de Turismo Industria y Comercio</t>
  </si>
  <si>
    <t>Secretaría de Agricultura Desarrollo Rural y Medio Ambiente</t>
  </si>
  <si>
    <t>Secretaría de Educación</t>
  </si>
  <si>
    <t>Secretaría de Familia</t>
  </si>
  <si>
    <t>Liderazgo, Gobernabilidad y Transparencia</t>
  </si>
  <si>
    <t>META PRODUCTO</t>
  </si>
  <si>
    <t>PROGRAMADA 
VIGENCIA 2022</t>
  </si>
  <si>
    <t>Secretaría de Salud</t>
  </si>
  <si>
    <t>307 SECREATRÍA DE HACIENDA</t>
  </si>
  <si>
    <t>CÓDIGO
PDD</t>
  </si>
  <si>
    <t>NOMBRE PDD</t>
  </si>
  <si>
    <t xml:space="preserve">PROGRAMA CATÁLOGO MGA </t>
  </si>
  <si>
    <t xml:space="preserve">Instituto Departamental de Tránsito del Quindío </t>
  </si>
  <si>
    <t>Vivienda, ciudad y territorio</t>
  </si>
  <si>
    <t>Prestación de servicios de salud. "Tú y yo con servicios de salud"</t>
  </si>
  <si>
    <t>Aseguramiento y prestación integral de servicios de salud</t>
  </si>
  <si>
    <t>CÓDIGO CATÁLOGO MGA</t>
  </si>
  <si>
    <t>Fortalecimiento de la educación media para la articulación con la educación superior o terciaria. "Tú y yo preparados para la educación superior"</t>
  </si>
  <si>
    <t xml:space="preserve">Calidad y fomento de la educación superior </t>
  </si>
  <si>
    <t>Desarrollo integral de la primera infancia a la juventud, y fortalecimiento de las capacidades de las familias de niñas, niños y adolescentes</t>
  </si>
  <si>
    <t>Facilitar el acceso y uso de las Tecnologías de la Información y las Comunicaciones en todo el territorio nacional</t>
  </si>
  <si>
    <t>Fortalecimiento del buen gobierno para el respeto y garantía de los derechos humanos</t>
  </si>
  <si>
    <t>Participación ciudadana y política y respeto por los derechos humanos y diversidad de creencias. "Quindío integrado y participativo"</t>
  </si>
  <si>
    <t>Prevención y atención de desastres y emergencias. "Tú y yo preparados en gestión del riesgo"</t>
  </si>
  <si>
    <t>Gestión del riesgo de desastres y emergencias</t>
  </si>
  <si>
    <t>Fortalecimiento de la gestión y desempeño institucional. “Quindío con una administración al servicio de la ciudadanía"</t>
  </si>
  <si>
    <t xml:space="preserve">Fortalecimiento a la gestión y dirección de la administración pública territorial </t>
  </si>
  <si>
    <t>Agrucultura y desarrollo rural</t>
  </si>
  <si>
    <t>Promoción al acceso a la justicia</t>
  </si>
  <si>
    <t>Promoción de los métodos de resolución de conflictos</t>
  </si>
  <si>
    <t>Sistema penitenciario y carcelario en el marco de los derechos humanos</t>
  </si>
  <si>
    <t>Inclusión productiva de pequeños productores rurales</t>
  </si>
  <si>
    <t>Servicios financieros y gestión del riesgo para las actividades agropecuarias y rurales</t>
  </si>
  <si>
    <t>Ordenamiento social y uso productivo del territorio rural</t>
  </si>
  <si>
    <t>Aprovechamiento de mercados externos</t>
  </si>
  <si>
    <t xml:space="preserve">Sanidad agropecuaria e inocuidad agroalimentaria </t>
  </si>
  <si>
    <t>Ciencia, tecnología e innovación agropecuaria</t>
  </si>
  <si>
    <t>Infraestructura productiva y comercialización</t>
  </si>
  <si>
    <t>Inspección, vigilancia y control</t>
  </si>
  <si>
    <t>Salud pública</t>
  </si>
  <si>
    <t>Calidad, cobertura y fortalecimiento de la educación inicial, prescolar, básica y media</t>
  </si>
  <si>
    <t>Fomento del desarrollo de aplicaciones, software y contenidos para impulsar la apropiación de las Tecnologías de la Información y las Comunicaciones (TIC)</t>
  </si>
  <si>
    <t xml:space="preserve">Infraestructura red vial regional </t>
  </si>
  <si>
    <t>Seguridad de transporte</t>
  </si>
  <si>
    <t>Fortalecimiento del desempeño ambiental de los sectores productivos</t>
  </si>
  <si>
    <t>Conservación de la biodiversidad y sus servicios ecosistémicos</t>
  </si>
  <si>
    <t xml:space="preserve">Gestión de la información y el conocimiento ambiental </t>
  </si>
  <si>
    <t xml:space="preserve">Ordenamiento ambiental territorial </t>
  </si>
  <si>
    <t>Gestión del cambio climático para un desarrollo bajo en carbono y resiliente al clima</t>
  </si>
  <si>
    <t>Promoción y acceso efectivo a procesos culturales y artísticos</t>
  </si>
  <si>
    <t>Gestión, protección y salvaguardia del patrimonio cultural colombiano</t>
  </si>
  <si>
    <t xml:space="preserve">Productividad y competitividad de las empresas colombianas </t>
  </si>
  <si>
    <t>Generación y formalización del empleo</t>
  </si>
  <si>
    <t>Derechos fundamentales del trabajo y fortalecimiento del diálogo social</t>
  </si>
  <si>
    <t>Acceso a soluciones de vivienda</t>
  </si>
  <si>
    <t>Acceso de la población a los servicios de agua potable y saneamiento básico</t>
  </si>
  <si>
    <t>Atención, asistencia  y reparación integral a las víctimas</t>
  </si>
  <si>
    <t xml:space="preserve">Inclusión social y productiva para la población en situación de vulnerabilidad </t>
  </si>
  <si>
    <t>Atención integral de población en situación permanente de desprotección social y/o familiar</t>
  </si>
  <si>
    <t>Fortalecimiento de la convivencia y la seguridad ciudadana</t>
  </si>
  <si>
    <t>Fomento a la recreación, la actividad física y el deporte para desarrollar entornos de convivencia y paz</t>
  </si>
  <si>
    <t>Generación de una cultura que valora y gestiona el conocimiento y la innovación</t>
  </si>
  <si>
    <t xml:space="preserve">Salud pública </t>
  </si>
  <si>
    <t>Desarrollo tecnológico e innovación para crecimiento empresarial</t>
  </si>
  <si>
    <t>Formación y preparación de deportistas</t>
  </si>
  <si>
    <t xml:space="preserve">SGP EDUCACIÓN - CONECTIVIDAD -
</t>
  </si>
  <si>
    <t>OTROS (FDO. SEGURIDAD - ACPM- IVA TELEFONIA MÓVIL  - IMP. REGISTRO- R.O. IDTQ)</t>
  </si>
  <si>
    <t>RENTAS CEDIDAS - SALUD - DEPORTE -</t>
  </si>
  <si>
    <t xml:space="preserve">ESTAMPILLAS 
PRO - CULTURA
PRO - ADULTO MAYOR
PRO - DESARROLLO
PRO - DEPORTE
 </t>
  </si>
  <si>
    <t>FORMATO</t>
  </si>
  <si>
    <t>PLAN DE DESARROLLO 2020-2023 "TÚ Y YO SOMOS QUINDIO "</t>
  </si>
  <si>
    <t>TOTAL ENTES DESCENTRALIZADOS</t>
  </si>
  <si>
    <t>Valor</t>
  </si>
  <si>
    <t>Total Inversión</t>
  </si>
  <si>
    <t>Planeación</t>
  </si>
  <si>
    <t>Aguas e Infraestructura</t>
  </si>
  <si>
    <t>Interior</t>
  </si>
  <si>
    <t>Turismo Industria y Comercio</t>
  </si>
  <si>
    <t>Familia</t>
  </si>
  <si>
    <t>Salud</t>
  </si>
  <si>
    <t>Construcción y dotación centro de atención integral para personas con discapacidad en el Departamento del Quindío+</t>
  </si>
  <si>
    <t>Adecuación planta de beneficio animal en el Departamento del Quindío</t>
  </si>
  <si>
    <t>Adecuación plaza de mercado en el Departamento del Quindío</t>
  </si>
  <si>
    <t xml:space="preserve"> Construir y dotar el Centro de Atención Integral para personas con discapacidad, con el propósito de contar con un espacio para la
atención especializada a la población en situación permanente de desprotección social y/o familiar, conducente a mejorar las
condiciones de calidad de vida de la población y su entorno familiar.</t>
  </si>
  <si>
    <t>Mejoramiento de la competitividad del  departamento como destino turístico  sostenible y de calidad .</t>
  </si>
  <si>
    <t xml:space="preserve">Implementación de la Casa  de la Mujer Empoderada para la promoción a la participación ciudadana  de Mujeres en escenarios sociales, políticos y en fortalecimiento de la asociatividad  en el departamento del Quindío " TU Y YO CON LAS MUJERES EMPODERADAS." </t>
  </si>
  <si>
    <t>Asistencia y apropiación tecnológica y generacional en el departamento del Quindio</t>
  </si>
  <si>
    <t>Adecuar una planta de beneficio animal con el propósito de fortalecer la productividad y competitividad pecuaria sostenible, para el mejoramiento de la calidad, inocuidad y sanidad de los productos, para su mercadeo y comercialización, en el Departamento del Quindío</t>
  </si>
  <si>
    <t>Adecuar una plaza de mercado, con el propósito de brindar un espacio en optimas condiciones que permita la comercilaizacion de productos agropecuarios permitiendo la generacion de ingresos   sostenible a los pequeños productores del   Departaemnto del Quindio.</t>
  </si>
  <si>
    <t>Proyecta Empresa para el Desarrollo Territorial</t>
  </si>
  <si>
    <t>320 PROYECTA EMPRESA PARA EL DESARROLLO TERRITORIAL</t>
  </si>
  <si>
    <t>Instituto Departamental de Deporte y Recreación del Quindío</t>
  </si>
  <si>
    <t>Secretaría Tecnologías de la Información y las Comunicaciones</t>
  </si>
  <si>
    <t>304 SECRETARÍA ADMINISTRATIVA</t>
  </si>
  <si>
    <t xml:space="preserve">Implementación de un programa de modernización de la gestión Administrativa de la Administración Departamental del Quindío. "TÚ y YO SOMOS QUINDÍO" </t>
  </si>
  <si>
    <t>305 SECRETARÍA DE PLANEACIÓN</t>
  </si>
  <si>
    <t xml:space="preserve">Fortalecimiento del Consejo Territorial de Planeación del Departamento del Quindío. "TÚ y YO SOMOS QUINDIO" </t>
  </si>
  <si>
    <t>307 SECRETARÍA DE HACIENDA Y FINANZAS PÚBLICAS</t>
  </si>
  <si>
    <t xml:space="preserve">Implementación de un programa para el cumplimiento de las políticas y prácticas contables de la administración departamental del Quindío.    </t>
  </si>
  <si>
    <t>308 SECRETARÍA DE AGUAS E INFRAESTRUCTURA</t>
  </si>
  <si>
    <t xml:space="preserve"> Mantenimiento de la infraestructura Educativa en el Departamento del Quindío. </t>
  </si>
  <si>
    <t>309 SECRETARÍA DE INTERIOR</t>
  </si>
  <si>
    <t xml:space="preserve">Implementación de acciones de apoyo para la resocialización de las personas privadas de la libertad en las Instituciones Penitenciarias  del Departamento  del Quindío. </t>
  </si>
  <si>
    <t xml:space="preserve">Asistencia, atención y capacitación a la población excombatiente en el Departamento del Quindío. </t>
  </si>
  <si>
    <t xml:space="preserve"> Fortalecimiento de los organismos de seguridad del Departamento del Quindío, para mejorar la convivencia, preservación del orden público y la seguridad ciudadana. </t>
  </si>
  <si>
    <t>310 SECRETARÍA DE CULTURA</t>
  </si>
  <si>
    <t>311 SECRETARÍA DE TURISMO INDUSTRIA Y COMERCIO</t>
  </si>
  <si>
    <t>Mejoramiento  de la competitividad turística del Destino  Quindio</t>
  </si>
  <si>
    <t xml:space="preserve"> Fortalecimiento de la promoción turística  nacional e internacional  del destino Quindio </t>
  </si>
  <si>
    <t xml:space="preserve"> Fortalecimiento e implementación de procesos de mercadeo y comercialización agropecuaria en el Departamento del Quindío.                </t>
  </si>
  <si>
    <t xml:space="preserve">Implementación de procesos de sanidad e inocuidad alimentaria en el departamento del Quindío. </t>
  </si>
  <si>
    <t xml:space="preserve"> Fortalecimiento de nuevos emprendimientos e iniciativas clúster de las cadenas promisorias agropecuarias en el Departamento del Quindío.                     </t>
  </si>
  <si>
    <t>314 SECRETARÍA DE EDUCACIÓN</t>
  </si>
  <si>
    <t xml:space="preserve">Implementación acciones de fortalecimiento de los entornos protectores de los jóvenes en barrios vulnerables de los municipios, del Departamento del Quindío. </t>
  </si>
  <si>
    <t xml:space="preserve"> Implementación de la política pública de Familia para la promoción del desarrollo integral de la población del Departamento del Quindío. </t>
  </si>
  <si>
    <t xml:space="preserve"> Diseño e implementación del programa de acompañamiento familiar y comunitario con enfoque preventivo en los tipos de violencias en el Departamento del Quindío "TU Y YO COMPROMETIDOS CON LA FAMILIA" </t>
  </si>
  <si>
    <t xml:space="preserve">Formulación e Implementación del programa departamental para atención al ciudadano migrante y de repatriación.  </t>
  </si>
  <si>
    <t xml:space="preserve">Formulación e implementación   de proyectos productivos dirigidos a la población en condición de discapacidad y sus familias para la generación de  ingresos  y fortalecimiento del entorno familiar.  </t>
  </si>
  <si>
    <t xml:space="preserve">Apoyo en la construcción e Implementación de los Planes de Vida de los Cabildos y Resguardos indígenas asentados en el Departamento del Quindío "TU Y YO UNIDOS CON DIGNIDAD".  </t>
  </si>
  <si>
    <t xml:space="preserve">    Implementación de la política pública  de diversidad sexual en el Departamento del Quindío 20192029  </t>
  </si>
  <si>
    <t xml:space="preserve">Implementación de la Casa  de la Mujer Empoderada para la promoción a la participación ciudadana  de Mujeres en escenarios sociales, políticos y en fortalecimiento de la asociatividad  en el departamento del Quindío </t>
  </si>
  <si>
    <t>318 SECRETARÍA DE SALUD</t>
  </si>
  <si>
    <t>Fortalecimiento de las intervenciones colectivas y prioridades en salud pública del Departamento del Quindío PIC</t>
  </si>
  <si>
    <t>324 SECRETARÍA DE TECNOLOGÍA DE LA INFORMACIÓN Y COMUNICACÓN</t>
  </si>
  <si>
    <t>Asistencia y apropiación tecnológica generacional en el departamento del Quindio</t>
  </si>
  <si>
    <t>319 INDEPORTES</t>
  </si>
  <si>
    <t xml:space="preserve">  Mantenimiento de obras complementarias a la infraestructura vial en el Departamento del Quindío </t>
  </si>
  <si>
    <t xml:space="preserve"> Apoyo en la formulación y ejecución de proyectos de vivienda en el Departamento del Quindío   </t>
  </si>
  <si>
    <t>PRESUPUESTO</t>
  </si>
  <si>
    <t>321 INSTITUTO DEPARTAMENTAL DE TRÁNSITO DEL QUINDÍO</t>
  </si>
  <si>
    <t>Construcción y dotación centro de atención integral para personas con discapacidad en el Departamento del Quindío</t>
  </si>
  <si>
    <t>312 SECRETARÍA DE AGRICULTURA DESARROLLO RUAL Y MEDIO AMBIENTE</t>
  </si>
  <si>
    <t>TOTAL PROYECTOS INVERSION DEPARTAMENTAL 2022</t>
  </si>
  <si>
    <t xml:space="preserve">Implementación  de eventos de Rendición Pública de Cuentas  de divulgación de gestión  de la Administración Departamental  "TU Y YO SOMOS QUINDIO" </t>
  </si>
  <si>
    <t xml:space="preserve">Implementación   de instrumentos de planificación para  en  Ordenamiento y la Gestión Territorial Departamental del Quindío  "TU Y YO SOMOS QUINDIO" </t>
  </si>
  <si>
    <t>Implementación del Observatorio Económico  de la Administración Departamental del Quindío "TU Y YO SOMOS QUINDIO"</t>
  </si>
  <si>
    <t>Implementación  del Modelo Integrado de Planeación y de Gestión MIPG en la Administración Departamental del   Quindío</t>
  </si>
  <si>
    <t xml:space="preserve">Mantenimiento de  la infraestructura  Educativa en el Departamento del Quindío. </t>
  </si>
  <si>
    <t xml:space="preserve">Mantenimiento de la infraestructura cultural en el departamento del Quindío  </t>
  </si>
  <si>
    <t xml:space="preserve">Elaboración estudios y diseños de Infraestructura vial en el Departamento de Quindío </t>
  </si>
  <si>
    <t xml:space="preserve">Construcción, mantenimiento y/o mejoramiento de obras de infraestructura  para la mitigación y atención de desastres en los municipios del departamento del Quindío </t>
  </si>
  <si>
    <t>Implementación  de acciones con los Entes Municipales, para la reducción de los delitos en el Departamento del Quindío</t>
  </si>
  <si>
    <t xml:space="preserve">Implementación de  métodos  para la resolución de conflictos y el  fortalecimiento de la seguridad de los ciudadanos en el Departamento del Quindío  </t>
  </si>
  <si>
    <t xml:space="preserve">Implementación del Plan Integral de prevención de vulneraciones de los Derechos Humanos DDHH e infracciones  al Derecho Internacional Humanitario DIH en el Departamento del Quindío </t>
  </si>
  <si>
    <t xml:space="preserve">Fortalecimiento de los organismos de seguridad del Departamento del Quindío,  para mejorar la convivencia, preservación del orden público y la seguridad ciudadana. </t>
  </si>
  <si>
    <t xml:space="preserve">Apoyo artistas y gestores culturales  del departamento del Quindío con el  beneficio de la Seguridad Social.  </t>
  </si>
  <si>
    <t xml:space="preserve">Apoyo al Paisaje, Café y Tradición mediante procesos de manejo, gestión, asistencia técnica, divulgación y publicación del patrimonio, arqueológico, antropológico e histórico en el Departamento del Quindío </t>
  </si>
  <si>
    <t xml:space="preserve">Servicio de apoyo en la formulación y estructuración de proyectos de Desarrollo Rural e inclusión productiva  campesina en el Departamento del Quindío  </t>
  </si>
  <si>
    <t xml:space="preserve">Apoyo a la Implementación de procesos para la prevención y mitigación de riesgos naturales del sector agropecuario en el Departamento del Quindío.  </t>
  </si>
  <si>
    <t xml:space="preserve">Fortalecimiento e implementación  de procesos de mercadeo y comercialización agropecuaria  en el Departamento del Quindío.                </t>
  </si>
  <si>
    <t>Asistencias técnicas en inspección vigilacia y control realizadas</t>
  </si>
  <si>
    <t xml:space="preserve">Disminuir los índices  de delitos en el departamento del Quindío, a través de fortalecimiento de los organismos de seguridad, para el mejoramiento de la   convivencia, preservación del orden público y la seguridad ciudadana. </t>
  </si>
  <si>
    <t xml:space="preserve">Fortalecimiento del sector empresarial del departamento del Quindío </t>
  </si>
  <si>
    <t xml:space="preserve">Implementación de la transformación digital del sector empresarial en el Departamento del Quindío  </t>
  </si>
  <si>
    <t xml:space="preserve">Implementación  y  divulgación de la estrategia    "Quindío innovador y competitivo"   </t>
  </si>
  <si>
    <t xml:space="preserve">Fortalecimiento de la estrategia de gobierno digital  en la Administración Departamental y  Entes Territoriales del departamento del  Quindío  </t>
  </si>
  <si>
    <t xml:space="preserve">Fortalecimiento de la inclusión social para la disminución del riesgo de contraer enfermedades transmisibles en el Departamento del Quindío.  </t>
  </si>
  <si>
    <t xml:space="preserve">Prevención vigilancia y control de eventos en el ámbito laboral en el Departamento del Quindío.  </t>
  </si>
  <si>
    <t xml:space="preserve">Fortalecimiento del sistema de vigilancia en salud pública en el Departamento del Quindío. </t>
  </si>
  <si>
    <t>Fortalecimiento  y apoyo a las tecnologías de la información y las comunicaciones en el departamento del Quindío.</t>
  </si>
  <si>
    <t>Fomento a la recreación, la actividad física y el deporte  "Tú y yo en la recreación y el deporte"</t>
  </si>
  <si>
    <t xml:space="preserve">Productividad y competitividad de las empresas "Tú y yo con empresas competitivas" </t>
  </si>
  <si>
    <t>Generación de una cultura que valora y gestiona en conocimiento y la innovación.</t>
  </si>
  <si>
    <t>Facilitar el acceso y uso de las Tecnologías de la Información y las Comunicaciones en todo el departamento del Quindío. "Tú y yo somos ciudadanos TIC"</t>
  </si>
  <si>
    <t xml:space="preserve">Implementar estrategias de Implementar estrategias de planeación y coordinación interinstitucional para el manejo de los esquemas de abastecimiento y prestación de los servicios de agua y saneamiento urbanos y rurales  planeación y coordinación interinstitucional para el manejo de los esquemas de abastecimiento y prestación de los servicios de agua y saneamiento urbanos y rurales </t>
  </si>
  <si>
    <t xml:space="preserve">Aumentar la adherencia al tratamiento de los pacientes con diagnóstico de tuberculosis  </t>
  </si>
  <si>
    <t xml:space="preserve">Disminuir en índice de enfermedades trasmisión vectorial y zoonosis en la población   </t>
  </si>
  <si>
    <t xml:space="preserve">Apoyo operativo a la inversión social en salud en el Departamento del Quindío </t>
  </si>
  <si>
    <t xml:space="preserve">Aprovechamiento biológico y consumo de  alimentos inocuos  en el Departamento del Quindío </t>
  </si>
  <si>
    <t>Implementación del  programa de liderazgo  para la participación femenina en escenarios sociales y políticos del departamento del Quindío</t>
  </si>
  <si>
    <t xml:space="preserve">Implementación de la política pública de equidad de género para la mujer en el Departamento del Quindío  </t>
  </si>
  <si>
    <t xml:space="preserve">Implementación de la política pública  de diversidad sexual en el Departamento del Quindío 2019-2029  </t>
  </si>
  <si>
    <t>Implementación de  estrategias de acompañamiento y asesoría a las asociaciones de mujeres del departamento del Quindío</t>
  </si>
  <si>
    <t xml:space="preserve">Servicio  de atención integral e inclusión para el bienestar de los adultos mayores del departamento del Quindío </t>
  </si>
  <si>
    <t>Servicio de atención Post egreso de adolescentes y jóvenes, en los servicios de restablecimiento en la administración de justicia, con enfoque pedagógico y restaurativo encaminados a la inclusión social en el  Departamento del   Quindío.</t>
  </si>
  <si>
    <t xml:space="preserve">Diseño e implementación del programa comunitario para la prevención de los derechos de niños, niñas y adolescentes y su desarrollo integral. "TU Y YO COMPROMETIDOS CON LOS SUEÑOS". </t>
  </si>
  <si>
    <t xml:space="preserve">Diseño e implementación del programa de acompañamiento familiar y comunitario con enfoque preventivo en los tipos de violencia en el Departamento del Quindío "TU Y YO COMPROMETIDOS CON LA FAMILIA" </t>
  </si>
  <si>
    <t xml:space="preserve">Diseño e implementación de un  Modelo de  atención integral a la primera infancia  a través de las Rutas Integrales de Atención  RIA en el Departamento del  Quindío </t>
  </si>
  <si>
    <t xml:space="preserve">Diseño e implementación de campañas para la promoción de la vida y prevención del consumo de sustancias psicoactivas en el Departamento del Quindío. "TU Y YO UNIDOS POR LA VIDA".  </t>
  </si>
  <si>
    <t xml:space="preserve">Disminuir las tasas  de mortalidad materna, embarazos, violencia y suicidios en el Departamento del Quindío, a través del fomento de  hábitos de vida saludables y derechos sexuales y reproductivos. </t>
  </si>
  <si>
    <t xml:space="preserve">Generación y desarrollo de acciones para la conservación de las áreas de importancia estratégica hídrica en el Departamento del Quindío </t>
  </si>
  <si>
    <t xml:space="preserve">Fortalecimiento  de nuevos emprendimientos e iniciativas clúster de las cadenas promisorias agropecuarias en el Departamento del Quindío.                     </t>
  </si>
  <si>
    <t xml:space="preserve">Fortalecimiento de la promoción turística del destino Quindío a nivel  nacional e internacional </t>
  </si>
  <si>
    <t>Fortalecimiento del sector empresarial  para el acceso a nuevos mercados en el departamento del Quindío</t>
  </si>
  <si>
    <t xml:space="preserve">Fortalecimiento de la participación ciudadana, veedurías y organizaciones comunales para el cumplimiento, protección y restablecimiento de los derechos contemplados en la Constitución Política.    </t>
  </si>
  <si>
    <t xml:space="preserve">Implementación  y/o fortalecimiento  de  los planes para la gestión del riesgo y desastres en las Instituciones Educativas Oficiales  del Departamento </t>
  </si>
  <si>
    <t>Índice Departamental de Competitividad</t>
  </si>
  <si>
    <t xml:space="preserve">Infraestructura hospitalaria con procesos constructivos, mejorados, ampliados, mantenidos, y/o reforzados </t>
  </si>
  <si>
    <t>Hospitales de tercer nivel de atención adecuados</t>
  </si>
  <si>
    <t>Infraestructura hospitalaria con procesos constructivos, mejorados, ampliados, mantenidos, y/o reforzados realizados</t>
  </si>
  <si>
    <t>Mejoramiento de la infraestructura física de las instituciones de salud pública y bienestar social en el  departamento del Quindío</t>
  </si>
  <si>
    <t>Mejorar la infraestructura hospitalaria del Departamento del Quindío, con el propósito de optimización de la prestación del servicio y en acceso incluyente y equitativo a la oferta de servicios del Estado.</t>
  </si>
  <si>
    <t>Cultur</t>
  </si>
  <si>
    <t>UNIDAD
EJECUTORA</t>
  </si>
  <si>
    <t>FUENTE DE FINANCIACIÓN</t>
  </si>
  <si>
    <t>Recurso Ordinario</t>
  </si>
  <si>
    <t>Estampilla Prodesarrollo</t>
  </si>
  <si>
    <t>SGP Agua Potable Saneamiento Básico</t>
  </si>
  <si>
    <t>Sobretasa al ACPM</t>
  </si>
  <si>
    <t>Convenios Nación</t>
  </si>
  <si>
    <t>Fondo de Seguridad 5%</t>
  </si>
  <si>
    <t>Estampilla Pro Cultura</t>
  </si>
  <si>
    <t>Iva Telefonía Móvil</t>
  </si>
  <si>
    <t>Impuesto al Registro 4%</t>
  </si>
  <si>
    <t>Monopolio</t>
  </si>
  <si>
    <t>SGP Educación</t>
  </si>
  <si>
    <t>Nación</t>
  </si>
  <si>
    <t>Programa Alimentación Escolar</t>
  </si>
  <si>
    <t>Estampilla Pro Adulto Mayor</t>
  </si>
  <si>
    <t>SGP Salud</t>
  </si>
  <si>
    <t>Rentas Cedidas</t>
  </si>
  <si>
    <t>Convenio Anticontrabando</t>
  </si>
  <si>
    <t>324  SECRETARÍA TECNOLÓGIAS DE LA INFORMACIÓN Y LASCOMUNICACIÓN</t>
  </si>
  <si>
    <t>Impuesto Monopolio</t>
  </si>
  <si>
    <t>Estampilla Pro Desarrollo</t>
  </si>
  <si>
    <t>Impuesto al Registro</t>
  </si>
  <si>
    <t>Recursos Propios</t>
  </si>
  <si>
    <t>APROPIACION DEFINITIVA</t>
  </si>
  <si>
    <t>% PD</t>
  </si>
  <si>
    <t>DISPONIBILIDADES</t>
  </si>
  <si>
    <t>COMPROMISOS</t>
  </si>
  <si>
    <t xml:space="preserve">OBLIGACIONES </t>
  </si>
  <si>
    <t>PAGOS</t>
  </si>
  <si>
    <t>SALDOS
DISPONIBLES</t>
  </si>
  <si>
    <t>Administrativa</t>
  </si>
  <si>
    <t>Hacienda</t>
  </si>
  <si>
    <t>Agricultura, Desarrollo Rural y Medio Ambiente</t>
  </si>
  <si>
    <t>Tecnología de la Información y las Comunicaciones</t>
  </si>
  <si>
    <t>TOTAL SECTOR CENTRAL</t>
  </si>
  <si>
    <t>Indeportes</t>
  </si>
  <si>
    <t>Instituto Departamental de Transito</t>
  </si>
  <si>
    <t>TOTAL DESCENTRALIZADOS</t>
  </si>
  <si>
    <t>TOTAL DEPARTAMENTO</t>
  </si>
  <si>
    <t>Presupuesto</t>
  </si>
  <si>
    <t>%</t>
  </si>
  <si>
    <t>Sector Central</t>
  </si>
  <si>
    <t xml:space="preserve">Disponibilidades </t>
  </si>
  <si>
    <t>SEMAFORO CUMPLIMIENTO RP</t>
  </si>
  <si>
    <t>Compromisos</t>
  </si>
  <si>
    <t xml:space="preserve">Sobresaliente  (Entre 80%-100%) </t>
  </si>
  <si>
    <t>Obligaciones</t>
  </si>
  <si>
    <t>Satisfactorio (Entre 70% -79%)</t>
  </si>
  <si>
    <t xml:space="preserve">Pagos </t>
  </si>
  <si>
    <t>Medio (Entre 60%-69%)</t>
  </si>
  <si>
    <t>Disponible</t>
  </si>
  <si>
    <t>Bajo (Entre 40% - 59%)</t>
  </si>
  <si>
    <t>Critico (Entre 0% - 39%)</t>
  </si>
  <si>
    <t>Descentralizados</t>
  </si>
  <si>
    <t>Departamento Quindío</t>
  </si>
  <si>
    <t>EJECUTADA
VIGENCIA 2022</t>
  </si>
  <si>
    <t>OBLIGACIONES</t>
  </si>
  <si>
    <t>F-PLA-43</t>
  </si>
  <si>
    <t xml:space="preserve"> TOTAL PRESUPUESTO</t>
  </si>
  <si>
    <t>RECURSO DEL CRÉDITO</t>
  </si>
  <si>
    <t>Recurso del Crédito</t>
  </si>
  <si>
    <t xml:space="preserve">Servicio de vigilancia y control de las políticas y normas técnicas, científicas y administrativas expedidas por el Ministerio de Salud y Protección Social </t>
  </si>
  <si>
    <t>REPROGRAMADA 
VIGENCIA 2022</t>
  </si>
  <si>
    <t>ACUMULADA
NO ACUAULADA</t>
  </si>
  <si>
    <t xml:space="preserve">Acumulada </t>
  </si>
  <si>
    <t>No Acumulada</t>
  </si>
  <si>
    <t>RESPONSABLE
(CARGO)</t>
  </si>
  <si>
    <t>Acumulada</t>
  </si>
  <si>
    <t>Secretario de Cultura</t>
  </si>
  <si>
    <t>Secretario Administrativo</t>
  </si>
  <si>
    <t>Secretario de Planeación</t>
  </si>
  <si>
    <t>Secretaria del Interior</t>
  </si>
  <si>
    <t>Secretaria de Hacienda</t>
  </si>
  <si>
    <t>Secretario de Turismo, Industria y Comercio</t>
  </si>
  <si>
    <t>Secretario de Agricultura, Desarrollo Rural y Medio Ambiente</t>
  </si>
  <si>
    <t>Secretario Tecnologías de la Información y las Comunicaciones</t>
  </si>
  <si>
    <t>Secretaria de Familia</t>
  </si>
  <si>
    <t>Secretaria de Educación</t>
  </si>
  <si>
    <t>Secretaria de Salud</t>
  </si>
  <si>
    <t>Secretario de Aguas e Infraestructura
, Secretario de Aguas e Infraestructura</t>
  </si>
  <si>
    <t>Gerente INDEPORTES QUINDÍO</t>
  </si>
  <si>
    <t>Gerente General Proyecta Empresa para el Desarrollo Territorial</t>
  </si>
  <si>
    <t>Director IDTQ</t>
  </si>
  <si>
    <t>Impuesto al Consumo</t>
  </si>
  <si>
    <t>Impuesto al Cigarrillo</t>
  </si>
  <si>
    <t>Otros Recursos</t>
  </si>
  <si>
    <t>Otros recursos - Nación</t>
  </si>
  <si>
    <t>SEMAFORO CUMPLIMIENTO COMPROMISOS</t>
  </si>
  <si>
    <t>% PRESUPUESO</t>
  </si>
  <si>
    <t>% COMPROMISO
COMPRO/PPTO</t>
  </si>
  <si>
    <t>Tasa Deporte</t>
  </si>
  <si>
    <t>Mantenimiento de los edificios públicos y/o equipamentos colectivos y comunitarios en el departamento del Quindío.</t>
  </si>
  <si>
    <t>Mantener en óptimas condiciones de uso los equipamentos colectivos y comunitarios y espacios de uso público destinados para el sirvicio de la comunidad en cada uno de los municipios que lo requieran</t>
  </si>
  <si>
    <t>% COMPROMISO
/PRESUPUESTO</t>
  </si>
  <si>
    <t xml:space="preserve">320 EMPRESA PARA EL DESARROLLO TERRITORIAL PROYECTA </t>
  </si>
  <si>
    <t>TOTAL PROGRAMADA
VIGENCIA 2022</t>
  </si>
  <si>
    <t>Proyecta</t>
  </si>
  <si>
    <t>Secretaría Privada</t>
  </si>
  <si>
    <t>313 SECRETARIA PRIVADA</t>
  </si>
  <si>
    <t>Privada</t>
  </si>
  <si>
    <t>Fortalecimiento de la competitividad a través de la difución de los servicios complementarios del sector turistico del departamento del Quindío</t>
  </si>
  <si>
    <t>conocimiento de las ventajas competitivas del turismo como eje de desarrollo sostenible en el departamento del Quindío</t>
  </si>
  <si>
    <t>Implementación de herramientas que garanticen el acceso verídico y oportuno a la información para contribuir a la política pública de transparencia en el departamento del Quindío.</t>
  </si>
  <si>
    <t>Articular el acceso a la información pública de la administración departamental mediante el desarrollo e implementación de herramientas de difusión</t>
  </si>
  <si>
    <t>SUBTOTALES SECTOR CENTRAL VIGENCIA 2022</t>
  </si>
  <si>
    <t>SUBTOTAL ENTES DESCENTRALIZADOS VIGENCIA 2022</t>
  </si>
  <si>
    <t>Construir, mantener, mejorar y/o rehabilitar la infraestructura social del Departamento del Quindío</t>
  </si>
  <si>
    <t>SUBTOTAL 8 PASIVOS EXIGIBLES</t>
  </si>
  <si>
    <t>TOTAL PASIVOS EXIGIBLES + RESERVAS PRESUPUESTALES</t>
  </si>
  <si>
    <t>SUBTOTAL 9 RESERVAS PRESUPUESTALES</t>
  </si>
  <si>
    <t>320 EMPRESA PARA EL DESARROLLO TERRITORIAL PROYECTA</t>
  </si>
  <si>
    <t>SEGUIMIENTO PLAN OPERATIVO ANUAL DE INVERSIÓN POAI  2022
PLAN DE DESARROLLO 2020-2023 "TÚ Y YO SOMOS QUINDIO"
REPORTE UNIDADES EJECUTORAS POR PROGRAMAS
A DICIEBRE 31 DE 2022</t>
  </si>
  <si>
    <t>SEGUIMIENTO PLAN OPERATIVO ANUAL DE INVERSIÓN - POAI -  CON CORTE A DICIEMBRE 31 DE 2022</t>
  </si>
  <si>
    <t>Fortalecimiento del sistema de gestión documental mediante la modernización locativa y tecnológica para garantizar el acceso a la información oportuna y eficiente en el departamento del Quindío</t>
  </si>
  <si>
    <t xml:space="preserve">Optimizar los procesos y procedimiento s relacionados con la Gestión Documental de la Administración Central Departamental </t>
  </si>
  <si>
    <t>Construcción y dotación de un centro de atención integral para personas con discapacidad en el departamento del Quindio</t>
  </si>
  <si>
    <t>Fortalecer infraestructura para la atención integral a personas con discapacidad en el departamento</t>
  </si>
  <si>
    <t>Infraestructura  vial    construída, mejorada, ampliada,  mantenida, y/o  reforzada</t>
  </si>
  <si>
    <t>Vía secundaria mejorada</t>
  </si>
  <si>
    <t xml:space="preserve">Infraestructura  vial    construída, mejorada, ampliada,  mantenida, y/o  reforzada </t>
  </si>
  <si>
    <t>Mejoramiento de vías con soluciones tradicionales</t>
  </si>
  <si>
    <t>Mejoramiento de la vía Circasia-Montenegro con código 29BQN03, en los municipios de Circasia y Montenegro, departamento del  Quindio</t>
  </si>
  <si>
    <t>Mejorar la movilidad de la poblacion que transita la via que comunica a los municipios de Circasia y Montenegro.</t>
  </si>
  <si>
    <t>Rehabilitación y atención de vías, para restaurar la conectividad en el departamento</t>
  </si>
  <si>
    <t>Mejorar la intercomunicación terrestre en vías del Departamento del Quindío</t>
  </si>
  <si>
    <t>Adecuación y mantenimiento del hogar del anciano en el municipio de   La Tebaida</t>
  </si>
  <si>
    <t>Adecuar la infraestructura física del hogar del anciano en el municipio de La Tebaida</t>
  </si>
  <si>
    <t>Modernización del laboratorio de salud pública departamental</t>
  </si>
  <si>
    <t>Mejorar la capacidad instalada del laboratorio de salud publica en la realización de las actividades de inspección, vigilancia y control IVC</t>
  </si>
  <si>
    <t xml:space="preserve">Secretario de Aguas e Infraestructura
</t>
  </si>
  <si>
    <t xml:space="preserve"> Secretario de Aguas e Infraestructura</t>
  </si>
  <si>
    <t>PLAN DE DESARROLLO 2020 - 2023 "TÚ Y YO SOMOS QUINDIO"
CONSOLIDADO EJECUCIÓN GASTOS DE INVERSIÓN 
A DICIEMBRE 31 DE 2022</t>
  </si>
  <si>
    <t>TOTAL POAI INVERSION DEPARTAMENTAL 2022</t>
  </si>
  <si>
    <t>Secretario de Aguas e Infraestructura</t>
  </si>
  <si>
    <t>Secretario de Turismo Industria y Comercio</t>
  </si>
  <si>
    <t>Secretario Administrativa</t>
  </si>
  <si>
    <t>Secretario del Interior</t>
  </si>
  <si>
    <t>Secretario de Salud</t>
  </si>
  <si>
    <t>SEGUIMIENTO PASIVOS EXIGIBLES Y RESERVAS PRESUPESTALES   CON CORTE A DICIEMBRE 31 DE 2022</t>
  </si>
  <si>
    <t>Infraestructura de laboratorios costruida y dotada</t>
  </si>
  <si>
    <t>Laboratorios dotados</t>
  </si>
  <si>
    <t>Laboratorios construidos</t>
  </si>
  <si>
    <t>SEGUIMIENTO PLAN OPERATIVO ANUAL DE INVERSIÓN POAI  2022
PLAN DE DESARROLLO 2020-2023 "TÚ Y YO SOMOS QUINDIO"
REPORTE POR LÍNEA ESTRATÉGICA
A DICIEMBRE 31 DE 2022</t>
  </si>
  <si>
    <t>SEGUIMIENTO PLAN OPERATIVO ANUAL DE INVERSIÓN POAI  2022
PLAN DE DESARROLLO 2020-2023 "TÚ Y YO SOMOS QUINDIO"
REPORTE UNIDADES EJECUTORAS POR FUENTES DE FINANCIACION
A DICIEBRE 31 DE 2022</t>
  </si>
  <si>
    <t>% OBLIGACION
OBLIG/PPTO</t>
  </si>
  <si>
    <t>% CD
DISPON
/APRO DEF</t>
  </si>
  <si>
    <t>% RP
COMPROM
APROP DEF</t>
  </si>
  <si>
    <t>% OBLIG
OBLIG/PPTO</t>
  </si>
  <si>
    <t>% PAGOS
PAGOS/
COMPR</t>
  </si>
  <si>
    <t>%  DISP.
SALDO
/APRO DEF</t>
  </si>
  <si>
    <t>RELACIÓN EJECUCIÓN  PROYECTOS DE INVERSIÓN DEPARTAMENTAL
PLAN DE DESARROLLO 2020-2023 "TÚ Y YO SOMOS QUINDIO"
A DICIEMBRE 31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</si>
</sst>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_-;\-&quot;$&quot;\ * #,##0_-;_-&quot;$&quot;\ * &quot;-&quot;_-;_-@_-"/>
    <numFmt numFmtId="165" formatCode="_-&quot;$&quot;\ * #,##0.00_-;\-&quot;$&quot;\ * #,##0.00_-;_-&quot;$&quot;\ * &quot;-&quot;??_-;_-@_-"/>
    <numFmt numFmtId="166" formatCode="_(&quot;$&quot;\ * #,##0.00_);_(&quot;$&quot;\ * \(#,##0.00\);_(&quot;$&quot;\ * &quot;-&quot;??_);_(@_)"/>
    <numFmt numFmtId="167" formatCode="_(* #,##0.00_);_(* \(#,##0.00\);_(* &quot;-&quot;??_);_(@_)"/>
    <numFmt numFmtId="168" formatCode="_([$$-240A]\ * #,##0.00_);_([$$-240A]\ * \(#,##0.00\);_([$$-240A]\ * &quot;-&quot;??_);_(@_)"/>
    <numFmt numFmtId="169" formatCode="00"/>
    <numFmt numFmtId="170" formatCode="_(* #,##0_);_(* \(#,##0\);_(* &quot;-&quot;??_);_(@_)"/>
    <numFmt numFmtId="171" formatCode="_-* #,##0_-;\-* #,##0_-;_-* &quot;-&quot;??_-;_-@_-"/>
    <numFmt numFmtId="172" formatCode="_-&quot;$&quot;\ * #,##0.00_-;\-&quot;$&quot;\ * #,##0.00_-;_-&quot;$&quot;\ * &quot;-&quot;_-;_-@_-"/>
    <numFmt numFmtId="173" formatCode="_-* #,##0.00\ _€_-;\-* #,##0.00\ _€_-;_-* &quot;-&quot;??\ _€_-;_-@_-"/>
    <numFmt numFmtId="174" formatCode="_ [$€-2]\ * #,##0.00_ ;_ [$€-2]\ * \-#,##0.00_ ;_ [$€-2]\ * &quot;-&quot;??_ "/>
    <numFmt numFmtId="175" formatCode="#,##0."/>
    <numFmt numFmtId="176" formatCode="_ * #,##0.00_ ;_ * \-#,##0.00_ ;_ * &quot;-&quot;??_ ;_ @_ "/>
    <numFmt numFmtId="177" formatCode="0.000"/>
    <numFmt numFmtId="178" formatCode="0.0"/>
  </numFmts>
  <fonts count="59" x14ac:knownFonts="1">
    <font>
      <sz val="11"/>
      <color theme="1"/>
      <name val="Calibri"/>
      <family val="2"/>
      <scheme val="minor"/>
    </font>
    <font>
      <sz val="11"/>
      <color theme="1"/>
      <name val="Calibri"/>
      <family val="2"/>
      <scheme val="minor"/>
    </font>
    <font>
      <sz val="12"/>
      <name val="Arial"/>
      <family val="2"/>
    </font>
    <font>
      <b/>
      <sz val="12"/>
      <name val="Arial"/>
      <family val="2"/>
    </font>
    <font>
      <b/>
      <sz val="10"/>
      <name val="Arial"/>
      <family val="2"/>
    </font>
    <font>
      <sz val="11"/>
      <color indexed="8"/>
      <name val="Calibri"/>
      <family val="2"/>
    </font>
    <font>
      <sz val="12"/>
      <color theme="1"/>
      <name val="Arial"/>
      <family val="2"/>
    </font>
    <font>
      <b/>
      <sz val="11"/>
      <color rgb="FF6F6F6E"/>
      <name val="Calibri"/>
      <family val="2"/>
      <scheme val="minor"/>
    </font>
    <font>
      <sz val="10"/>
      <name val="Arial"/>
      <family val="2"/>
    </font>
    <font>
      <b/>
      <sz val="11"/>
      <color theme="0"/>
      <name val="Calibri"/>
      <family val="2"/>
      <scheme val="minor"/>
    </font>
    <font>
      <sz val="11"/>
      <color rgb="FF000000"/>
      <name val="Calibri"/>
      <family val="2"/>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8"/>
      <color theme="3"/>
      <name val="Calibri Light"/>
      <family val="2"/>
      <scheme val="major"/>
    </font>
    <font>
      <sz val="10"/>
      <color theme="1"/>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
      <color indexed="8"/>
      <name val="Courier"/>
      <family val="3"/>
    </font>
    <font>
      <b/>
      <sz val="1"/>
      <color indexed="8"/>
      <name val="Courier"/>
      <family val="3"/>
    </font>
    <font>
      <b/>
      <i/>
      <sz val="1"/>
      <color indexed="8"/>
      <name val="Courier"/>
      <family val="3"/>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sz val="10"/>
      <name val="Arial"/>
      <family val="2"/>
      <charset val="1"/>
    </font>
    <font>
      <sz val="11"/>
      <color rgb="FFFFFFFF"/>
      <name val="Arial"/>
      <family val="2"/>
      <charset val="1"/>
    </font>
    <font>
      <b/>
      <sz val="10"/>
      <color theme="1"/>
      <name val="Arial"/>
      <family val="2"/>
    </font>
    <font>
      <b/>
      <sz val="10"/>
      <color indexed="8"/>
      <name val="Arial"/>
      <family val="2"/>
    </font>
    <font>
      <sz val="11"/>
      <color theme="1"/>
      <name val="Arial"/>
      <family val="2"/>
    </font>
    <font>
      <b/>
      <sz val="14"/>
      <name val="Arial"/>
      <family val="2"/>
    </font>
    <font>
      <b/>
      <sz val="12"/>
      <color theme="1"/>
      <name val="Arial"/>
      <family val="2"/>
    </font>
    <font>
      <sz val="11"/>
      <name val="Arial"/>
      <family val="2"/>
    </font>
    <font>
      <sz val="12"/>
      <color theme="0"/>
      <name val="Arial"/>
      <family val="2"/>
    </font>
    <font>
      <sz val="10"/>
      <color theme="0"/>
      <name val="Arial"/>
      <family val="2"/>
    </font>
    <font>
      <b/>
      <sz val="10"/>
      <color theme="0"/>
      <name val="Arial"/>
      <family val="2"/>
    </font>
    <font>
      <sz val="10"/>
      <color rgb="FF000000"/>
      <name val="Arial"/>
      <family val="2"/>
    </font>
    <font>
      <sz val="10"/>
      <color theme="1"/>
      <name val="Calibri"/>
      <family val="2"/>
      <scheme val="minor"/>
    </font>
  </fonts>
  <fills count="7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ECECEC"/>
        <bgColor indexed="64"/>
      </patternFill>
    </fill>
    <fill>
      <patternFill patternType="solid">
        <fgColor rgb="FF522B57"/>
        <bgColor indexed="64"/>
      </patternFill>
    </fill>
    <fill>
      <patternFill patternType="solid">
        <fgColor theme="3" tint="0.59999389629810485"/>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FF6600"/>
        <bgColor rgb="FFFF9900"/>
      </patternFill>
    </fill>
    <fill>
      <patternFill patternType="solid">
        <fgColor theme="3"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D6DCE4"/>
        <bgColor indexed="64"/>
      </patternFill>
    </fill>
    <fill>
      <patternFill patternType="solid">
        <fgColor rgb="FFFFFFFF"/>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FF0000"/>
        <bgColor indexed="64"/>
      </patternFill>
    </fill>
    <fill>
      <patternFill patternType="solid">
        <fgColor rgb="FF0070C0"/>
        <bgColor indexed="64"/>
      </patternFill>
    </fill>
    <fill>
      <patternFill patternType="solid">
        <fgColor theme="0" tint="-4.9989318521683403E-2"/>
        <bgColor indexed="64"/>
      </patternFill>
    </fill>
  </fills>
  <borders count="9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522B57"/>
      </left>
      <right style="thin">
        <color rgb="FF522B57"/>
      </right>
      <top style="thin">
        <color rgb="FF522B57"/>
      </top>
      <bottom style="thin">
        <color rgb="FF522B57"/>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rgb="FFECECEC"/>
      </left>
      <right style="medium">
        <color rgb="FFECECEC"/>
      </right>
      <top style="medium">
        <color rgb="FFECECEC"/>
      </top>
      <bottom style="medium">
        <color rgb="FFECECEC"/>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top/>
      <bottom style="thin">
        <color rgb="FF000000"/>
      </bottom>
      <diagonal/>
    </border>
    <border>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style="thin">
        <color rgb="FF000000"/>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thin">
        <color rgb="FF000000"/>
      </left>
      <right/>
      <top style="thin">
        <color indexed="64"/>
      </top>
      <bottom style="thin">
        <color indexed="64"/>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rgb="FF000000"/>
      </right>
      <top/>
      <bottom style="thin">
        <color rgb="FF000000"/>
      </bottom>
      <diagonal/>
    </border>
    <border>
      <left style="thin">
        <color indexed="64"/>
      </left>
      <right style="thin">
        <color indexed="64"/>
      </right>
      <top style="medium">
        <color indexed="64"/>
      </top>
      <bottom style="medium">
        <color indexed="64"/>
      </bottom>
      <diagonal/>
    </border>
  </borders>
  <cellStyleXfs count="392">
    <xf numFmtId="168" fontId="0" fillId="0" borderId="0"/>
    <xf numFmtId="43" fontId="1" fillId="0" borderId="0" applyFont="0" applyFill="0" applyBorder="0" applyAlignment="0" applyProtection="0"/>
    <xf numFmtId="42" fontId="1" fillId="0" borderId="0" applyFont="0" applyFill="0" applyBorder="0" applyAlignment="0" applyProtection="0"/>
    <xf numFmtId="167" fontId="5" fillId="0" borderId="0" applyFont="0" applyFill="0" applyBorder="0" applyAlignment="0" applyProtection="0"/>
    <xf numFmtId="168" fontId="7" fillId="4" borderId="9">
      <alignment horizontal="center" vertical="center" wrapText="1"/>
    </xf>
    <xf numFmtId="0" fontId="1" fillId="0" borderId="0"/>
    <xf numFmtId="167" fontId="1" fillId="0" borderId="0" applyFont="0" applyFill="0" applyBorder="0" applyAlignment="0" applyProtection="0"/>
    <xf numFmtId="0" fontId="7" fillId="4" borderId="9">
      <alignment horizontal="center" vertical="center" wrapText="1"/>
    </xf>
    <xf numFmtId="168" fontId="8" fillId="0" borderId="0"/>
    <xf numFmtId="165" fontId="1" fillId="0" borderId="0" applyFont="0" applyFill="0" applyBorder="0" applyAlignment="0" applyProtection="0"/>
    <xf numFmtId="43" fontId="1" fillId="0" borderId="0" applyFont="0" applyFill="0" applyBorder="0" applyAlignment="0" applyProtection="0"/>
    <xf numFmtId="166" fontId="1" fillId="0" borderId="0" applyFont="0" applyFill="0" applyBorder="0" applyAlignment="0" applyProtection="0"/>
    <xf numFmtId="0" fontId="9" fillId="5" borderId="13">
      <alignment horizontal="center" vertical="center" wrapText="1"/>
    </xf>
    <xf numFmtId="0" fontId="8" fillId="0" borderId="0"/>
    <xf numFmtId="0" fontId="10" fillId="0" borderId="0"/>
    <xf numFmtId="0" fontId="8" fillId="0" borderId="0"/>
    <xf numFmtId="0" fontId="1" fillId="0" borderId="0"/>
    <xf numFmtId="0" fontId="1" fillId="0" borderId="0"/>
    <xf numFmtId="0" fontId="11" fillId="0" borderId="23" applyNumberFormat="0" applyFill="0" applyAlignment="0" applyProtection="0"/>
    <xf numFmtId="0" fontId="12" fillId="0" borderId="24" applyNumberFormat="0" applyFill="0" applyAlignment="0" applyProtection="0"/>
    <xf numFmtId="0" fontId="13" fillId="0" borderId="25" applyNumberFormat="0" applyFill="0" applyAlignment="0" applyProtection="0"/>
    <xf numFmtId="0" fontId="13" fillId="0" borderId="0" applyNumberFormat="0" applyFill="0" applyBorder="0" applyAlignment="0" applyProtection="0"/>
    <xf numFmtId="0" fontId="14" fillId="7" borderId="0" applyNumberFormat="0" applyBorder="0" applyAlignment="0" applyProtection="0"/>
    <xf numFmtId="0" fontId="15" fillId="8" borderId="0" applyNumberFormat="0" applyBorder="0" applyAlignment="0" applyProtection="0"/>
    <xf numFmtId="0" fontId="16" fillId="9" borderId="26" applyNumberFormat="0" applyAlignment="0" applyProtection="0"/>
    <xf numFmtId="0" fontId="17" fillId="10" borderId="27" applyNumberFormat="0" applyAlignment="0" applyProtection="0"/>
    <xf numFmtId="0" fontId="18" fillId="10" borderId="26" applyNumberFormat="0" applyAlignment="0" applyProtection="0"/>
    <xf numFmtId="0" fontId="19" fillId="0" borderId="28" applyNumberFormat="0" applyFill="0" applyAlignment="0" applyProtection="0"/>
    <xf numFmtId="0" fontId="9" fillId="11" borderId="29" applyNumberFormat="0" applyAlignment="0" applyProtection="0"/>
    <xf numFmtId="0" fontId="20" fillId="0" borderId="0" applyNumberFormat="0" applyFill="0" applyBorder="0" applyAlignment="0" applyProtection="0"/>
    <xf numFmtId="0" fontId="1" fillId="12" borderId="30" applyNumberFormat="0" applyFont="0" applyAlignment="0" applyProtection="0"/>
    <xf numFmtId="0" fontId="21" fillId="0" borderId="0" applyNumberFormat="0" applyFill="0" applyBorder="0" applyAlignment="0" applyProtection="0"/>
    <xf numFmtId="0" fontId="22" fillId="0" borderId="31" applyNumberFormat="0" applyFill="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3" fillId="36" borderId="0" applyNumberFormat="0" applyBorder="0" applyAlignment="0" applyProtection="0"/>
    <xf numFmtId="0" fontId="1" fillId="0" borderId="0"/>
    <xf numFmtId="168" fontId="1" fillId="0" borderId="0"/>
    <xf numFmtId="174" fontId="1" fillId="22" borderId="0" applyNumberFormat="0" applyBorder="0" applyAlignment="0" applyProtection="0"/>
    <xf numFmtId="174" fontId="1" fillId="0" borderId="0"/>
    <xf numFmtId="168" fontId="1" fillId="0" borderId="0"/>
    <xf numFmtId="0" fontId="25" fillId="0" borderId="0" applyNumberFormat="0" applyFill="0" applyBorder="0" applyAlignment="0" applyProtection="0"/>
    <xf numFmtId="174" fontId="12" fillId="0" borderId="24" applyNumberFormat="0" applyFill="0" applyAlignment="0" applyProtection="0"/>
    <xf numFmtId="174" fontId="1" fillId="0" borderId="0"/>
    <xf numFmtId="174" fontId="1" fillId="35" borderId="0" applyNumberFormat="0" applyBorder="0" applyAlignment="0" applyProtection="0"/>
    <xf numFmtId="174" fontId="9" fillId="11" borderId="29" applyNumberFormat="0" applyAlignment="0" applyProtection="0"/>
    <xf numFmtId="174" fontId="18" fillId="10" borderId="26" applyNumberFormat="0" applyAlignment="0" applyProtection="0"/>
    <xf numFmtId="174" fontId="1" fillId="0" borderId="0"/>
    <xf numFmtId="168" fontId="1" fillId="0" borderId="0"/>
    <xf numFmtId="174" fontId="23" fillId="24" borderId="0" applyNumberFormat="0" applyBorder="0" applyAlignment="0" applyProtection="0"/>
    <xf numFmtId="174" fontId="1" fillId="0" borderId="0"/>
    <xf numFmtId="174" fontId="1" fillId="0" borderId="0"/>
    <xf numFmtId="174" fontId="1" fillId="0" borderId="0"/>
    <xf numFmtId="168" fontId="1" fillId="0" borderId="0"/>
    <xf numFmtId="174" fontId="15" fillId="8" borderId="0" applyNumberFormat="0" applyBorder="0" applyAlignment="0" applyProtection="0"/>
    <xf numFmtId="174" fontId="1" fillId="0" borderId="0"/>
    <xf numFmtId="168" fontId="1" fillId="0" borderId="0"/>
    <xf numFmtId="174" fontId="23" fillId="36" borderId="0" applyNumberFormat="0" applyBorder="0" applyAlignment="0" applyProtection="0"/>
    <xf numFmtId="168" fontId="1" fillId="0" borderId="0"/>
    <xf numFmtId="174" fontId="1" fillId="0" borderId="0"/>
    <xf numFmtId="174"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5"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42" fontId="1" fillId="0" borderId="0" applyFont="0" applyFill="0" applyBorder="0" applyAlignment="0" applyProtection="0"/>
    <xf numFmtId="165" fontId="1" fillId="0" borderId="0" applyFont="0" applyFill="0" applyBorder="0" applyAlignment="0" applyProtection="0"/>
    <xf numFmtId="43"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26" fillId="0" borderId="0"/>
    <xf numFmtId="44" fontId="1" fillId="0" borderId="0" applyFont="0" applyFill="0" applyBorder="0" applyAlignment="0" applyProtection="0"/>
    <xf numFmtId="0" fontId="8" fillId="0" borderId="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1" fontId="1" fillId="0" borderId="0" applyFont="0" applyFill="0" applyBorder="0" applyAlignment="0" applyProtection="0"/>
    <xf numFmtId="173" fontId="1" fillId="0" borderId="0" applyFont="0" applyFill="0" applyBorder="0" applyAlignment="0" applyProtection="0"/>
    <xf numFmtId="42" fontId="8" fillId="0" borderId="0" applyFont="0" applyFill="0" applyBorder="0" applyAlignment="0" applyProtection="0"/>
    <xf numFmtId="174" fontId="1" fillId="0" borderId="0"/>
    <xf numFmtId="0" fontId="1" fillId="0" borderId="0"/>
    <xf numFmtId="0" fontId="1" fillId="0" borderId="0"/>
    <xf numFmtId="9"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8" fontId="8"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1" fontId="1" fillId="0" borderId="0" applyFont="0" applyFill="0" applyBorder="0" applyAlignment="0" applyProtection="0"/>
    <xf numFmtId="0" fontId="1" fillId="0" borderId="0"/>
    <xf numFmtId="44"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0" fontId="1" fillId="0" borderId="0"/>
    <xf numFmtId="43" fontId="5" fillId="0" borderId="0" applyFont="0" applyFill="0" applyBorder="0" applyAlignment="0" applyProtection="0"/>
    <xf numFmtId="0" fontId="26" fillId="0" borderId="0"/>
    <xf numFmtId="164" fontId="1" fillId="0" borderId="0" applyFont="0" applyFill="0" applyBorder="0" applyAlignment="0" applyProtection="0"/>
    <xf numFmtId="0" fontId="1" fillId="0" borderId="0"/>
    <xf numFmtId="168" fontId="1" fillId="0" borderId="0"/>
    <xf numFmtId="174" fontId="19" fillId="0" borderId="28" applyNumberFormat="0" applyFill="0" applyAlignment="0" applyProtection="0"/>
    <xf numFmtId="168" fontId="1" fillId="0" borderId="0"/>
    <xf numFmtId="174" fontId="23" fillId="21" borderId="0" applyNumberFormat="0" applyBorder="0" applyAlignment="0" applyProtection="0"/>
    <xf numFmtId="174" fontId="1" fillId="0" borderId="0"/>
    <xf numFmtId="168" fontId="1" fillId="0" borderId="0"/>
    <xf numFmtId="174" fontId="1" fillId="0" borderId="0"/>
    <xf numFmtId="174" fontId="1" fillId="0" borderId="0"/>
    <xf numFmtId="174" fontId="1" fillId="0" borderId="0"/>
    <xf numFmtId="174" fontId="1" fillId="0" borderId="0"/>
    <xf numFmtId="174" fontId="1" fillId="0" borderId="0"/>
    <xf numFmtId="174" fontId="16" fillId="9" borderId="26" applyNumberFormat="0" applyAlignment="0" applyProtection="0"/>
    <xf numFmtId="168" fontId="1" fillId="0" borderId="0"/>
    <xf numFmtId="174" fontId="1" fillId="0" borderId="0"/>
    <xf numFmtId="174" fontId="23" fillId="17" borderId="0" applyNumberFormat="0" applyBorder="0" applyAlignment="0" applyProtection="0"/>
    <xf numFmtId="174" fontId="1" fillId="0" borderId="0"/>
    <xf numFmtId="174" fontId="1" fillId="0" borderId="0"/>
    <xf numFmtId="174" fontId="1" fillId="0" borderId="0"/>
    <xf numFmtId="174" fontId="23" fillId="25" borderId="0" applyNumberFormat="0" applyBorder="0" applyAlignment="0" applyProtection="0"/>
    <xf numFmtId="174" fontId="1" fillId="0" borderId="0"/>
    <xf numFmtId="174" fontId="13" fillId="0" borderId="25" applyNumberFormat="0" applyFill="0" applyAlignment="0" applyProtection="0"/>
    <xf numFmtId="168" fontId="1" fillId="0" borderId="0"/>
    <xf numFmtId="174" fontId="24" fillId="0" borderId="0" applyNumberFormat="0" applyFill="0" applyBorder="0" applyAlignment="0" applyProtection="0"/>
    <xf numFmtId="174" fontId="1" fillId="0" borderId="0"/>
    <xf numFmtId="174" fontId="1" fillId="0" borderId="0"/>
    <xf numFmtId="168" fontId="1" fillId="0" borderId="0"/>
    <xf numFmtId="174" fontId="1" fillId="15" borderId="0" applyNumberFormat="0" applyBorder="0" applyAlignment="0" applyProtection="0"/>
    <xf numFmtId="174" fontId="26" fillId="0" borderId="0"/>
    <xf numFmtId="174" fontId="1" fillId="0" borderId="0"/>
    <xf numFmtId="168" fontId="1" fillId="0" borderId="0"/>
    <xf numFmtId="174" fontId="1" fillId="0" borderId="0"/>
    <xf numFmtId="174" fontId="13" fillId="0" borderId="0" applyNumberFormat="0" applyFill="0" applyBorder="0" applyAlignment="0" applyProtection="0"/>
    <xf numFmtId="174" fontId="1" fillId="0" borderId="0"/>
    <xf numFmtId="174" fontId="1" fillId="12" borderId="30" applyNumberFormat="0" applyFont="0" applyAlignment="0" applyProtection="0"/>
    <xf numFmtId="174" fontId="1" fillId="0" borderId="0"/>
    <xf numFmtId="174" fontId="17" fillId="10" borderId="27" applyNumberFormat="0" applyAlignment="0" applyProtection="0"/>
    <xf numFmtId="168" fontId="1" fillId="0" borderId="0"/>
    <xf numFmtId="168" fontId="1" fillId="0" borderId="0"/>
    <xf numFmtId="174" fontId="1" fillId="0" borderId="0"/>
    <xf numFmtId="174" fontId="1" fillId="0" borderId="0"/>
    <xf numFmtId="174" fontId="1" fillId="0" borderId="0"/>
    <xf numFmtId="168" fontId="1" fillId="0" borderId="0"/>
    <xf numFmtId="174" fontId="8" fillId="0" borderId="0"/>
    <xf numFmtId="174" fontId="23" fillId="16" borderId="0" applyNumberFormat="0" applyBorder="0" applyAlignment="0" applyProtection="0"/>
    <xf numFmtId="168" fontId="1" fillId="0" borderId="0"/>
    <xf numFmtId="174" fontId="1" fillId="34" borderId="0" applyNumberFormat="0" applyBorder="0" applyAlignment="0" applyProtection="0"/>
    <xf numFmtId="174" fontId="1" fillId="0" borderId="0"/>
    <xf numFmtId="174" fontId="1" fillId="0" borderId="0"/>
    <xf numFmtId="174" fontId="1" fillId="27" borderId="0" applyNumberFormat="0" applyBorder="0" applyAlignment="0" applyProtection="0"/>
    <xf numFmtId="168" fontId="1" fillId="0" borderId="0"/>
    <xf numFmtId="174" fontId="22" fillId="0" borderId="31" applyNumberFormat="0" applyFill="0" applyAlignment="0" applyProtection="0"/>
    <xf numFmtId="174" fontId="8" fillId="0" borderId="0"/>
    <xf numFmtId="174" fontId="1" fillId="0" borderId="0"/>
    <xf numFmtId="174" fontId="1" fillId="30" borderId="0" applyNumberFormat="0" applyBorder="0" applyAlignment="0" applyProtection="0"/>
    <xf numFmtId="174" fontId="23" fillId="13" borderId="0" applyNumberFormat="0" applyBorder="0" applyAlignment="0" applyProtection="0"/>
    <xf numFmtId="174" fontId="1" fillId="0" borderId="0"/>
    <xf numFmtId="168" fontId="1" fillId="0" borderId="0"/>
    <xf numFmtId="174" fontId="1" fillId="0" borderId="0"/>
    <xf numFmtId="168" fontId="1" fillId="0" borderId="0"/>
    <xf numFmtId="168" fontId="1" fillId="0" borderId="0"/>
    <xf numFmtId="174" fontId="8" fillId="0" borderId="0"/>
    <xf numFmtId="174" fontId="25" fillId="0" borderId="0" applyNumberFormat="0" applyFill="0" applyBorder="0" applyAlignment="0" applyProtection="0"/>
    <xf numFmtId="174" fontId="1" fillId="0" borderId="0"/>
    <xf numFmtId="174" fontId="1" fillId="14" borderId="0" applyNumberFormat="0" applyBorder="0" applyAlignment="0" applyProtection="0"/>
    <xf numFmtId="174" fontId="1" fillId="0" borderId="0"/>
    <xf numFmtId="174" fontId="23" fillId="32" borderId="0" applyNumberFormat="0" applyBorder="0" applyAlignment="0" applyProtection="0"/>
    <xf numFmtId="174" fontId="1" fillId="0" borderId="0"/>
    <xf numFmtId="174" fontId="23" fillId="28" borderId="0" applyNumberFormat="0" applyBorder="0" applyAlignment="0" applyProtection="0"/>
    <xf numFmtId="174" fontId="1" fillId="0" borderId="0"/>
    <xf numFmtId="174" fontId="1" fillId="0" borderId="0"/>
    <xf numFmtId="174" fontId="1" fillId="0" borderId="0"/>
    <xf numFmtId="174" fontId="1" fillId="0" borderId="0"/>
    <xf numFmtId="174" fontId="23" fillId="20" borderId="0" applyNumberFormat="0" applyBorder="0" applyAlignment="0" applyProtection="0"/>
    <xf numFmtId="174" fontId="1" fillId="0" borderId="0"/>
    <xf numFmtId="174" fontId="8" fillId="0" borderId="0"/>
    <xf numFmtId="174" fontId="1" fillId="0" borderId="0"/>
    <xf numFmtId="174" fontId="10" fillId="0" borderId="0"/>
    <xf numFmtId="174" fontId="1" fillId="0" borderId="0"/>
    <xf numFmtId="174" fontId="23" fillId="33" borderId="0" applyNumberFormat="0" applyBorder="0" applyAlignment="0" applyProtection="0"/>
    <xf numFmtId="174" fontId="20" fillId="0" borderId="0" applyNumberFormat="0" applyFill="0" applyBorder="0" applyAlignment="0" applyProtection="0"/>
    <xf numFmtId="174" fontId="1" fillId="31" borderId="0" applyNumberFormat="0" applyBorder="0" applyAlignment="0" applyProtection="0"/>
    <xf numFmtId="174" fontId="1" fillId="19" borderId="0" applyNumberFormat="0" applyBorder="0" applyAlignment="0" applyProtection="0"/>
    <xf numFmtId="174" fontId="21" fillId="0" borderId="0" applyNumberFormat="0" applyFill="0" applyBorder="0" applyAlignment="0" applyProtection="0"/>
    <xf numFmtId="174" fontId="1" fillId="18" borderId="0" applyNumberFormat="0" applyBorder="0" applyAlignment="0" applyProtection="0"/>
    <xf numFmtId="174" fontId="14" fillId="7" borderId="0" applyNumberFormat="0" applyBorder="0" applyAlignment="0" applyProtection="0"/>
    <xf numFmtId="168" fontId="1" fillId="0" borderId="0"/>
    <xf numFmtId="168" fontId="1" fillId="0" borderId="0"/>
    <xf numFmtId="174" fontId="1" fillId="26" borderId="0" applyNumberFormat="0" applyBorder="0" applyAlignment="0" applyProtection="0"/>
    <xf numFmtId="174" fontId="1" fillId="0" borderId="0"/>
    <xf numFmtId="174" fontId="1" fillId="0" borderId="0"/>
    <xf numFmtId="174" fontId="1" fillId="23" borderId="0" applyNumberFormat="0" applyBorder="0" applyAlignment="0" applyProtection="0"/>
    <xf numFmtId="174" fontId="7" fillId="4" borderId="9">
      <alignment horizontal="center" vertical="center" wrapText="1"/>
    </xf>
    <xf numFmtId="174" fontId="1" fillId="0" borderId="0"/>
    <xf numFmtId="174" fontId="7" fillId="4" borderId="9">
      <alignment horizontal="center" vertical="center" wrapText="1"/>
    </xf>
    <xf numFmtId="174" fontId="1" fillId="0" borderId="0"/>
    <xf numFmtId="174" fontId="23" fillId="29" borderId="0" applyNumberFormat="0" applyBorder="0" applyAlignment="0" applyProtection="0"/>
    <xf numFmtId="168" fontId="1" fillId="0" borderId="0"/>
    <xf numFmtId="174" fontId="1" fillId="0" borderId="0"/>
    <xf numFmtId="174" fontId="1" fillId="0" borderId="0"/>
    <xf numFmtId="174" fontId="11" fillId="0" borderId="23" applyNumberFormat="0" applyFill="0" applyAlignment="0" applyProtection="0"/>
    <xf numFmtId="174" fontId="26" fillId="0" borderId="0"/>
    <xf numFmtId="174" fontId="1" fillId="0" borderId="0"/>
    <xf numFmtId="174" fontId="1" fillId="0" borderId="0"/>
    <xf numFmtId="174" fontId="1" fillId="0" borderId="0"/>
    <xf numFmtId="168" fontId="1" fillId="0" borderId="0"/>
    <xf numFmtId="174" fontId="1" fillId="0" borderId="0"/>
    <xf numFmtId="174" fontId="1" fillId="0" borderId="0"/>
    <xf numFmtId="0" fontId="8" fillId="0" borderId="0"/>
    <xf numFmtId="174" fontId="1" fillId="0" borderId="0"/>
    <xf numFmtId="174" fontId="1" fillId="0" borderId="0"/>
    <xf numFmtId="174" fontId="1" fillId="0" borderId="0"/>
    <xf numFmtId="168" fontId="1" fillId="0" borderId="0"/>
    <xf numFmtId="0" fontId="1" fillId="0" borderId="0"/>
    <xf numFmtId="0" fontId="8" fillId="0" borderId="0"/>
    <xf numFmtId="0" fontId="5" fillId="37" borderId="0" applyNumberFormat="0" applyBorder="0" applyAlignment="0" applyProtection="0"/>
    <xf numFmtId="0" fontId="5" fillId="37"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8"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39"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1"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2"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4"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5"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0"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3"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5" fillId="46" borderId="0" applyNumberFormat="0" applyBorder="0" applyAlignment="0" applyProtection="0"/>
    <xf numFmtId="0" fontId="27" fillId="47" borderId="0" applyNumberFormat="0" applyBorder="0" applyAlignment="0" applyProtection="0"/>
    <xf numFmtId="0" fontId="27" fillId="44" borderId="0" applyNumberFormat="0" applyBorder="0" applyAlignment="0" applyProtection="0"/>
    <xf numFmtId="0" fontId="27" fillId="45" borderId="0" applyNumberFormat="0" applyBorder="0" applyAlignment="0" applyProtection="0"/>
    <xf numFmtId="0" fontId="27" fillId="48" borderId="0" applyNumberFormat="0" applyBorder="0" applyAlignment="0" applyProtection="0"/>
    <xf numFmtId="0" fontId="27" fillId="49" borderId="0" applyNumberFormat="0" applyBorder="0" applyAlignment="0" applyProtection="0"/>
    <xf numFmtId="0" fontId="27" fillId="50" borderId="0" applyNumberFormat="0" applyBorder="0" applyAlignment="0" applyProtection="0"/>
    <xf numFmtId="0" fontId="28" fillId="39" borderId="0" applyNumberFormat="0" applyBorder="0" applyAlignment="0" applyProtection="0"/>
    <xf numFmtId="0" fontId="29" fillId="51" borderId="32" applyNumberFormat="0" applyAlignment="0" applyProtection="0"/>
    <xf numFmtId="0" fontId="30" fillId="52" borderId="33" applyNumberFormat="0" applyAlignment="0" applyProtection="0"/>
    <xf numFmtId="0" fontId="31" fillId="0" borderId="34" applyNumberFormat="0" applyFill="0" applyAlignment="0" applyProtection="0"/>
    <xf numFmtId="0" fontId="32" fillId="0" borderId="0" applyNumberFormat="0" applyFill="0" applyBorder="0" applyAlignment="0" applyProtection="0"/>
    <xf numFmtId="0" fontId="27" fillId="53" borderId="0" applyNumberFormat="0" applyBorder="0" applyAlignment="0" applyProtection="0"/>
    <xf numFmtId="0" fontId="27" fillId="54" borderId="0" applyNumberFormat="0" applyBorder="0" applyAlignment="0" applyProtection="0"/>
    <xf numFmtId="0" fontId="27" fillId="55" borderId="0" applyNumberFormat="0" applyBorder="0" applyAlignment="0" applyProtection="0"/>
    <xf numFmtId="0" fontId="27" fillId="48" borderId="0" applyNumberFormat="0" applyBorder="0" applyAlignment="0" applyProtection="0"/>
    <xf numFmtId="0" fontId="27" fillId="49" borderId="0" applyNumberFormat="0" applyBorder="0" applyAlignment="0" applyProtection="0"/>
    <xf numFmtId="0" fontId="27" fillId="56" borderId="0" applyNumberFormat="0" applyBorder="0" applyAlignment="0" applyProtection="0"/>
    <xf numFmtId="0" fontId="33" fillId="42" borderId="32" applyNumberFormat="0" applyAlignment="0" applyProtection="0"/>
    <xf numFmtId="174" fontId="8" fillId="0" borderId="0" applyFont="0" applyFill="0" applyBorder="0" applyAlignment="0" applyProtection="0"/>
    <xf numFmtId="174" fontId="8" fillId="0" borderId="0" applyFont="0" applyFill="0" applyBorder="0" applyAlignment="0" applyProtection="0"/>
    <xf numFmtId="175" fontId="34" fillId="0" borderId="0">
      <protection locked="0"/>
    </xf>
    <xf numFmtId="175" fontId="34" fillId="0" borderId="0">
      <protection locked="0"/>
    </xf>
    <xf numFmtId="175" fontId="34" fillId="0" borderId="0">
      <protection locked="0"/>
    </xf>
    <xf numFmtId="175" fontId="35" fillId="0" borderId="0">
      <protection locked="0"/>
    </xf>
    <xf numFmtId="175" fontId="36" fillId="0" borderId="0">
      <protection locked="0"/>
    </xf>
    <xf numFmtId="175" fontId="35" fillId="0" borderId="0">
      <protection locked="0"/>
    </xf>
    <xf numFmtId="175" fontId="36" fillId="0" borderId="0">
      <protection locked="0"/>
    </xf>
    <xf numFmtId="0" fontId="37" fillId="38" borderId="0" applyNumberFormat="0" applyBorder="0" applyAlignment="0" applyProtection="0"/>
    <xf numFmtId="176" fontId="8" fillId="0" borderId="0" applyFont="0" applyFill="0" applyBorder="0" applyAlignment="0" applyProtection="0"/>
    <xf numFmtId="0" fontId="38" fillId="57" borderId="0" applyNumberFormat="0" applyBorder="0" applyAlignment="0" applyProtection="0"/>
    <xf numFmtId="0" fontId="8" fillId="0" borderId="0"/>
    <xf numFmtId="174" fontId="5" fillId="0" borderId="0"/>
    <xf numFmtId="0" fontId="8" fillId="0" borderId="0"/>
    <xf numFmtId="174" fontId="5" fillId="0" borderId="0"/>
    <xf numFmtId="0" fontId="8" fillId="0" borderId="0"/>
    <xf numFmtId="174" fontId="5" fillId="0" borderId="0"/>
    <xf numFmtId="0" fontId="8" fillId="0" borderId="0"/>
    <xf numFmtId="0" fontId="8" fillId="0" borderId="0"/>
    <xf numFmtId="174" fontId="5" fillId="0" borderId="0"/>
    <xf numFmtId="174" fontId="5" fillId="0" borderId="0"/>
    <xf numFmtId="0" fontId="8" fillId="0" borderId="0"/>
    <xf numFmtId="0" fontId="8" fillId="0" borderId="0"/>
    <xf numFmtId="0" fontId="8" fillId="0" borderId="0"/>
    <xf numFmtId="174" fontId="5" fillId="0" borderId="0"/>
    <xf numFmtId="174" fontId="5" fillId="0" borderId="0"/>
    <xf numFmtId="174" fontId="5" fillId="0" borderId="0"/>
    <xf numFmtId="0" fontId="8" fillId="0" borderId="0"/>
    <xf numFmtId="0" fontId="1" fillId="0" borderId="0"/>
    <xf numFmtId="174" fontId="5" fillId="0" borderId="0"/>
    <xf numFmtId="174" fontId="5" fillId="0" borderId="0"/>
    <xf numFmtId="0" fontId="8" fillId="0" borderId="0"/>
    <xf numFmtId="0" fontId="8" fillId="0" borderId="0"/>
    <xf numFmtId="0" fontId="8" fillId="0" borderId="0"/>
    <xf numFmtId="0" fontId="46" fillId="0" borderId="0"/>
    <xf numFmtId="0" fontId="8" fillId="0" borderId="0"/>
    <xf numFmtId="0" fontId="8" fillId="0" borderId="0"/>
    <xf numFmtId="0" fontId="8" fillId="58" borderId="36" applyNumberFormat="0" applyFont="0" applyAlignment="0" applyProtection="0"/>
    <xf numFmtId="0" fontId="8" fillId="58" borderId="36" applyNumberFormat="0" applyFont="0" applyAlignment="0" applyProtection="0"/>
    <xf numFmtId="0" fontId="39" fillId="51" borderId="37" applyNumberFormat="0" applyAlignment="0" applyProtection="0"/>
    <xf numFmtId="0" fontId="47" fillId="59" borderId="0"/>
    <xf numFmtId="0" fontId="40" fillId="0" borderId="0" applyNumberFormat="0" applyFill="0" applyBorder="0" applyAlignment="0" applyProtection="0"/>
    <xf numFmtId="0" fontId="41" fillId="0" borderId="0" applyNumberFormat="0" applyFill="0" applyBorder="0" applyAlignment="0" applyProtection="0"/>
    <xf numFmtId="0" fontId="42" fillId="0" borderId="35" applyNumberFormat="0" applyFill="0" applyAlignment="0" applyProtection="0"/>
    <xf numFmtId="0" fontId="43" fillId="0" borderId="38" applyNumberFormat="0" applyFill="0" applyAlignment="0" applyProtection="0"/>
    <xf numFmtId="0" fontId="32" fillId="0" borderId="39" applyNumberFormat="0" applyFill="0" applyAlignment="0" applyProtection="0"/>
    <xf numFmtId="0" fontId="44" fillId="0" borderId="0" applyNumberFormat="0" applyFill="0" applyBorder="0" applyAlignment="0" applyProtection="0"/>
    <xf numFmtId="0" fontId="45" fillId="0" borderId="40" applyNumberFormat="0" applyFill="0" applyAlignment="0" applyProtection="0"/>
    <xf numFmtId="0" fontId="8" fillId="0" borderId="0"/>
    <xf numFmtId="166"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174" fontId="1" fillId="0" borderId="0"/>
    <xf numFmtId="0" fontId="1" fillId="0" borderId="0"/>
    <xf numFmtId="41" fontId="1" fillId="0" borderId="0" applyFont="0" applyFill="0" applyBorder="0" applyAlignment="0" applyProtection="0"/>
  </cellStyleXfs>
  <cellXfs count="707">
    <xf numFmtId="168" fontId="0" fillId="0" borderId="0" xfId="0"/>
    <xf numFmtId="168" fontId="2" fillId="0" borderId="0" xfId="0" applyFont="1"/>
    <xf numFmtId="168" fontId="2" fillId="2" borderId="0" xfId="0" applyFont="1" applyFill="1"/>
    <xf numFmtId="168" fontId="4" fillId="0" borderId="0" xfId="0" applyFont="1" applyAlignment="1">
      <alignment horizontal="center" vertical="center"/>
    </xf>
    <xf numFmtId="168" fontId="3" fillId="0" borderId="0" xfId="0" applyFont="1" applyAlignment="1">
      <alignment vertical="center"/>
    </xf>
    <xf numFmtId="0" fontId="3" fillId="0" borderId="5" xfId="0" applyNumberFormat="1" applyFont="1" applyBorder="1" applyAlignment="1">
      <alignment horizontal="center" vertical="center" wrapText="1"/>
    </xf>
    <xf numFmtId="0" fontId="2" fillId="0" borderId="0" xfId="0" applyNumberFormat="1" applyFont="1" applyAlignment="1">
      <alignment horizontal="left" vertical="center"/>
    </xf>
    <xf numFmtId="0" fontId="2" fillId="0" borderId="0" xfId="0" applyNumberFormat="1" applyFont="1" applyAlignment="1">
      <alignment horizontal="center" vertical="center"/>
    </xf>
    <xf numFmtId="168" fontId="2" fillId="0" borderId="0" xfId="0" applyFont="1" applyAlignment="1">
      <alignment horizontal="center"/>
    </xf>
    <xf numFmtId="0" fontId="2" fillId="0" borderId="0" xfId="0" applyNumberFormat="1" applyFont="1" applyAlignment="1">
      <alignment horizontal="justify" vertical="center" wrapText="1"/>
    </xf>
    <xf numFmtId="0" fontId="2" fillId="0" borderId="0" xfId="0" applyNumberFormat="1" applyFont="1" applyAlignment="1">
      <alignment horizontal="center" vertical="center" wrapText="1"/>
    </xf>
    <xf numFmtId="168" fontId="2" fillId="0" borderId="0" xfId="0" applyFont="1" applyAlignment="1">
      <alignment horizontal="justify" vertical="center" wrapText="1"/>
    </xf>
    <xf numFmtId="171" fontId="2" fillId="0" borderId="0" xfId="6" applyNumberFormat="1" applyFont="1" applyAlignment="1">
      <alignment horizontal="center"/>
    </xf>
    <xf numFmtId="168" fontId="3" fillId="0" borderId="0" xfId="0" applyFont="1"/>
    <xf numFmtId="168" fontId="3" fillId="0" borderId="4" xfId="0" applyFont="1" applyBorder="1" applyAlignment="1">
      <alignment horizontal="center" vertical="center" wrapText="1"/>
    </xf>
    <xf numFmtId="168" fontId="3" fillId="0" borderId="5" xfId="0" applyFont="1" applyBorder="1" applyAlignment="1">
      <alignment horizontal="center" vertical="center" wrapText="1"/>
    </xf>
    <xf numFmtId="168" fontId="2" fillId="0" borderId="0" xfId="0" applyFont="1" applyFill="1"/>
    <xf numFmtId="168" fontId="3" fillId="0" borderId="5" xfId="0" applyFont="1" applyBorder="1" applyAlignment="1">
      <alignment horizontal="justify" vertical="center" wrapText="1"/>
    </xf>
    <xf numFmtId="0" fontId="3" fillId="0" borderId="5" xfId="0" applyNumberFormat="1" applyFont="1" applyBorder="1" applyAlignment="1">
      <alignment horizontal="justify" vertical="center" wrapText="1"/>
    </xf>
    <xf numFmtId="168" fontId="2" fillId="2" borderId="0" xfId="0" applyFont="1" applyFill="1" applyAlignment="1">
      <alignment horizontal="center"/>
    </xf>
    <xf numFmtId="0" fontId="3" fillId="6" borderId="12" xfId="0" applyNumberFormat="1" applyFont="1" applyFill="1" applyBorder="1" applyAlignment="1">
      <alignment horizontal="left" vertical="center"/>
    </xf>
    <xf numFmtId="0" fontId="2" fillId="0" borderId="12" xfId="0" applyNumberFormat="1" applyFont="1" applyFill="1" applyBorder="1" applyAlignment="1">
      <alignment horizontal="center" vertical="center" wrapText="1"/>
    </xf>
    <xf numFmtId="0" fontId="2" fillId="0" borderId="12" xfId="5" applyFont="1" applyFill="1" applyBorder="1" applyAlignment="1">
      <alignment horizontal="justify" vertical="center" wrapText="1"/>
    </xf>
    <xf numFmtId="0" fontId="3" fillId="0" borderId="12" xfId="0" applyNumberFormat="1" applyFont="1" applyFill="1" applyBorder="1" applyAlignment="1">
      <alignment horizontal="center" vertical="center" wrapText="1"/>
    </xf>
    <xf numFmtId="0" fontId="2" fillId="0" borderId="12" xfId="0" applyNumberFormat="1" applyFont="1" applyFill="1" applyBorder="1" applyAlignment="1">
      <alignment horizontal="center" vertical="center"/>
    </xf>
    <xf numFmtId="0" fontId="2" fillId="0" borderId="0"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168" fontId="2" fillId="0" borderId="2" xfId="0" applyFont="1" applyFill="1" applyBorder="1" applyAlignment="1">
      <alignment horizontal="justify" vertical="center" wrapText="1"/>
    </xf>
    <xf numFmtId="168" fontId="2" fillId="0" borderId="0" xfId="0" applyFont="1" applyBorder="1"/>
    <xf numFmtId="168" fontId="3" fillId="0" borderId="0" xfId="0" applyFont="1" applyBorder="1" applyAlignment="1">
      <alignment horizontal="center" vertical="center" wrapText="1"/>
    </xf>
    <xf numFmtId="168" fontId="2" fillId="0" borderId="0" xfId="0" applyFont="1" applyFill="1" applyAlignment="1">
      <alignment vertical="center"/>
    </xf>
    <xf numFmtId="0" fontId="3" fillId="0" borderId="0" xfId="0" applyNumberFormat="1" applyFont="1" applyBorder="1" applyAlignment="1">
      <alignment horizontal="justify" vertical="center" wrapText="1"/>
    </xf>
    <xf numFmtId="0" fontId="3" fillId="0" borderId="0" xfId="0" applyNumberFormat="1" applyFont="1" applyBorder="1" applyAlignment="1">
      <alignment horizontal="center" vertical="center" wrapText="1"/>
    </xf>
    <xf numFmtId="168" fontId="3" fillId="0" borderId="0" xfId="0" applyFont="1" applyBorder="1" applyAlignment="1">
      <alignment horizontal="justify" vertical="center" wrapText="1"/>
    </xf>
    <xf numFmtId="168" fontId="2" fillId="0" borderId="15" xfId="0" applyFont="1" applyFill="1" applyBorder="1" applyAlignment="1">
      <alignment horizontal="justify" vertical="center" wrapText="1"/>
    </xf>
    <xf numFmtId="1" fontId="3" fillId="0" borderId="0" xfId="1" applyNumberFormat="1" applyFont="1" applyFill="1" applyBorder="1" applyAlignment="1">
      <alignment horizontal="center" vertical="center" wrapText="1"/>
    </xf>
    <xf numFmtId="43" fontId="2" fillId="0" borderId="12" xfId="1" applyFont="1" applyFill="1" applyBorder="1" applyAlignment="1">
      <alignment vertical="center"/>
    </xf>
    <xf numFmtId="0" fontId="2" fillId="0" borderId="15" xfId="0" applyNumberFormat="1" applyFont="1" applyFill="1" applyBorder="1" applyAlignment="1">
      <alignment horizontal="center" vertical="center" wrapText="1"/>
    </xf>
    <xf numFmtId="1" fontId="2" fillId="0" borderId="0" xfId="1" applyNumberFormat="1" applyFont="1" applyFill="1" applyAlignment="1">
      <alignment horizontal="center" vertical="center"/>
    </xf>
    <xf numFmtId="168" fontId="2" fillId="0" borderId="12" xfId="0" applyFont="1" applyFill="1" applyBorder="1" applyAlignment="1">
      <alignment horizontal="justify" vertical="center" wrapText="1"/>
    </xf>
    <xf numFmtId="0" fontId="2" fillId="0" borderId="12" xfId="0" applyNumberFormat="1" applyFont="1" applyFill="1" applyBorder="1" applyAlignment="1">
      <alignment horizontal="justify" vertical="center" wrapText="1"/>
    </xf>
    <xf numFmtId="0" fontId="2" fillId="0" borderId="12" xfId="0" applyNumberFormat="1" applyFont="1" applyBorder="1" applyAlignment="1">
      <alignment horizontal="center" vertical="center" wrapText="1"/>
    </xf>
    <xf numFmtId="0" fontId="3" fillId="0" borderId="41" xfId="0" applyNumberFormat="1" applyFont="1" applyFill="1" applyBorder="1" applyAlignment="1">
      <alignment horizontal="center" vertical="center" wrapText="1"/>
    </xf>
    <xf numFmtId="43" fontId="3" fillId="6" borderId="12" xfId="1" applyFont="1" applyFill="1" applyBorder="1" applyAlignment="1">
      <alignment vertical="center"/>
    </xf>
    <xf numFmtId="0" fontId="2" fillId="0" borderId="3" xfId="0" applyNumberFormat="1" applyFont="1" applyBorder="1" applyAlignment="1">
      <alignment horizontal="center" vertical="center" wrapText="1"/>
    </xf>
    <xf numFmtId="0" fontId="2" fillId="0" borderId="41" xfId="0" applyNumberFormat="1" applyFont="1" applyBorder="1" applyAlignment="1">
      <alignment horizontal="center" vertical="center" wrapText="1"/>
    </xf>
    <xf numFmtId="0" fontId="2" fillId="0" borderId="15" xfId="0" applyNumberFormat="1" applyFont="1" applyFill="1" applyBorder="1" applyAlignment="1">
      <alignment horizontal="center" vertical="center"/>
    </xf>
    <xf numFmtId="43" fontId="2" fillId="0" borderId="12" xfId="1" applyFont="1" applyFill="1" applyBorder="1" applyAlignment="1">
      <alignment horizontal="left" vertical="center"/>
    </xf>
    <xf numFmtId="0" fontId="2" fillId="0" borderId="4" xfId="0" applyNumberFormat="1" applyFont="1" applyBorder="1" applyAlignment="1">
      <alignment horizontal="center" vertical="center" wrapText="1"/>
    </xf>
    <xf numFmtId="0" fontId="2" fillId="0" borderId="11" xfId="0" applyNumberFormat="1" applyFont="1" applyBorder="1" applyAlignment="1">
      <alignment horizontal="center" vertical="center" wrapText="1"/>
    </xf>
    <xf numFmtId="0" fontId="2" fillId="0" borderId="21" xfId="0" applyNumberFormat="1" applyFont="1" applyFill="1" applyBorder="1" applyAlignment="1">
      <alignment horizontal="center" vertical="center"/>
    </xf>
    <xf numFmtId="168" fontId="2" fillId="0" borderId="22" xfId="0" applyFont="1" applyFill="1" applyBorder="1" applyAlignment="1">
      <alignment horizontal="justify" vertical="center" wrapText="1"/>
    </xf>
    <xf numFmtId="43" fontId="2" fillId="0" borderId="22" xfId="1" applyFont="1" applyFill="1" applyBorder="1" applyAlignment="1">
      <alignment vertical="center"/>
    </xf>
    <xf numFmtId="168" fontId="2" fillId="0" borderId="0" xfId="0" applyFont="1" applyBorder="1" applyAlignment="1">
      <alignment horizontal="justify" vertical="center" wrapText="1"/>
    </xf>
    <xf numFmtId="168" fontId="2" fillId="2" borderId="0" xfId="0" applyFont="1" applyFill="1" applyBorder="1"/>
    <xf numFmtId="0" fontId="2" fillId="0" borderId="42" xfId="0" applyNumberFormat="1" applyFont="1" applyFill="1" applyBorder="1" applyAlignment="1">
      <alignment horizontal="center" vertical="center" wrapText="1"/>
    </xf>
    <xf numFmtId="0" fontId="2" fillId="0" borderId="44" xfId="0" applyNumberFormat="1" applyFont="1" applyFill="1" applyBorder="1" applyAlignment="1">
      <alignment horizontal="center" vertical="center" wrapText="1"/>
    </xf>
    <xf numFmtId="0" fontId="2" fillId="0" borderId="11" xfId="0" applyNumberFormat="1" applyFont="1" applyFill="1" applyBorder="1" applyAlignment="1">
      <alignment horizontal="center" vertical="center" wrapText="1"/>
    </xf>
    <xf numFmtId="0" fontId="2" fillId="0" borderId="10" xfId="0" applyNumberFormat="1" applyFont="1" applyFill="1" applyBorder="1" applyAlignment="1">
      <alignment horizontal="center" vertical="center" wrapText="1"/>
    </xf>
    <xf numFmtId="0" fontId="2" fillId="0" borderId="0" xfId="0" applyNumberFormat="1" applyFont="1" applyBorder="1" applyAlignment="1">
      <alignment horizontal="center" vertical="center"/>
    </xf>
    <xf numFmtId="168" fontId="2" fillId="0" borderId="0" xfId="0" applyFont="1" applyBorder="1" applyAlignment="1">
      <alignment horizontal="center"/>
    </xf>
    <xf numFmtId="0" fontId="2" fillId="0" borderId="15" xfId="0" applyNumberFormat="1" applyFont="1" applyBorder="1" applyAlignment="1">
      <alignment horizontal="center" vertical="center" wrapText="1"/>
    </xf>
    <xf numFmtId="43" fontId="2" fillId="0" borderId="0" xfId="1" applyFont="1" applyBorder="1" applyAlignment="1">
      <alignment horizontal="center"/>
    </xf>
    <xf numFmtId="168" fontId="6" fillId="0" borderId="0" xfId="0" applyFont="1"/>
    <xf numFmtId="0" fontId="2" fillId="0" borderId="42" xfId="0" applyNumberFormat="1" applyFont="1" applyBorder="1" applyAlignment="1">
      <alignment horizontal="center" vertical="center" wrapText="1"/>
    </xf>
    <xf numFmtId="0" fontId="3" fillId="0" borderId="42" xfId="0" applyNumberFormat="1" applyFont="1" applyFill="1" applyBorder="1" applyAlignment="1">
      <alignment horizontal="center" vertical="center" wrapText="1"/>
    </xf>
    <xf numFmtId="0" fontId="3" fillId="6" borderId="15" xfId="0" applyNumberFormat="1" applyFont="1" applyFill="1" applyBorder="1" applyAlignment="1">
      <alignment vertical="center"/>
    </xf>
    <xf numFmtId="0" fontId="2" fillId="0" borderId="0" xfId="0" applyNumberFormat="1" applyFont="1" applyBorder="1" applyAlignment="1">
      <alignment horizontal="center" vertical="center" wrapText="1"/>
    </xf>
    <xf numFmtId="0" fontId="3" fillId="0" borderId="43" xfId="0" applyNumberFormat="1" applyFont="1" applyFill="1" applyBorder="1" applyAlignment="1">
      <alignment horizontal="center" vertical="center" wrapText="1"/>
    </xf>
    <xf numFmtId="0" fontId="2" fillId="0" borderId="43" xfId="0" applyNumberFormat="1" applyFont="1" applyBorder="1" applyAlignment="1">
      <alignment horizontal="center" vertical="center" wrapText="1"/>
    </xf>
    <xf numFmtId="0" fontId="2" fillId="0" borderId="43" xfId="0" applyNumberFormat="1" applyFont="1" applyFill="1" applyBorder="1" applyAlignment="1">
      <alignment horizontal="center" vertical="center" wrapText="1"/>
    </xf>
    <xf numFmtId="0" fontId="2" fillId="0" borderId="10" xfId="0" applyNumberFormat="1" applyFont="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41"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44" xfId="0" applyNumberFormat="1" applyFont="1" applyBorder="1" applyAlignment="1">
      <alignment horizontal="center" vertical="center" wrapText="1"/>
    </xf>
    <xf numFmtId="168" fontId="6" fillId="0" borderId="0" xfId="0" applyFont="1" applyFill="1"/>
    <xf numFmtId="0" fontId="2" fillId="2" borderId="8" xfId="0" applyNumberFormat="1" applyFont="1" applyFill="1" applyBorder="1" applyAlignment="1">
      <alignment horizontal="center" vertical="center" wrapText="1"/>
    </xf>
    <xf numFmtId="43" fontId="2" fillId="0" borderId="2" xfId="1" applyFont="1" applyFill="1" applyBorder="1" applyAlignment="1">
      <alignment horizontal="left" vertical="center"/>
    </xf>
    <xf numFmtId="0" fontId="2" fillId="0" borderId="2" xfId="0" applyNumberFormat="1" applyFont="1" applyFill="1" applyBorder="1" applyAlignment="1">
      <alignment horizontal="center" vertical="center"/>
    </xf>
    <xf numFmtId="168" fontId="2" fillId="0" borderId="12" xfId="0" applyFont="1" applyFill="1" applyBorder="1" applyAlignment="1">
      <alignment horizontal="justify" vertical="center"/>
    </xf>
    <xf numFmtId="0" fontId="3" fillId="6" borderId="47" xfId="0" applyNumberFormat="1" applyFont="1" applyFill="1" applyBorder="1" applyAlignment="1">
      <alignment horizontal="center" vertical="center" wrapText="1"/>
    </xf>
    <xf numFmtId="0" fontId="2" fillId="0" borderId="42" xfId="0" applyNumberFormat="1" applyFont="1" applyFill="1" applyBorder="1" applyAlignment="1">
      <alignment horizontal="center" vertical="center"/>
    </xf>
    <xf numFmtId="0" fontId="2" fillId="0" borderId="11" xfId="0" applyNumberFormat="1" applyFont="1" applyFill="1" applyBorder="1" applyAlignment="1">
      <alignment horizontal="center" vertical="center"/>
    </xf>
    <xf numFmtId="0" fontId="2" fillId="0" borderId="42" xfId="0" applyNumberFormat="1" applyFont="1" applyBorder="1" applyAlignment="1">
      <alignment horizontal="center" vertical="center"/>
    </xf>
    <xf numFmtId="0" fontId="2" fillId="0" borderId="15" xfId="0" applyNumberFormat="1" applyFont="1" applyBorder="1" applyAlignment="1">
      <alignment horizontal="center" vertical="center"/>
    </xf>
    <xf numFmtId="43" fontId="2" fillId="0" borderId="12" xfId="1" applyFont="1" applyBorder="1" applyAlignment="1">
      <alignment horizontal="left" vertical="center"/>
    </xf>
    <xf numFmtId="0" fontId="2" fillId="0" borderId="11" xfId="0" applyNumberFormat="1" applyFont="1" applyBorder="1" applyAlignment="1">
      <alignment horizontal="center" vertical="center"/>
    </xf>
    <xf numFmtId="0" fontId="2" fillId="0" borderId="12" xfId="0" applyNumberFormat="1" applyFont="1" applyFill="1" applyBorder="1" applyAlignment="1">
      <alignment horizontal="justify" vertical="center"/>
    </xf>
    <xf numFmtId="43" fontId="2" fillId="0" borderId="0" xfId="1" applyFont="1" applyAlignment="1">
      <alignment horizontal="center"/>
    </xf>
    <xf numFmtId="168" fontId="3" fillId="0" borderId="0" xfId="0" applyFont="1" applyFill="1"/>
    <xf numFmtId="0" fontId="3" fillId="0" borderId="0" xfId="0" applyNumberFormat="1" applyFont="1" applyFill="1" applyAlignment="1">
      <alignment horizontal="center" vertical="center"/>
    </xf>
    <xf numFmtId="168" fontId="3" fillId="0" borderId="0" xfId="0" applyFont="1" applyFill="1" applyAlignment="1">
      <alignment horizontal="center"/>
    </xf>
    <xf numFmtId="43" fontId="3" fillId="0" borderId="0" xfId="1" applyFont="1" applyFill="1" applyAlignment="1">
      <alignment horizontal="center"/>
    </xf>
    <xf numFmtId="0" fontId="2" fillId="0" borderId="2" xfId="0" applyNumberFormat="1" applyFont="1" applyFill="1" applyBorder="1" applyAlignment="1">
      <alignment horizontal="left" vertical="center" wrapText="1"/>
    </xf>
    <xf numFmtId="0" fontId="3" fillId="61" borderId="19" xfId="0" applyNumberFormat="1" applyFont="1" applyFill="1" applyBorder="1" applyAlignment="1">
      <alignment horizontal="center" vertical="center" wrapText="1"/>
    </xf>
    <xf numFmtId="0" fontId="3" fillId="61" borderId="12" xfId="0" applyNumberFormat="1" applyFont="1" applyFill="1" applyBorder="1" applyAlignment="1">
      <alignment horizontal="left" vertical="center"/>
    </xf>
    <xf numFmtId="0" fontId="3" fillId="61" borderId="12" xfId="0" applyNumberFormat="1" applyFont="1" applyFill="1" applyBorder="1" applyAlignment="1">
      <alignment vertical="center"/>
    </xf>
    <xf numFmtId="43" fontId="3" fillId="61" borderId="12" xfId="1" applyFont="1" applyFill="1" applyBorder="1" applyAlignment="1">
      <alignment vertical="center"/>
    </xf>
    <xf numFmtId="0" fontId="2" fillId="0" borderId="20" xfId="0" applyNumberFormat="1" applyFont="1" applyBorder="1" applyAlignment="1">
      <alignment horizontal="center" vertical="center"/>
    </xf>
    <xf numFmtId="0" fontId="2" fillId="0" borderId="17" xfId="0" applyNumberFormat="1" applyFont="1" applyFill="1" applyBorder="1" applyAlignment="1">
      <alignment horizontal="center" vertical="center" wrapText="1"/>
    </xf>
    <xf numFmtId="168" fontId="2" fillId="0" borderId="17" xfId="0" applyFont="1" applyFill="1" applyBorder="1" applyAlignment="1">
      <alignment horizontal="justify" vertical="center" wrapText="1"/>
    </xf>
    <xf numFmtId="43" fontId="2" fillId="0" borderId="20" xfId="1" applyFont="1" applyBorder="1" applyAlignment="1">
      <alignment horizontal="center"/>
    </xf>
    <xf numFmtId="168" fontId="2" fillId="0" borderId="0" xfId="0" applyFont="1"/>
    <xf numFmtId="168" fontId="3" fillId="61" borderId="18" xfId="0" applyFont="1" applyFill="1" applyBorder="1" applyAlignment="1">
      <alignment horizontal="center" vertical="center"/>
    </xf>
    <xf numFmtId="0" fontId="3" fillId="61" borderId="12" xfId="0" applyNumberFormat="1" applyFont="1" applyFill="1" applyBorder="1" applyAlignment="1">
      <alignment horizontal="center" vertical="center"/>
    </xf>
    <xf numFmtId="168" fontId="3" fillId="61" borderId="12" xfId="0" applyFont="1" applyFill="1" applyBorder="1" applyAlignment="1">
      <alignment horizontal="center" vertical="center"/>
    </xf>
    <xf numFmtId="43" fontId="3" fillId="61" borderId="12" xfId="1" applyFont="1" applyFill="1" applyBorder="1" applyAlignment="1">
      <alignment horizontal="center" vertical="center"/>
    </xf>
    <xf numFmtId="0" fontId="3" fillId="61" borderId="16" xfId="0" applyNumberFormat="1" applyFont="1" applyFill="1" applyBorder="1" applyAlignment="1">
      <alignment horizontal="left" vertical="center"/>
    </xf>
    <xf numFmtId="168" fontId="2" fillId="0" borderId="12" xfId="0" applyFont="1" applyFill="1" applyBorder="1" applyAlignment="1">
      <alignment horizontal="justify" vertical="center" wrapText="1"/>
    </xf>
    <xf numFmtId="168" fontId="4" fillId="0" borderId="2" xfId="0" applyFont="1" applyBorder="1" applyAlignment="1">
      <alignment vertical="center"/>
    </xf>
    <xf numFmtId="168" fontId="48" fillId="0" borderId="2" xfId="0" applyFont="1" applyBorder="1" applyAlignment="1">
      <alignment horizontal="center" vertical="center"/>
    </xf>
    <xf numFmtId="168" fontId="8" fillId="0" borderId="2" xfId="0" applyFont="1" applyBorder="1" applyAlignment="1">
      <alignment horizontal="left" vertical="center"/>
    </xf>
    <xf numFmtId="168" fontId="8" fillId="0" borderId="2" xfId="0" applyFont="1" applyBorder="1" applyAlignment="1">
      <alignment vertical="center"/>
    </xf>
    <xf numFmtId="3" fontId="49" fillId="3" borderId="2" xfId="0" applyNumberFormat="1" applyFont="1" applyFill="1" applyBorder="1" applyAlignment="1">
      <alignment horizontal="center" vertical="center" wrapText="1"/>
    </xf>
    <xf numFmtId="168" fontId="22" fillId="0" borderId="0" xfId="0" applyFont="1"/>
    <xf numFmtId="0" fontId="3" fillId="61" borderId="50" xfId="0" applyNumberFormat="1" applyFont="1" applyFill="1" applyBorder="1" applyAlignment="1">
      <alignment horizontal="left" vertical="center"/>
    </xf>
    <xf numFmtId="0" fontId="3" fillId="61" borderId="51" xfId="0" applyNumberFormat="1" applyFont="1" applyFill="1" applyBorder="1" applyAlignment="1">
      <alignment horizontal="center" vertical="center"/>
    </xf>
    <xf numFmtId="168" fontId="3" fillId="61" borderId="51" xfId="0" applyFont="1" applyFill="1" applyBorder="1" applyAlignment="1">
      <alignment horizontal="center" vertical="center"/>
    </xf>
    <xf numFmtId="43" fontId="3" fillId="61" borderId="52" xfId="1" applyFont="1" applyFill="1" applyBorder="1" applyAlignment="1">
      <alignment horizontal="center" vertical="center"/>
    </xf>
    <xf numFmtId="0" fontId="3" fillId="62" borderId="45" xfId="0" applyNumberFormat="1" applyFont="1" applyFill="1" applyBorder="1" applyAlignment="1">
      <alignment horizontal="left" vertical="center"/>
    </xf>
    <xf numFmtId="0" fontId="3" fillId="62" borderId="46" xfId="0" applyNumberFormat="1" applyFont="1" applyFill="1" applyBorder="1" applyAlignment="1">
      <alignment horizontal="center" vertical="center"/>
    </xf>
    <xf numFmtId="168" fontId="3" fillId="62" borderId="46" xfId="0" applyFont="1" applyFill="1" applyBorder="1" applyAlignment="1">
      <alignment horizontal="center"/>
    </xf>
    <xf numFmtId="43" fontId="3" fillId="62" borderId="48" xfId="1" applyFont="1" applyFill="1" applyBorder="1" applyAlignment="1">
      <alignment horizontal="center" vertical="center"/>
    </xf>
    <xf numFmtId="0" fontId="3" fillId="60" borderId="12" xfId="0" applyNumberFormat="1" applyFont="1" applyFill="1" applyBorder="1" applyAlignment="1">
      <alignment horizontal="left" vertical="center"/>
    </xf>
    <xf numFmtId="43" fontId="3" fillId="60" borderId="12" xfId="1" applyFont="1" applyFill="1" applyBorder="1" applyAlignment="1">
      <alignment horizontal="left" vertical="center"/>
    </xf>
    <xf numFmtId="0" fontId="3" fillId="60" borderId="12" xfId="0" applyNumberFormat="1" applyFont="1" applyFill="1" applyBorder="1" applyAlignment="1">
      <alignment horizontal="center" vertical="center"/>
    </xf>
    <xf numFmtId="0" fontId="3" fillId="60" borderId="12" xfId="0" applyNumberFormat="1" applyFont="1" applyFill="1" applyBorder="1" applyAlignment="1">
      <alignment horizontal="left" vertical="center" wrapText="1"/>
    </xf>
    <xf numFmtId="43" fontId="3" fillId="60" borderId="12" xfId="1" applyFont="1" applyFill="1" applyBorder="1" applyAlignment="1">
      <alignment horizontal="left" vertical="center" wrapText="1"/>
    </xf>
    <xf numFmtId="0" fontId="4" fillId="62" borderId="1" xfId="0" applyNumberFormat="1" applyFont="1" applyFill="1" applyBorder="1" applyAlignment="1">
      <alignment horizontal="center" vertical="center" wrapText="1"/>
    </xf>
    <xf numFmtId="0" fontId="4" fillId="62" borderId="2" xfId="0" applyNumberFormat="1" applyFont="1" applyFill="1" applyBorder="1" applyAlignment="1">
      <alignment horizontal="center" vertical="center" wrapText="1"/>
    </xf>
    <xf numFmtId="170" fontId="4" fillId="62" borderId="2" xfId="3" applyNumberFormat="1" applyFont="1" applyFill="1" applyBorder="1" applyAlignment="1">
      <alignment horizontal="center" vertical="center" wrapText="1"/>
    </xf>
    <xf numFmtId="169" fontId="26" fillId="0" borderId="2" xfId="0" applyNumberFormat="1" applyFont="1" applyBorder="1" applyAlignment="1">
      <alignment horizontal="left" vertical="center"/>
    </xf>
    <xf numFmtId="14" fontId="26" fillId="0" borderId="2" xfId="0" applyNumberFormat="1" applyFont="1" applyFill="1" applyBorder="1" applyAlignment="1">
      <alignment horizontal="left" vertical="center"/>
    </xf>
    <xf numFmtId="168" fontId="2" fillId="0" borderId="0" xfId="0" applyFont="1" applyAlignment="1">
      <alignment horizontal="center" vertical="center"/>
    </xf>
    <xf numFmtId="43" fontId="2" fillId="0" borderId="18" xfId="1" applyFont="1" applyFill="1" applyBorder="1" applyAlignment="1">
      <alignment horizontal="left" vertical="center"/>
    </xf>
    <xf numFmtId="0" fontId="3" fillId="61" borderId="22" xfId="0" applyNumberFormat="1" applyFont="1" applyFill="1" applyBorder="1" applyAlignment="1">
      <alignment horizontal="left" vertical="center"/>
    </xf>
    <xf numFmtId="168" fontId="3" fillId="61" borderId="22" xfId="0" applyFont="1" applyFill="1" applyBorder="1" applyAlignment="1">
      <alignment horizontal="center" vertical="center"/>
    </xf>
    <xf numFmtId="43" fontId="3" fillId="61" borderId="22" xfId="1" applyFont="1" applyFill="1" applyBorder="1" applyAlignment="1">
      <alignment horizontal="center" vertical="center"/>
    </xf>
    <xf numFmtId="0" fontId="2" fillId="0" borderId="2" xfId="0" applyNumberFormat="1" applyFont="1" applyBorder="1" applyAlignment="1">
      <alignment horizontal="center" vertical="center" wrapText="1"/>
    </xf>
    <xf numFmtId="0" fontId="2" fillId="0" borderId="12" xfId="0" applyNumberFormat="1" applyFont="1" applyFill="1" applyBorder="1" applyAlignment="1">
      <alignment vertical="center"/>
    </xf>
    <xf numFmtId="0" fontId="2" fillId="0" borderId="15" xfId="0" applyNumberFormat="1" applyFont="1" applyFill="1" applyBorder="1" applyAlignment="1">
      <alignment vertical="center"/>
    </xf>
    <xf numFmtId="0" fontId="2" fillId="0" borderId="17" xfId="0" applyNumberFormat="1" applyFont="1" applyBorder="1" applyAlignment="1">
      <alignment horizontal="center" vertical="center" wrapText="1"/>
    </xf>
    <xf numFmtId="0" fontId="3" fillId="60" borderId="16" xfId="0" applyNumberFormat="1" applyFont="1" applyFill="1" applyBorder="1" applyAlignment="1">
      <alignment horizontal="center" vertical="center" wrapText="1"/>
    </xf>
    <xf numFmtId="0" fontId="3" fillId="60" borderId="12" xfId="0" applyNumberFormat="1" applyFont="1" applyFill="1" applyBorder="1" applyAlignment="1">
      <alignment vertical="center"/>
    </xf>
    <xf numFmtId="43" fontId="3" fillId="60" borderId="12" xfId="1" applyFont="1" applyFill="1" applyBorder="1" applyAlignment="1">
      <alignment vertical="center"/>
    </xf>
    <xf numFmtId="0" fontId="3" fillId="60" borderId="49" xfId="0" applyNumberFormat="1" applyFont="1" applyFill="1" applyBorder="1" applyAlignment="1">
      <alignment horizontal="center" vertical="center" wrapText="1"/>
    </xf>
    <xf numFmtId="0" fontId="3" fillId="60" borderId="18" xfId="0" applyNumberFormat="1" applyFont="1" applyFill="1" applyBorder="1" applyAlignment="1">
      <alignment vertical="center"/>
    </xf>
    <xf numFmtId="43" fontId="3" fillId="60" borderId="18" xfId="1" applyFont="1" applyFill="1" applyBorder="1" applyAlignment="1">
      <alignment vertical="center"/>
    </xf>
    <xf numFmtId="0" fontId="3" fillId="0" borderId="14" xfId="0" applyNumberFormat="1" applyFont="1" applyFill="1" applyBorder="1" applyAlignment="1">
      <alignment horizontal="center" vertical="center" wrapText="1"/>
    </xf>
    <xf numFmtId="0" fontId="3" fillId="61" borderId="19" xfId="0" applyNumberFormat="1" applyFont="1" applyFill="1" applyBorder="1" applyAlignment="1">
      <alignment horizontal="left" vertical="center"/>
    </xf>
    <xf numFmtId="0" fontId="3" fillId="60" borderId="16" xfId="0" applyNumberFormat="1" applyFont="1" applyFill="1" applyBorder="1" applyAlignment="1">
      <alignment vertical="center"/>
    </xf>
    <xf numFmtId="0" fontId="3" fillId="61" borderId="2" xfId="0" applyNumberFormat="1" applyFont="1" applyFill="1" applyBorder="1" applyAlignment="1">
      <alignment horizontal="center" vertical="center" wrapText="1"/>
    </xf>
    <xf numFmtId="0" fontId="26" fillId="0" borderId="0" xfId="92" applyFont="1"/>
    <xf numFmtId="0" fontId="26" fillId="0" borderId="0" xfId="92" applyFont="1" applyFill="1"/>
    <xf numFmtId="9" fontId="3" fillId="0" borderId="2" xfId="92" applyNumberFormat="1" applyFont="1" applyFill="1" applyBorder="1" applyAlignment="1" applyProtection="1">
      <alignment horizontal="center" vertical="center"/>
      <protection locked="0"/>
    </xf>
    <xf numFmtId="0" fontId="26" fillId="0" borderId="0" xfId="92" applyFont="1" applyAlignment="1">
      <alignment vertical="center"/>
    </xf>
    <xf numFmtId="0" fontId="8" fillId="0" borderId="0" xfId="92" applyFont="1" applyAlignment="1">
      <alignment vertical="center"/>
    </xf>
    <xf numFmtId="0" fontId="48" fillId="0" borderId="0" xfId="92" applyFont="1" applyFill="1" applyAlignment="1">
      <alignment vertical="center"/>
    </xf>
    <xf numFmtId="170" fontId="26" fillId="0" borderId="0" xfId="101" applyNumberFormat="1" applyFont="1"/>
    <xf numFmtId="0" fontId="26" fillId="0" borderId="0" xfId="92" applyFont="1" applyAlignment="1">
      <alignment horizontal="left"/>
    </xf>
    <xf numFmtId="170" fontId="8" fillId="0" borderId="0" xfId="101" applyNumberFormat="1" applyFont="1" applyFill="1" applyBorder="1" applyAlignment="1">
      <alignment horizontal="center" vertical="center" wrapText="1"/>
    </xf>
    <xf numFmtId="170" fontId="8" fillId="0" borderId="0" xfId="101" applyNumberFormat="1" applyFont="1" applyFill="1" applyBorder="1"/>
    <xf numFmtId="9" fontId="8" fillId="0" borderId="0" xfId="101" applyNumberFormat="1" applyFont="1" applyFill="1" applyBorder="1"/>
    <xf numFmtId="9" fontId="26" fillId="0" borderId="0" xfId="101" applyNumberFormat="1" applyFont="1"/>
    <xf numFmtId="9" fontId="26" fillId="0" borderId="0" xfId="92" applyNumberFormat="1" applyFont="1"/>
    <xf numFmtId="0" fontId="9" fillId="2" borderId="0" xfId="92" applyFont="1" applyFill="1" applyBorder="1"/>
    <xf numFmtId="0" fontId="9" fillId="2" borderId="0" xfId="92" applyFont="1" applyFill="1" applyBorder="1" applyAlignment="1">
      <alignment horizontal="center"/>
    </xf>
    <xf numFmtId="9" fontId="23" fillId="2" borderId="0" xfId="387" applyFont="1" applyFill="1" applyBorder="1" applyAlignment="1">
      <alignment horizontal="center"/>
    </xf>
    <xf numFmtId="167" fontId="26" fillId="0" borderId="0" xfId="101" applyNumberFormat="1" applyFont="1"/>
    <xf numFmtId="170" fontId="8" fillId="0" borderId="0" xfId="101" applyNumberFormat="1" applyFont="1"/>
    <xf numFmtId="0" fontId="23" fillId="0" borderId="0" xfId="92" applyFont="1" applyFill="1" applyBorder="1"/>
    <xf numFmtId="170" fontId="54" fillId="0" borderId="0" xfId="101" applyNumberFormat="1" applyFont="1" applyFill="1" applyBorder="1"/>
    <xf numFmtId="9" fontId="54" fillId="0" borderId="0" xfId="387" applyFont="1" applyFill="1" applyBorder="1" applyAlignment="1">
      <alignment horizontal="center" vertical="center"/>
    </xf>
    <xf numFmtId="9" fontId="54" fillId="2" borderId="0" xfId="387" applyFont="1" applyFill="1" applyBorder="1" applyAlignment="1">
      <alignment horizontal="center" vertical="center"/>
    </xf>
    <xf numFmtId="0" fontId="23" fillId="2" borderId="0" xfId="92" applyFont="1" applyFill="1" applyBorder="1"/>
    <xf numFmtId="170" fontId="54" fillId="2" borderId="0" xfId="101" applyNumberFormat="1" applyFont="1" applyFill="1" applyBorder="1"/>
    <xf numFmtId="10" fontId="54" fillId="2" borderId="0" xfId="387" applyNumberFormat="1" applyFont="1" applyFill="1" applyBorder="1" applyAlignment="1">
      <alignment horizontal="center" vertical="center"/>
    </xf>
    <xf numFmtId="10" fontId="54" fillId="2" borderId="0" xfId="387" applyNumberFormat="1" applyFont="1" applyFill="1" applyBorder="1" applyAlignment="1">
      <alignment horizontal="center"/>
    </xf>
    <xf numFmtId="167" fontId="23" fillId="0" borderId="0" xfId="92" applyNumberFormat="1" applyFont="1" applyFill="1" applyBorder="1" applyAlignment="1">
      <alignment horizontal="left"/>
    </xf>
    <xf numFmtId="167" fontId="23" fillId="2" borderId="0" xfId="92" applyNumberFormat="1" applyFont="1" applyFill="1" applyBorder="1" applyAlignment="1">
      <alignment horizontal="left"/>
    </xf>
    <xf numFmtId="0" fontId="8" fillId="0" borderId="0" xfId="92" applyFont="1"/>
    <xf numFmtId="0" fontId="55" fillId="0" borderId="0" xfId="92" applyFont="1" applyFill="1" applyBorder="1" applyAlignment="1">
      <alignment horizontal="left"/>
    </xf>
    <xf numFmtId="170" fontId="55" fillId="0" borderId="0" xfId="101" applyNumberFormat="1" applyFont="1" applyFill="1" applyBorder="1"/>
    <xf numFmtId="10" fontId="55" fillId="0" borderId="0" xfId="387" applyNumberFormat="1" applyFont="1" applyFill="1" applyBorder="1"/>
    <xf numFmtId="10" fontId="8" fillId="0" borderId="0" xfId="387" applyNumberFormat="1" applyFont="1" applyFill="1" applyBorder="1"/>
    <xf numFmtId="168" fontId="4" fillId="0" borderId="0" xfId="0" applyFont="1" applyFill="1" applyAlignment="1">
      <alignment horizontal="center" vertical="center"/>
    </xf>
    <xf numFmtId="168" fontId="4" fillId="60" borderId="42" xfId="0" applyFont="1" applyFill="1" applyBorder="1" applyAlignment="1">
      <alignment horizontal="center" vertical="center" wrapText="1"/>
    </xf>
    <xf numFmtId="0" fontId="2" fillId="0" borderId="49" xfId="0" applyNumberFormat="1" applyFont="1" applyFill="1" applyBorder="1" applyAlignment="1">
      <alignment horizontal="center" vertical="center" wrapText="1"/>
    </xf>
    <xf numFmtId="168" fontId="2" fillId="0" borderId="15" xfId="0" applyFont="1" applyFill="1" applyBorder="1" applyAlignment="1">
      <alignment horizontal="justify" vertical="center"/>
    </xf>
    <xf numFmtId="171" fontId="2" fillId="0" borderId="0" xfId="6" applyNumberFormat="1" applyFont="1" applyFill="1" applyAlignment="1">
      <alignment horizontal="center"/>
    </xf>
    <xf numFmtId="168" fontId="3" fillId="0" borderId="0" xfId="0" applyFont="1" applyBorder="1" applyAlignment="1">
      <alignment horizontal="center" vertical="center" wrapText="1"/>
    </xf>
    <xf numFmtId="170" fontId="56" fillId="70" borderId="6" xfId="101" applyNumberFormat="1" applyFont="1" applyFill="1" applyBorder="1" applyAlignment="1">
      <alignment vertical="center" wrapText="1"/>
    </xf>
    <xf numFmtId="170" fontId="56" fillId="70" borderId="8" xfId="101" applyNumberFormat="1" applyFont="1" applyFill="1" applyBorder="1" applyAlignment="1">
      <alignment vertical="center" wrapText="1"/>
    </xf>
    <xf numFmtId="170" fontId="56" fillId="70" borderId="2" xfId="101" applyNumberFormat="1" applyFont="1" applyFill="1" applyBorder="1" applyAlignment="1">
      <alignment horizontal="center" vertical="center" wrapText="1"/>
    </xf>
    <xf numFmtId="167" fontId="56" fillId="70" borderId="2" xfId="101" applyNumberFormat="1" applyFont="1" applyFill="1" applyBorder="1" applyAlignment="1">
      <alignment horizontal="center" vertical="center" wrapText="1"/>
    </xf>
    <xf numFmtId="43" fontId="2" fillId="0" borderId="15" xfId="1" applyFont="1" applyFill="1" applyBorder="1" applyAlignment="1">
      <alignment vertical="center"/>
    </xf>
    <xf numFmtId="43" fontId="2" fillId="0" borderId="15" xfId="1" applyFont="1" applyFill="1" applyBorder="1" applyAlignment="1">
      <alignment horizontal="left" vertical="center"/>
    </xf>
    <xf numFmtId="0" fontId="2" fillId="0" borderId="16" xfId="0" applyNumberFormat="1" applyFont="1" applyFill="1" applyBorder="1" applyAlignment="1">
      <alignment horizontal="center" vertical="center" wrapText="1"/>
    </xf>
    <xf numFmtId="0" fontId="2" fillId="0" borderId="19" xfId="0" applyNumberFormat="1" applyFont="1" applyFill="1" applyBorder="1" applyAlignment="1">
      <alignment vertical="center"/>
    </xf>
    <xf numFmtId="0" fontId="2" fillId="0" borderId="2" xfId="0" applyNumberFormat="1" applyFont="1" applyFill="1" applyBorder="1" applyAlignment="1">
      <alignment vertical="center"/>
    </xf>
    <xf numFmtId="0" fontId="4" fillId="62" borderId="6" xfId="0" applyNumberFormat="1" applyFont="1" applyFill="1" applyBorder="1" applyAlignment="1">
      <alignment horizontal="center" vertical="center" wrapText="1"/>
    </xf>
    <xf numFmtId="168" fontId="4" fillId="62" borderId="2" xfId="0" applyFont="1" applyFill="1" applyBorder="1" applyAlignment="1">
      <alignment horizontal="center" vertical="center" wrapText="1"/>
    </xf>
    <xf numFmtId="9" fontId="3" fillId="61" borderId="12" xfId="387" applyFont="1" applyFill="1" applyBorder="1" applyAlignment="1">
      <alignment horizontal="center" vertical="center"/>
    </xf>
    <xf numFmtId="9" fontId="3" fillId="61" borderId="52" xfId="387" applyFont="1" applyFill="1" applyBorder="1" applyAlignment="1">
      <alignment horizontal="center" vertical="center"/>
    </xf>
    <xf numFmtId="9" fontId="2" fillId="0" borderId="0" xfId="387" applyFont="1" applyBorder="1" applyAlignment="1">
      <alignment horizontal="center"/>
    </xf>
    <xf numFmtId="9" fontId="2" fillId="0" borderId="20" xfId="387" applyFont="1" applyBorder="1" applyAlignment="1">
      <alignment horizontal="center"/>
    </xf>
    <xf numFmtId="9" fontId="2" fillId="0" borderId="0" xfId="387" applyFont="1" applyAlignment="1">
      <alignment horizontal="center"/>
    </xf>
    <xf numFmtId="9" fontId="3" fillId="0" borderId="0" xfId="387" applyFont="1" applyFill="1" applyAlignment="1">
      <alignment horizontal="center"/>
    </xf>
    <xf numFmtId="9" fontId="3" fillId="62" borderId="48" xfId="387" applyFont="1" applyFill="1" applyBorder="1" applyAlignment="1">
      <alignment horizontal="center" vertical="center"/>
    </xf>
    <xf numFmtId="9" fontId="3" fillId="60" borderId="12" xfId="387" applyFont="1" applyFill="1" applyBorder="1" applyAlignment="1">
      <alignment horizontal="center" vertical="center"/>
    </xf>
    <xf numFmtId="9" fontId="2" fillId="0" borderId="12" xfId="387" applyFont="1" applyFill="1" applyBorder="1" applyAlignment="1">
      <alignment horizontal="center" vertical="center"/>
    </xf>
    <xf numFmtId="9" fontId="2" fillId="0" borderId="22" xfId="387" applyFont="1" applyFill="1" applyBorder="1" applyAlignment="1">
      <alignment horizontal="center" vertical="center"/>
    </xf>
    <xf numFmtId="9" fontId="2" fillId="0" borderId="0" xfId="387" applyFont="1" applyBorder="1" applyAlignment="1">
      <alignment horizontal="center" vertical="center" wrapText="1"/>
    </xf>
    <xf numFmtId="9" fontId="3" fillId="60" borderId="18" xfId="387" applyFont="1" applyFill="1" applyBorder="1" applyAlignment="1">
      <alignment horizontal="center" vertical="center"/>
    </xf>
    <xf numFmtId="9" fontId="3" fillId="6" borderId="12" xfId="387" applyFont="1" applyFill="1" applyBorder="1" applyAlignment="1">
      <alignment horizontal="center" vertical="center"/>
    </xf>
    <xf numFmtId="9" fontId="2" fillId="0" borderId="2" xfId="387" applyFont="1" applyFill="1" applyBorder="1" applyAlignment="1">
      <alignment horizontal="center" vertical="center"/>
    </xf>
    <xf numFmtId="9" fontId="3" fillId="60" borderId="12" xfId="387" applyFont="1" applyFill="1" applyBorder="1" applyAlignment="1">
      <alignment horizontal="center" vertical="center" wrapText="1"/>
    </xf>
    <xf numFmtId="9" fontId="2" fillId="0" borderId="12" xfId="387" applyFont="1" applyBorder="1" applyAlignment="1">
      <alignment horizontal="center" vertical="center"/>
    </xf>
    <xf numFmtId="9" fontId="3" fillId="61" borderId="22" xfId="387" applyFont="1" applyFill="1" applyBorder="1" applyAlignment="1">
      <alignment horizontal="center" vertical="center"/>
    </xf>
    <xf numFmtId="9" fontId="2" fillId="0" borderId="18" xfId="387" applyFont="1" applyFill="1" applyBorder="1" applyAlignment="1">
      <alignment horizontal="center" vertical="center"/>
    </xf>
    <xf numFmtId="9" fontId="2" fillId="0" borderId="15" xfId="387" applyFont="1" applyFill="1" applyBorder="1" applyAlignment="1">
      <alignment horizontal="center" vertical="center"/>
    </xf>
    <xf numFmtId="0" fontId="2" fillId="68" borderId="66" xfId="389" applyNumberFormat="1" applyFont="1" applyFill="1" applyBorder="1" applyAlignment="1">
      <alignment horizontal="left" vertical="center" wrapText="1"/>
    </xf>
    <xf numFmtId="0" fontId="2" fillId="65" borderId="66" xfId="389" applyNumberFormat="1" applyFont="1" applyFill="1" applyBorder="1" applyAlignment="1">
      <alignment horizontal="left" vertical="center" wrapText="1"/>
    </xf>
    <xf numFmtId="0" fontId="2" fillId="66" borderId="66" xfId="389" applyNumberFormat="1" applyFont="1" applyFill="1" applyBorder="1" applyAlignment="1">
      <alignment horizontal="left" vertical="center" wrapText="1"/>
    </xf>
    <xf numFmtId="0" fontId="2" fillId="67" borderId="66" xfId="389" applyNumberFormat="1" applyFont="1" applyFill="1" applyBorder="1" applyAlignment="1">
      <alignment horizontal="left" vertical="center" wrapText="1"/>
    </xf>
    <xf numFmtId="0" fontId="2" fillId="68" borderId="68" xfId="389" applyNumberFormat="1" applyFont="1" applyFill="1" applyBorder="1" applyAlignment="1">
      <alignment vertical="center" wrapText="1"/>
    </xf>
    <xf numFmtId="0" fontId="2" fillId="65" borderId="68" xfId="389" applyNumberFormat="1" applyFont="1" applyFill="1" applyBorder="1" applyAlignment="1">
      <alignment vertical="center" wrapText="1"/>
    </xf>
    <xf numFmtId="0" fontId="2" fillId="66" borderId="68" xfId="389" applyNumberFormat="1" applyFont="1" applyFill="1" applyBorder="1" applyAlignment="1">
      <alignment vertical="center" wrapText="1"/>
    </xf>
    <xf numFmtId="0" fontId="2" fillId="67" borderId="68" xfId="389" applyNumberFormat="1" applyFont="1" applyFill="1" applyBorder="1" applyAlignment="1">
      <alignment vertical="center" wrapText="1"/>
    </xf>
    <xf numFmtId="0" fontId="2" fillId="69" borderId="69" xfId="389" applyNumberFormat="1" applyFont="1" applyFill="1" applyBorder="1" applyAlignment="1">
      <alignment horizontal="left" vertical="center" wrapText="1"/>
    </xf>
    <xf numFmtId="0" fontId="2" fillId="69" borderId="70" xfId="389" applyNumberFormat="1" applyFont="1" applyFill="1" applyBorder="1" applyAlignment="1">
      <alignment vertical="center" wrapText="1"/>
    </xf>
    <xf numFmtId="9" fontId="3" fillId="0" borderId="48" xfId="92" applyNumberFormat="1" applyFont="1" applyFill="1" applyBorder="1" applyAlignment="1" applyProtection="1">
      <alignment horizontal="center" vertical="center"/>
      <protection locked="0"/>
    </xf>
    <xf numFmtId="43" fontId="3" fillId="60" borderId="14" xfId="1" applyFont="1" applyFill="1" applyBorder="1" applyAlignment="1">
      <alignment horizontal="left" vertical="center"/>
    </xf>
    <xf numFmtId="43" fontId="3" fillId="60" borderId="15" xfId="1" applyFont="1" applyFill="1" applyBorder="1" applyAlignment="1">
      <alignment horizontal="left" vertical="center"/>
    </xf>
    <xf numFmtId="9" fontId="2" fillId="0" borderId="0" xfId="387" applyFont="1" applyBorder="1" applyAlignment="1">
      <alignment horizontal="center" vertical="center"/>
    </xf>
    <xf numFmtId="9" fontId="2" fillId="0" borderId="20" xfId="387" applyFont="1" applyBorder="1" applyAlignment="1">
      <alignment horizontal="center" vertical="center"/>
    </xf>
    <xf numFmtId="9" fontId="2" fillId="0" borderId="0" xfId="387" applyFont="1" applyAlignment="1">
      <alignment horizontal="center" vertical="center"/>
    </xf>
    <xf numFmtId="9" fontId="3" fillId="0" borderId="0" xfId="387" applyFont="1" applyFill="1" applyAlignment="1">
      <alignment horizontal="center" vertical="center"/>
    </xf>
    <xf numFmtId="0" fontId="3" fillId="62" borderId="2" xfId="0" applyNumberFormat="1" applyFont="1" applyFill="1" applyBorder="1" applyAlignment="1">
      <alignment horizontal="left" vertical="center" wrapText="1"/>
    </xf>
    <xf numFmtId="9" fontId="3" fillId="62" borderId="2" xfId="387" applyFont="1" applyFill="1" applyBorder="1" applyAlignment="1">
      <alignment horizontal="center" vertical="center" wrapText="1"/>
    </xf>
    <xf numFmtId="0" fontId="3" fillId="0" borderId="71" xfId="389" applyNumberFormat="1" applyFont="1" applyBorder="1" applyAlignment="1">
      <alignment vertical="center" wrapText="1"/>
    </xf>
    <xf numFmtId="0" fontId="2" fillId="68" borderId="72" xfId="389" applyNumberFormat="1" applyFont="1" applyFill="1" applyBorder="1" applyAlignment="1">
      <alignment vertical="center" wrapText="1"/>
    </xf>
    <xf numFmtId="0" fontId="2" fillId="65" borderId="72" xfId="389" applyNumberFormat="1" applyFont="1" applyFill="1" applyBorder="1" applyAlignment="1">
      <alignment horizontal="left" vertical="center" wrapText="1"/>
    </xf>
    <xf numFmtId="0" fontId="2" fillId="66" borderId="72" xfId="389" applyNumberFormat="1" applyFont="1" applyFill="1" applyBorder="1" applyAlignment="1">
      <alignment horizontal="left" vertical="center" wrapText="1"/>
    </xf>
    <xf numFmtId="0" fontId="2" fillId="67" borderId="72" xfId="389" applyNumberFormat="1" applyFont="1" applyFill="1" applyBorder="1" applyAlignment="1">
      <alignment horizontal="left" vertical="center" wrapText="1"/>
    </xf>
    <xf numFmtId="0" fontId="2" fillId="69" borderId="73" xfId="389" applyNumberFormat="1" applyFont="1" applyFill="1" applyBorder="1" applyAlignment="1">
      <alignment horizontal="left" vertical="center" wrapText="1"/>
    </xf>
    <xf numFmtId="43" fontId="3" fillId="61" borderId="18" xfId="1" applyFont="1" applyFill="1" applyBorder="1" applyAlignment="1">
      <alignment horizontal="center" vertical="center"/>
    </xf>
    <xf numFmtId="9" fontId="3" fillId="61" borderId="18" xfId="387" applyFont="1" applyFill="1" applyBorder="1" applyAlignment="1">
      <alignment horizontal="center" vertical="center"/>
    </xf>
    <xf numFmtId="9" fontId="3" fillId="0" borderId="11" xfId="92" applyNumberFormat="1" applyFont="1" applyFill="1" applyBorder="1" applyAlignment="1" applyProtection="1">
      <alignment horizontal="center" vertical="center"/>
      <protection locked="0"/>
    </xf>
    <xf numFmtId="43" fontId="3" fillId="62" borderId="2" xfId="1" applyFont="1" applyFill="1" applyBorder="1" applyAlignment="1">
      <alignment horizontal="center" vertical="center" wrapText="1"/>
    </xf>
    <xf numFmtId="0" fontId="3" fillId="61" borderId="18" xfId="0" applyNumberFormat="1" applyFont="1" applyFill="1" applyBorder="1" applyAlignment="1">
      <alignment horizontal="left" vertical="center"/>
    </xf>
    <xf numFmtId="0" fontId="3" fillId="61" borderId="18" xfId="0" applyNumberFormat="1" applyFont="1" applyFill="1" applyBorder="1" applyAlignment="1">
      <alignment horizontal="center" vertical="center"/>
    </xf>
    <xf numFmtId="43" fontId="4" fillId="62" borderId="41" xfId="1" applyFont="1" applyFill="1" applyBorder="1" applyAlignment="1">
      <alignment horizontal="center" vertical="center" wrapText="1"/>
    </xf>
    <xf numFmtId="168" fontId="26" fillId="0" borderId="0" xfId="0" applyFont="1"/>
    <xf numFmtId="9" fontId="2" fillId="2" borderId="0" xfId="387" applyFont="1" applyFill="1" applyBorder="1" applyAlignment="1">
      <alignment horizontal="center"/>
    </xf>
    <xf numFmtId="43" fontId="2" fillId="0" borderId="2" xfId="1" applyNumberFormat="1" applyFont="1" applyFill="1" applyBorder="1" applyAlignment="1">
      <alignment horizontal="left" vertical="center"/>
    </xf>
    <xf numFmtId="43" fontId="2" fillId="0" borderId="2" xfId="1" applyNumberFormat="1" applyFont="1" applyFill="1" applyBorder="1" applyAlignment="1">
      <alignment horizontal="center" vertical="center" wrapText="1"/>
    </xf>
    <xf numFmtId="43" fontId="3" fillId="62" borderId="2" xfId="1" applyNumberFormat="1" applyFont="1" applyFill="1" applyBorder="1" applyAlignment="1">
      <alignment horizontal="center" vertical="center" wrapText="1"/>
    </xf>
    <xf numFmtId="43" fontId="3" fillId="61" borderId="14" xfId="1" applyFont="1" applyFill="1" applyBorder="1" applyAlignment="1">
      <alignment horizontal="center" vertical="center"/>
    </xf>
    <xf numFmtId="43" fontId="3" fillId="61" borderId="15" xfId="1" applyFont="1" applyFill="1" applyBorder="1" applyAlignment="1">
      <alignment horizontal="center" vertical="center"/>
    </xf>
    <xf numFmtId="43" fontId="2" fillId="0" borderId="14" xfId="1" applyFont="1" applyFill="1" applyBorder="1" applyAlignment="1">
      <alignment horizontal="left" vertical="center"/>
    </xf>
    <xf numFmtId="43" fontId="3" fillId="61" borderId="85" xfId="1" applyFont="1" applyFill="1" applyBorder="1" applyAlignment="1">
      <alignment horizontal="center" vertical="center"/>
    </xf>
    <xf numFmtId="43" fontId="3" fillId="61" borderId="8" xfId="1" applyFont="1" applyFill="1" applyBorder="1" applyAlignment="1">
      <alignment horizontal="center" vertical="center"/>
    </xf>
    <xf numFmtId="43" fontId="3" fillId="61" borderId="86" xfId="1" applyFont="1" applyFill="1" applyBorder="1" applyAlignment="1">
      <alignment horizontal="center" vertical="center"/>
    </xf>
    <xf numFmtId="43" fontId="3" fillId="61" borderId="21" xfId="1" applyFont="1" applyFill="1" applyBorder="1" applyAlignment="1">
      <alignment horizontal="center" vertical="center"/>
    </xf>
    <xf numFmtId="43" fontId="3" fillId="60" borderId="14" xfId="1" applyFont="1" applyFill="1" applyBorder="1" applyAlignment="1">
      <alignment horizontal="left" vertical="center" wrapText="1"/>
    </xf>
    <xf numFmtId="43" fontId="3" fillId="60" borderId="15" xfId="1" applyFont="1" applyFill="1" applyBorder="1" applyAlignment="1">
      <alignment horizontal="left" vertical="center" wrapText="1"/>
    </xf>
    <xf numFmtId="9" fontId="2" fillId="0" borderId="11" xfId="92" applyNumberFormat="1" applyFont="1" applyFill="1" applyBorder="1" applyAlignment="1" applyProtection="1">
      <alignment horizontal="center" vertical="center"/>
      <protection locked="0"/>
    </xf>
    <xf numFmtId="43" fontId="3" fillId="62" borderId="45" xfId="1" applyFont="1" applyFill="1" applyBorder="1" applyAlignment="1">
      <alignment horizontal="center" vertical="center"/>
    </xf>
    <xf numFmtId="43" fontId="3" fillId="62" borderId="82" xfId="1" applyFont="1" applyFill="1" applyBorder="1" applyAlignment="1">
      <alignment horizontal="center" vertical="center"/>
    </xf>
    <xf numFmtId="43" fontId="2" fillId="0" borderId="8" xfId="1" applyNumberFormat="1" applyFont="1" applyFill="1" applyBorder="1" applyAlignment="1">
      <alignment horizontal="left" vertical="center"/>
    </xf>
    <xf numFmtId="43" fontId="2" fillId="0" borderId="8" xfId="1" applyNumberFormat="1" applyFont="1" applyFill="1" applyBorder="1" applyAlignment="1">
      <alignment horizontal="center" vertical="center" wrapText="1"/>
    </xf>
    <xf numFmtId="9" fontId="2" fillId="0" borderId="2" xfId="92" applyNumberFormat="1" applyFont="1" applyFill="1" applyBorder="1" applyAlignment="1" applyProtection="1">
      <alignment horizontal="center" vertical="center"/>
      <protection locked="0"/>
    </xf>
    <xf numFmtId="43" fontId="3" fillId="62" borderId="8" xfId="1" applyNumberFormat="1" applyFont="1" applyFill="1" applyBorder="1" applyAlignment="1">
      <alignment horizontal="center" vertical="center" wrapText="1"/>
    </xf>
    <xf numFmtId="9" fontId="3" fillId="62" borderId="2" xfId="92" applyNumberFormat="1" applyFont="1" applyFill="1" applyBorder="1" applyAlignment="1" applyProtection="1">
      <alignment horizontal="center" vertical="center"/>
      <protection locked="0"/>
    </xf>
    <xf numFmtId="168" fontId="3" fillId="0" borderId="4" xfId="0" applyFont="1" applyBorder="1" applyAlignment="1">
      <alignment horizontal="center" vertical="center" wrapText="1"/>
    </xf>
    <xf numFmtId="168" fontId="3" fillId="0" borderId="5" xfId="0" applyFont="1" applyBorder="1" applyAlignment="1">
      <alignment horizontal="center" vertical="center" wrapText="1"/>
    </xf>
    <xf numFmtId="168" fontId="4" fillId="60" borderId="2" xfId="0" applyFont="1" applyFill="1" applyBorder="1" applyAlignment="1">
      <alignment horizontal="center" vertical="center" wrapText="1"/>
    </xf>
    <xf numFmtId="168" fontId="56" fillId="0" borderId="0" xfId="0" applyFont="1" applyBorder="1" applyAlignment="1">
      <alignment vertical="center"/>
    </xf>
    <xf numFmtId="168" fontId="56" fillId="0" borderId="0" xfId="0" applyFont="1" applyBorder="1" applyAlignment="1">
      <alignment horizontal="center" vertical="center"/>
    </xf>
    <xf numFmtId="168" fontId="55" fillId="0" borderId="0" xfId="0" applyFont="1" applyBorder="1" applyAlignment="1">
      <alignment horizontal="left" vertical="center"/>
    </xf>
    <xf numFmtId="169" fontId="55" fillId="0" borderId="0" xfId="0" applyNumberFormat="1" applyFont="1" applyBorder="1" applyAlignment="1">
      <alignment horizontal="left" vertical="center"/>
    </xf>
    <xf numFmtId="168" fontId="55" fillId="0" borderId="0" xfId="0" applyFont="1" applyBorder="1" applyAlignment="1">
      <alignment vertical="center"/>
    </xf>
    <xf numFmtId="14" fontId="55" fillId="0" borderId="0" xfId="0" applyNumberFormat="1" applyFont="1" applyFill="1" applyBorder="1" applyAlignment="1">
      <alignment horizontal="left" vertical="center"/>
    </xf>
    <xf numFmtId="3" fontId="56" fillId="3" borderId="0" xfId="0" applyNumberFormat="1" applyFont="1" applyFill="1" applyBorder="1" applyAlignment="1">
      <alignment horizontal="center" vertical="center" wrapText="1"/>
    </xf>
    <xf numFmtId="0" fontId="4" fillId="60" borderId="2" xfId="0" applyNumberFormat="1" applyFont="1" applyFill="1" applyBorder="1" applyAlignment="1">
      <alignment horizontal="center" vertical="center" wrapText="1"/>
    </xf>
    <xf numFmtId="43" fontId="2" fillId="0" borderId="16" xfId="1" applyFont="1" applyFill="1" applyBorder="1" applyAlignment="1">
      <alignment horizontal="left" vertical="center"/>
    </xf>
    <xf numFmtId="9" fontId="2" fillId="0" borderId="16" xfId="387" applyFont="1" applyFill="1" applyBorder="1" applyAlignment="1">
      <alignment horizontal="center" vertical="center"/>
    </xf>
    <xf numFmtId="43" fontId="2" fillId="0" borderId="87" xfId="1" applyFont="1" applyFill="1" applyBorder="1" applyAlignment="1">
      <alignment horizontal="left" vertical="center"/>
    </xf>
    <xf numFmtId="9" fontId="2" fillId="0" borderId="42" xfId="92" applyNumberFormat="1" applyFont="1" applyFill="1" applyBorder="1" applyAlignment="1" applyProtection="1">
      <alignment horizontal="center" vertical="center"/>
      <protection locked="0"/>
    </xf>
    <xf numFmtId="43" fontId="2" fillId="0" borderId="19" xfId="1" applyFont="1" applyFill="1" applyBorder="1" applyAlignment="1">
      <alignment horizontal="left" vertical="center"/>
    </xf>
    <xf numFmtId="168" fontId="52" fillId="0" borderId="0" xfId="0" applyFont="1"/>
    <xf numFmtId="9" fontId="6" fillId="0" borderId="0" xfId="387" applyFont="1" applyAlignment="1">
      <alignment horizontal="center" vertical="center"/>
    </xf>
    <xf numFmtId="9" fontId="6" fillId="0" borderId="0" xfId="387" applyFont="1"/>
    <xf numFmtId="168" fontId="54" fillId="0" borderId="0" xfId="0" applyFont="1" applyAlignment="1">
      <alignment horizontal="justify" vertical="center" wrapText="1"/>
    </xf>
    <xf numFmtId="0" fontId="54" fillId="0" borderId="0" xfId="0" applyNumberFormat="1" applyFont="1" applyAlignment="1">
      <alignment horizontal="justify" vertical="center" wrapText="1"/>
    </xf>
    <xf numFmtId="0" fontId="54" fillId="0" borderId="0" xfId="0" applyNumberFormat="1" applyFont="1" applyAlignment="1">
      <alignment horizontal="center" vertical="center" wrapText="1"/>
    </xf>
    <xf numFmtId="168" fontId="54" fillId="0" borderId="0" xfId="0" applyFont="1" applyAlignment="1">
      <alignment horizontal="center"/>
    </xf>
    <xf numFmtId="0" fontId="3" fillId="61" borderId="16" xfId="0" applyNumberFormat="1" applyFont="1" applyFill="1" applyBorder="1" applyAlignment="1">
      <alignment vertical="center"/>
    </xf>
    <xf numFmtId="43" fontId="3" fillId="61" borderId="16" xfId="1" applyFont="1" applyFill="1" applyBorder="1" applyAlignment="1">
      <alignment vertical="center"/>
    </xf>
    <xf numFmtId="9" fontId="3" fillId="61" borderId="16" xfId="387" applyFont="1" applyFill="1" applyBorder="1" applyAlignment="1">
      <alignment horizontal="center" vertical="center"/>
    </xf>
    <xf numFmtId="168" fontId="2" fillId="0" borderId="91" xfId="0" applyFont="1" applyFill="1" applyBorder="1" applyAlignment="1">
      <alignment horizontal="justify" vertical="center" wrapText="1"/>
    </xf>
    <xf numFmtId="168" fontId="2" fillId="0" borderId="0" xfId="0" applyFont="1" applyFill="1" applyAlignment="1">
      <alignment horizontal="justify" vertical="center" wrapText="1"/>
    </xf>
    <xf numFmtId="9" fontId="3" fillId="0" borderId="92" xfId="92" applyNumberFormat="1" applyFont="1" applyFill="1" applyBorder="1" applyAlignment="1" applyProtection="1">
      <alignment horizontal="center" vertical="center"/>
      <protection locked="0"/>
    </xf>
    <xf numFmtId="0" fontId="53" fillId="0" borderId="0" xfId="92" applyFont="1" applyFill="1" applyBorder="1" applyAlignment="1">
      <alignment horizontal="left" vertical="center"/>
    </xf>
    <xf numFmtId="167" fontId="53" fillId="0" borderId="0" xfId="101" applyNumberFormat="1" applyFont="1" applyFill="1" applyBorder="1" applyAlignment="1">
      <alignment vertical="center"/>
    </xf>
    <xf numFmtId="9" fontId="53" fillId="0" borderId="0" xfId="94" applyFont="1" applyFill="1" applyBorder="1" applyAlignment="1">
      <alignment horizontal="center" vertical="center"/>
    </xf>
    <xf numFmtId="9" fontId="53" fillId="0" borderId="0" xfId="94" applyNumberFormat="1" applyFont="1" applyFill="1" applyBorder="1" applyAlignment="1">
      <alignment horizontal="center" vertical="center"/>
    </xf>
    <xf numFmtId="9" fontId="53" fillId="0" borderId="0" xfId="387" applyNumberFormat="1" applyFont="1" applyFill="1" applyBorder="1" applyAlignment="1">
      <alignment horizontal="center" vertical="center"/>
    </xf>
    <xf numFmtId="170" fontId="53" fillId="0" borderId="0" xfId="101" applyNumberFormat="1" applyFont="1" applyFill="1"/>
    <xf numFmtId="43" fontId="2" fillId="2" borderId="0" xfId="1" applyFont="1" applyFill="1"/>
    <xf numFmtId="0" fontId="8" fillId="0" borderId="2" xfId="0" applyNumberFormat="1" applyFont="1" applyFill="1" applyBorder="1" applyAlignment="1">
      <alignment horizontal="center" vertical="center" wrapText="1"/>
    </xf>
    <xf numFmtId="0" fontId="8" fillId="0" borderId="2" xfId="0" applyNumberFormat="1" applyFont="1" applyFill="1" applyBorder="1" applyAlignment="1">
      <alignment horizontal="left" vertical="center" wrapText="1"/>
    </xf>
    <xf numFmtId="0" fontId="8" fillId="0" borderId="2" xfId="0" applyNumberFormat="1" applyFont="1" applyFill="1" applyBorder="1" applyAlignment="1">
      <alignment horizontal="justify" vertical="center" wrapText="1"/>
    </xf>
    <xf numFmtId="168" fontId="8" fillId="0" borderId="2" xfId="0" applyFont="1" applyFill="1" applyBorder="1" applyAlignment="1">
      <alignment horizontal="justify" vertical="center" wrapText="1"/>
    </xf>
    <xf numFmtId="0" fontId="8" fillId="0" borderId="2" xfId="5" applyFont="1" applyFill="1" applyBorder="1" applyAlignment="1">
      <alignment horizontal="justify" vertical="center" wrapText="1"/>
    </xf>
    <xf numFmtId="168" fontId="8" fillId="0" borderId="2" xfId="0" applyFont="1" applyFill="1" applyBorder="1" applyAlignment="1">
      <alignment horizontal="center" vertical="center" wrapText="1"/>
    </xf>
    <xf numFmtId="1" fontId="8" fillId="0" borderId="2" xfId="4" applyNumberFormat="1" applyFont="1" applyFill="1" applyBorder="1">
      <alignment horizontal="center" vertical="center" wrapText="1"/>
    </xf>
    <xf numFmtId="0" fontId="8" fillId="0" borderId="2" xfId="4" applyNumberFormat="1" applyFont="1" applyFill="1" applyBorder="1">
      <alignment horizontal="center" vertical="center" wrapText="1"/>
    </xf>
    <xf numFmtId="1" fontId="8" fillId="0" borderId="2" xfId="0" applyNumberFormat="1" applyFont="1" applyFill="1" applyBorder="1" applyAlignment="1">
      <alignment horizontal="center" vertical="center" wrapText="1"/>
    </xf>
    <xf numFmtId="49" fontId="8" fillId="0" borderId="2" xfId="0" applyNumberFormat="1" applyFont="1" applyFill="1" applyBorder="1" applyAlignment="1">
      <alignment horizontal="justify" vertical="center" wrapText="1"/>
    </xf>
    <xf numFmtId="43" fontId="8" fillId="0" borderId="2" xfId="1" applyFont="1" applyFill="1" applyBorder="1" applyAlignment="1">
      <alignment horizontal="justify" vertical="center"/>
    </xf>
    <xf numFmtId="43" fontId="8" fillId="0" borderId="8" xfId="1" applyFont="1" applyFill="1" applyBorder="1" applyAlignment="1">
      <alignment horizontal="justify" vertical="center"/>
    </xf>
    <xf numFmtId="43" fontId="8" fillId="0" borderId="6" xfId="1" applyFont="1" applyFill="1" applyBorder="1" applyAlignment="1">
      <alignment horizontal="justify" vertical="center"/>
    </xf>
    <xf numFmtId="4" fontId="8" fillId="0" borderId="2" xfId="0" applyNumberFormat="1" applyFont="1" applyFill="1" applyBorder="1" applyAlignment="1">
      <alignment horizontal="justify" vertical="center" wrapText="1"/>
    </xf>
    <xf numFmtId="168" fontId="8" fillId="0" borderId="0" xfId="0" applyFont="1" applyFill="1"/>
    <xf numFmtId="168" fontId="8" fillId="0" borderId="0" xfId="0" applyFont="1" applyAlignment="1">
      <alignment vertical="center"/>
    </xf>
    <xf numFmtId="168" fontId="8" fillId="0" borderId="0" xfId="0" applyFont="1" applyFill="1" applyAlignment="1">
      <alignment vertical="center"/>
    </xf>
    <xf numFmtId="0" fontId="8" fillId="0" borderId="2" xfId="5" applyNumberFormat="1" applyFont="1" applyFill="1" applyBorder="1" applyAlignment="1">
      <alignment horizontal="center" vertical="center" wrapText="1"/>
    </xf>
    <xf numFmtId="43" fontId="8" fillId="0" borderId="6" xfId="1" applyFont="1" applyFill="1" applyBorder="1" applyAlignment="1">
      <alignment horizontal="center" vertical="center"/>
    </xf>
    <xf numFmtId="43" fontId="8" fillId="0" borderId="2" xfId="1" applyFont="1" applyFill="1" applyBorder="1" applyAlignment="1">
      <alignment horizontal="center" vertical="center"/>
    </xf>
    <xf numFmtId="167" fontId="8" fillId="0" borderId="2" xfId="0" applyNumberFormat="1" applyFont="1" applyFill="1" applyBorder="1" applyAlignment="1">
      <alignment horizontal="justify" vertical="center" wrapText="1"/>
    </xf>
    <xf numFmtId="0" fontId="8" fillId="0" borderId="2" xfId="5" applyNumberFormat="1" applyFont="1" applyFill="1" applyBorder="1" applyAlignment="1">
      <alignment horizontal="justify" vertical="center" wrapText="1"/>
    </xf>
    <xf numFmtId="43" fontId="8" fillId="0" borderId="2" xfId="1" applyFont="1" applyFill="1" applyBorder="1"/>
    <xf numFmtId="43" fontId="8" fillId="0" borderId="8" xfId="1" applyFont="1" applyFill="1" applyBorder="1"/>
    <xf numFmtId="43" fontId="8" fillId="0" borderId="6" xfId="1" applyFont="1" applyFill="1" applyBorder="1"/>
    <xf numFmtId="168" fontId="8" fillId="0" borderId="2" xfId="0" applyFont="1" applyFill="1" applyBorder="1" applyAlignment="1" applyProtection="1">
      <alignment horizontal="justify" vertical="center" wrapText="1"/>
      <protection locked="0"/>
    </xf>
    <xf numFmtId="1" fontId="8" fillId="0" borderId="2" xfId="0" applyNumberFormat="1" applyFont="1" applyFill="1" applyBorder="1" applyAlignment="1" applyProtection="1">
      <alignment horizontal="center" vertical="center" wrapText="1"/>
      <protection locked="0"/>
    </xf>
    <xf numFmtId="0" fontId="8" fillId="0" borderId="2" xfId="0" applyNumberFormat="1" applyFont="1" applyFill="1" applyBorder="1" applyAlignment="1" applyProtection="1">
      <alignment horizontal="center" vertical="center" wrapText="1"/>
      <protection locked="0"/>
    </xf>
    <xf numFmtId="43" fontId="4" fillId="0" borderId="2" xfId="1" applyFont="1" applyFill="1" applyBorder="1" applyAlignment="1">
      <alignment horizontal="left" vertical="center"/>
    </xf>
    <xf numFmtId="43" fontId="8" fillId="0" borderId="8" xfId="1" applyFont="1" applyFill="1" applyBorder="1" applyAlignment="1">
      <alignment horizontal="right" vertical="center" wrapText="1"/>
    </xf>
    <xf numFmtId="43" fontId="8" fillId="0" borderId="2" xfId="1" applyFont="1" applyFill="1" applyBorder="1" applyAlignment="1">
      <alignment horizontal="right" vertical="center" wrapText="1"/>
    </xf>
    <xf numFmtId="43" fontId="8" fillId="0" borderId="6" xfId="1" applyFont="1" applyFill="1" applyBorder="1" applyAlignment="1">
      <alignment horizontal="right" vertical="center" wrapText="1"/>
    </xf>
    <xf numFmtId="0" fontId="8" fillId="0" borderId="2" xfId="4" applyNumberFormat="1" applyFont="1" applyFill="1" applyBorder="1" applyAlignment="1">
      <alignment horizontal="justify" vertical="center" wrapText="1"/>
    </xf>
    <xf numFmtId="1" fontId="8" fillId="0" borderId="2" xfId="5" applyNumberFormat="1" applyFont="1" applyFill="1" applyBorder="1" applyAlignment="1">
      <alignment horizontal="center" vertical="center" wrapText="1"/>
    </xf>
    <xf numFmtId="43" fontId="8" fillId="0" borderId="2" xfId="1" applyFont="1" applyFill="1" applyBorder="1" applyAlignment="1">
      <alignment horizontal="right" vertical="center"/>
    </xf>
    <xf numFmtId="0" fontId="26" fillId="0" borderId="15" xfId="0" applyNumberFormat="1" applyFont="1" applyFill="1" applyBorder="1" applyAlignment="1">
      <alignment horizontal="left" vertical="center" wrapText="1"/>
    </xf>
    <xf numFmtId="0" fontId="26" fillId="0" borderId="12" xfId="0" applyNumberFormat="1" applyFont="1" applyFill="1" applyBorder="1" applyAlignment="1">
      <alignment horizontal="center" vertical="center" wrapText="1"/>
    </xf>
    <xf numFmtId="0" fontId="26" fillId="0" borderId="14" xfId="0" applyNumberFormat="1" applyFont="1" applyFill="1" applyBorder="1" applyAlignment="1">
      <alignment vertical="center" wrapText="1"/>
    </xf>
    <xf numFmtId="0" fontId="26" fillId="0" borderId="12" xfId="0" applyNumberFormat="1" applyFont="1" applyFill="1" applyBorder="1" applyAlignment="1">
      <alignment horizontal="left" vertical="center" wrapText="1"/>
    </xf>
    <xf numFmtId="168" fontId="8" fillId="0" borderId="12" xfId="0" applyFont="1" applyFill="1" applyBorder="1" applyAlignment="1">
      <alignment horizontal="justify" vertical="center" wrapText="1"/>
    </xf>
    <xf numFmtId="0" fontId="8" fillId="0" borderId="12" xfId="0" applyNumberFormat="1" applyFont="1" applyFill="1" applyBorder="1" applyAlignment="1">
      <alignment horizontal="center" vertical="center" wrapText="1"/>
    </xf>
    <xf numFmtId="0" fontId="8" fillId="0" borderId="12" xfId="4" applyNumberFormat="1" applyFont="1" applyFill="1" applyBorder="1" applyAlignment="1">
      <alignment horizontal="justify" vertical="center" wrapText="1"/>
    </xf>
    <xf numFmtId="0" fontId="8" fillId="0" borderId="12" xfId="7" applyFont="1" applyFill="1" applyBorder="1" applyAlignment="1">
      <alignment horizontal="justify" vertical="center" wrapText="1"/>
    </xf>
    <xf numFmtId="0" fontId="8" fillId="0" borderId="12" xfId="7" applyNumberFormat="1" applyFont="1" applyFill="1" applyBorder="1">
      <alignment horizontal="center" vertical="center" wrapText="1"/>
    </xf>
    <xf numFmtId="1" fontId="8" fillId="0" borderId="12" xfId="4" applyNumberFormat="1" applyFont="1" applyFill="1" applyBorder="1">
      <alignment horizontal="center" vertical="center" wrapText="1"/>
    </xf>
    <xf numFmtId="0" fontId="8" fillId="0" borderId="12" xfId="4" applyNumberFormat="1" applyFont="1" applyFill="1" applyBorder="1">
      <alignment horizontal="center" vertical="center" wrapText="1"/>
    </xf>
    <xf numFmtId="1" fontId="8" fillId="0" borderId="12" xfId="0" applyNumberFormat="1" applyFont="1" applyFill="1" applyBorder="1" applyAlignment="1">
      <alignment horizontal="center" vertical="center" wrapText="1"/>
    </xf>
    <xf numFmtId="49" fontId="8" fillId="0" borderId="12" xfId="0" applyNumberFormat="1" applyFont="1" applyFill="1" applyBorder="1" applyAlignment="1">
      <alignment horizontal="justify" vertical="center" wrapText="1"/>
    </xf>
    <xf numFmtId="1" fontId="8" fillId="0" borderId="2" xfId="1" applyNumberFormat="1" applyFont="1" applyFill="1" applyBorder="1" applyAlignment="1">
      <alignment horizontal="center" vertical="center" wrapText="1"/>
    </xf>
    <xf numFmtId="0" fontId="8" fillId="0" borderId="2" xfId="7" applyNumberFormat="1" applyFont="1" applyFill="1" applyBorder="1">
      <alignment horizontal="center" vertical="center" wrapText="1"/>
    </xf>
    <xf numFmtId="2" fontId="8" fillId="0" borderId="2" xfId="5" applyNumberFormat="1" applyFont="1" applyFill="1" applyBorder="1" applyAlignment="1">
      <alignment horizontal="center" vertical="center" wrapText="1"/>
    </xf>
    <xf numFmtId="178" fontId="8" fillId="0" borderId="2" xfId="4" applyNumberFormat="1" applyFont="1" applyFill="1" applyBorder="1">
      <alignment horizontal="center" vertical="center" wrapText="1"/>
    </xf>
    <xf numFmtId="0" fontId="8" fillId="0" borderId="2" xfId="7" applyFont="1" applyFill="1" applyBorder="1" applyAlignment="1">
      <alignment horizontal="justify" vertical="center" wrapText="1"/>
    </xf>
    <xf numFmtId="43" fontId="8" fillId="0" borderId="2" xfId="1" applyFont="1" applyFill="1" applyBorder="1" applyAlignment="1">
      <alignment vertical="center"/>
    </xf>
    <xf numFmtId="43" fontId="4" fillId="0" borderId="2" xfId="1" applyFont="1" applyFill="1" applyBorder="1" applyAlignment="1">
      <alignment vertical="center"/>
    </xf>
    <xf numFmtId="43" fontId="4" fillId="0" borderId="8" xfId="1" applyFont="1" applyFill="1" applyBorder="1" applyAlignment="1">
      <alignment vertical="center"/>
    </xf>
    <xf numFmtId="43" fontId="4" fillId="0" borderId="6" xfId="1" applyFont="1" applyFill="1" applyBorder="1" applyAlignment="1">
      <alignment vertical="center"/>
    </xf>
    <xf numFmtId="1" fontId="8" fillId="0" borderId="2" xfId="7" applyNumberFormat="1" applyFont="1" applyFill="1" applyBorder="1">
      <alignment horizontal="center" vertical="center" wrapText="1"/>
    </xf>
    <xf numFmtId="43" fontId="8" fillId="0" borderId="6" xfId="1" applyFont="1" applyFill="1" applyBorder="1" applyAlignment="1">
      <alignment horizontal="center" vertical="center" wrapText="1"/>
    </xf>
    <xf numFmtId="43" fontId="8" fillId="0" borderId="2" xfId="1" applyFont="1" applyFill="1" applyBorder="1" applyAlignment="1">
      <alignment horizontal="center" vertical="center" wrapText="1"/>
    </xf>
    <xf numFmtId="0" fontId="8" fillId="0" borderId="2" xfId="6" applyNumberFormat="1" applyFont="1" applyFill="1" applyBorder="1" applyAlignment="1">
      <alignment horizontal="center" vertical="center" wrapText="1"/>
    </xf>
    <xf numFmtId="177" fontId="8" fillId="0" borderId="2" xfId="7" applyNumberFormat="1" applyFont="1" applyFill="1" applyBorder="1">
      <alignment horizontal="center" vertical="center" wrapText="1"/>
    </xf>
    <xf numFmtId="177" fontId="8" fillId="0" borderId="2" xfId="4" applyNumberFormat="1" applyFont="1" applyFill="1" applyBorder="1">
      <alignment horizontal="center" vertical="center" wrapText="1"/>
    </xf>
    <xf numFmtId="43" fontId="8" fillId="0" borderId="6" xfId="1" applyFont="1" applyFill="1" applyBorder="1" applyAlignment="1">
      <alignment horizontal="right" vertical="center"/>
    </xf>
    <xf numFmtId="43" fontId="8" fillId="0" borderId="0" xfId="1" applyFont="1" applyFill="1" applyAlignment="1">
      <alignment vertical="center"/>
    </xf>
    <xf numFmtId="43" fontId="8" fillId="0" borderId="8" xfId="1" applyFont="1" applyFill="1" applyBorder="1" applyAlignment="1">
      <alignment horizontal="center" vertical="center" wrapText="1"/>
    </xf>
    <xf numFmtId="2" fontId="8" fillId="0" borderId="2" xfId="4" applyNumberFormat="1" applyFont="1" applyFill="1" applyBorder="1">
      <alignment horizontal="center" vertical="center" wrapText="1"/>
    </xf>
    <xf numFmtId="1" fontId="26" fillId="0" borderId="2" xfId="1" applyNumberFormat="1" applyFont="1" applyFill="1" applyBorder="1" applyAlignment="1">
      <alignment horizontal="center" vertical="center" wrapText="1"/>
    </xf>
    <xf numFmtId="168" fontId="8" fillId="0" borderId="2" xfId="4" applyFont="1" applyFill="1" applyBorder="1" applyAlignment="1">
      <alignment horizontal="justify" vertical="center" wrapText="1"/>
    </xf>
    <xf numFmtId="178" fontId="8" fillId="0" borderId="2" xfId="7" applyNumberFormat="1" applyFont="1" applyFill="1" applyBorder="1">
      <alignment horizontal="center" vertical="center" wrapText="1"/>
    </xf>
    <xf numFmtId="2" fontId="8" fillId="0" borderId="2" xfId="7" applyNumberFormat="1" applyFont="1" applyFill="1" applyBorder="1">
      <alignment horizontal="center" vertical="center" wrapText="1"/>
    </xf>
    <xf numFmtId="1" fontId="57" fillId="0" borderId="2" xfId="1" applyNumberFormat="1" applyFont="1" applyFill="1" applyBorder="1" applyAlignment="1">
      <alignment horizontal="center" vertical="center" wrapText="1"/>
    </xf>
    <xf numFmtId="49" fontId="8" fillId="0" borderId="2" xfId="5" applyNumberFormat="1" applyFont="1" applyFill="1" applyBorder="1" applyAlignment="1">
      <alignment horizontal="justify" vertical="center" wrapText="1"/>
    </xf>
    <xf numFmtId="0" fontId="8" fillId="0" borderId="2" xfId="5" applyFont="1" applyFill="1" applyBorder="1" applyAlignment="1">
      <alignment horizontal="center" vertical="center" wrapText="1"/>
    </xf>
    <xf numFmtId="43" fontId="8" fillId="0" borderId="8" xfId="1" applyFont="1" applyFill="1" applyBorder="1" applyAlignment="1">
      <alignment vertical="center"/>
    </xf>
    <xf numFmtId="43" fontId="8" fillId="0" borderId="2" xfId="1" applyFont="1" applyFill="1" applyBorder="1" applyAlignment="1">
      <alignment horizontal="justify" vertical="center" wrapText="1"/>
    </xf>
    <xf numFmtId="0" fontId="8" fillId="0" borderId="2" xfId="0" applyNumberFormat="1" applyFont="1" applyFill="1" applyBorder="1" applyAlignment="1">
      <alignment horizontal="center" vertical="center"/>
    </xf>
    <xf numFmtId="1" fontId="8" fillId="0" borderId="2" xfId="11" applyNumberFormat="1" applyFont="1" applyFill="1" applyBorder="1" applyAlignment="1">
      <alignment horizontal="center" vertical="center"/>
    </xf>
    <xf numFmtId="43" fontId="8" fillId="0" borderId="2" xfId="1" applyFont="1" applyFill="1" applyBorder="1" applyAlignment="1">
      <alignment vertical="center" wrapText="1"/>
    </xf>
    <xf numFmtId="0" fontId="8" fillId="0" borderId="2" xfId="1" applyNumberFormat="1" applyFont="1" applyFill="1" applyBorder="1" applyAlignment="1">
      <alignment horizontal="center" vertical="center" wrapText="1"/>
    </xf>
    <xf numFmtId="43" fontId="8" fillId="0" borderId="6" xfId="1" applyFont="1" applyFill="1" applyBorder="1" applyAlignment="1">
      <alignment vertical="center"/>
    </xf>
    <xf numFmtId="168" fontId="58" fillId="0" borderId="2" xfId="0" applyFont="1" applyFill="1" applyBorder="1" applyAlignment="1">
      <alignment horizontal="justify" vertical="center" wrapText="1"/>
    </xf>
    <xf numFmtId="43" fontId="8" fillId="0" borderId="8" xfId="1" applyFont="1" applyFill="1" applyBorder="1" applyAlignment="1">
      <alignment horizontal="center" vertical="center"/>
    </xf>
    <xf numFmtId="0" fontId="8" fillId="0" borderId="2" xfId="0" applyNumberFormat="1" applyFont="1" applyFill="1" applyBorder="1" applyAlignment="1">
      <alignment horizontal="justify" vertical="center"/>
    </xf>
    <xf numFmtId="172" fontId="8" fillId="0" borderId="2" xfId="2" applyNumberFormat="1" applyFont="1" applyFill="1" applyBorder="1" applyAlignment="1">
      <alignment horizontal="justify" vertical="center" wrapText="1"/>
    </xf>
    <xf numFmtId="0" fontId="8" fillId="0" borderId="2" xfId="4" applyNumberFormat="1" applyFont="1" applyFill="1" applyBorder="1" applyAlignment="1">
      <alignment horizontal="center" vertical="center"/>
    </xf>
    <xf numFmtId="168" fontId="8" fillId="0" borderId="0" xfId="0" applyFont="1" applyFill="1" applyAlignment="1">
      <alignment horizontal="center" vertical="center"/>
    </xf>
    <xf numFmtId="168" fontId="4" fillId="0" borderId="0" xfId="0" applyFont="1" applyFill="1" applyAlignment="1">
      <alignment vertical="center"/>
    </xf>
    <xf numFmtId="178" fontId="8" fillId="0" borderId="2" xfId="5" applyNumberFormat="1" applyFont="1" applyFill="1" applyBorder="1" applyAlignment="1">
      <alignment horizontal="center" vertical="center" wrapText="1"/>
    </xf>
    <xf numFmtId="1" fontId="8" fillId="0" borderId="2" xfId="5" applyNumberFormat="1" applyFont="1" applyFill="1" applyBorder="1" applyAlignment="1">
      <alignment horizontal="center" vertical="center"/>
    </xf>
    <xf numFmtId="0" fontId="8" fillId="0" borderId="2" xfId="5" applyFont="1" applyFill="1" applyBorder="1" applyAlignment="1">
      <alignment horizontal="center" vertical="center"/>
    </xf>
    <xf numFmtId="0" fontId="8" fillId="0" borderId="2" xfId="6" applyNumberFormat="1" applyFont="1" applyFill="1" applyBorder="1" applyAlignment="1">
      <alignment horizontal="justify" vertical="center" wrapText="1"/>
    </xf>
    <xf numFmtId="49" fontId="8" fillId="0" borderId="2" xfId="4" applyNumberFormat="1" applyFont="1" applyFill="1" applyBorder="1" applyAlignment="1">
      <alignment horizontal="justify" vertical="center" wrapText="1"/>
    </xf>
    <xf numFmtId="168" fontId="8" fillId="0" borderId="0" xfId="0" applyFont="1" applyFill="1" applyAlignment="1">
      <alignment horizontal="left" vertical="center" wrapText="1"/>
    </xf>
    <xf numFmtId="0" fontId="8" fillId="0" borderId="2" xfId="7" applyFont="1" applyFill="1" applyBorder="1">
      <alignment horizontal="center" vertical="center" wrapText="1"/>
    </xf>
    <xf numFmtId="49" fontId="8" fillId="0" borderId="2" xfId="0" applyNumberFormat="1" applyFont="1" applyFill="1" applyBorder="1" applyAlignment="1" applyProtection="1">
      <alignment horizontal="justify" vertical="center" wrapText="1"/>
      <protection locked="0"/>
    </xf>
    <xf numFmtId="49" fontId="8" fillId="0" borderId="2" xfId="7" applyNumberFormat="1" applyFont="1" applyFill="1" applyBorder="1" applyAlignment="1">
      <alignment horizontal="justify" vertical="center" wrapText="1"/>
    </xf>
    <xf numFmtId="43" fontId="57" fillId="0" borderId="8" xfId="1" applyFont="1" applyFill="1" applyBorder="1" applyAlignment="1">
      <alignment horizontal="center" vertical="center" wrapText="1"/>
    </xf>
    <xf numFmtId="43" fontId="57" fillId="0" borderId="2" xfId="1" applyFont="1" applyFill="1" applyBorder="1" applyAlignment="1">
      <alignment horizontal="center" vertical="center" wrapText="1"/>
    </xf>
    <xf numFmtId="43" fontId="26" fillId="0" borderId="2" xfId="1" applyFont="1" applyFill="1" applyBorder="1" applyAlignment="1">
      <alignment horizontal="right" vertical="center" wrapText="1"/>
    </xf>
    <xf numFmtId="3" fontId="8" fillId="0" borderId="2" xfId="0" applyNumberFormat="1" applyFont="1" applyFill="1" applyBorder="1" applyAlignment="1">
      <alignment horizontal="justify" vertical="center" wrapText="1"/>
    </xf>
    <xf numFmtId="0" fontId="8" fillId="0" borderId="2" xfId="0" applyNumberFormat="1" applyFont="1" applyFill="1" applyBorder="1" applyAlignment="1">
      <alignment vertical="center" wrapText="1"/>
    </xf>
    <xf numFmtId="43" fontId="8" fillId="0" borderId="12" xfId="1" applyFont="1" applyFill="1" applyBorder="1" applyAlignment="1">
      <alignment horizontal="justify" vertical="center"/>
    </xf>
    <xf numFmtId="43" fontId="8" fillId="0" borderId="12" xfId="1" applyFont="1" applyFill="1" applyBorder="1" applyAlignment="1">
      <alignment horizontal="center" vertical="center" wrapText="1"/>
    </xf>
    <xf numFmtId="43" fontId="8" fillId="0" borderId="15" xfId="1" applyFont="1" applyFill="1" applyBorder="1" applyAlignment="1">
      <alignment horizontal="justify" vertical="center"/>
    </xf>
    <xf numFmtId="43" fontId="8" fillId="0" borderId="15" xfId="1" applyFont="1" applyFill="1" applyBorder="1" applyAlignment="1">
      <alignment horizontal="center" vertical="center" wrapText="1"/>
    </xf>
    <xf numFmtId="0" fontId="8" fillId="0" borderId="2" xfId="10" applyNumberFormat="1" applyFont="1" applyFill="1" applyBorder="1" applyAlignment="1">
      <alignment horizontal="center" vertical="center" wrapText="1"/>
    </xf>
    <xf numFmtId="43" fontId="8" fillId="0" borderId="14" xfId="1" applyFont="1" applyFill="1" applyBorder="1" applyAlignment="1">
      <alignment horizontal="justify" vertical="center"/>
    </xf>
    <xf numFmtId="43" fontId="8" fillId="0" borderId="14" xfId="1" applyFont="1" applyFill="1" applyBorder="1" applyAlignment="1">
      <alignment vertical="center" wrapText="1"/>
    </xf>
    <xf numFmtId="43" fontId="8" fillId="0" borderId="12" xfId="1" applyFont="1" applyFill="1" applyBorder="1" applyAlignment="1">
      <alignment vertical="center" wrapText="1"/>
    </xf>
    <xf numFmtId="43" fontId="8" fillId="0" borderId="6" xfId="1" applyFont="1" applyFill="1" applyBorder="1" applyAlignment="1">
      <alignment vertical="center" wrapText="1"/>
    </xf>
    <xf numFmtId="0" fontId="8" fillId="0" borderId="2" xfId="0" applyNumberFormat="1" applyFont="1" applyFill="1" applyBorder="1" applyAlignment="1" applyProtection="1">
      <alignment horizontal="center" vertical="center"/>
      <protection locked="0"/>
    </xf>
    <xf numFmtId="1" fontId="8" fillId="0" borderId="11" xfId="0" applyNumberFormat="1" applyFont="1" applyFill="1" applyBorder="1" applyAlignment="1">
      <alignment horizontal="center" vertical="center" wrapText="1"/>
    </xf>
    <xf numFmtId="3" fontId="8" fillId="0" borderId="11" xfId="0" applyNumberFormat="1" applyFont="1" applyFill="1" applyBorder="1" applyAlignment="1">
      <alignment horizontal="justify" vertical="center" wrapText="1"/>
    </xf>
    <xf numFmtId="49" fontId="8" fillId="0" borderId="11" xfId="0" applyNumberFormat="1" applyFont="1" applyFill="1" applyBorder="1" applyAlignment="1">
      <alignment horizontal="justify" vertical="center" wrapText="1"/>
    </xf>
    <xf numFmtId="43" fontId="8" fillId="0" borderId="11" xfId="1" applyFont="1" applyFill="1" applyBorder="1" applyAlignment="1">
      <alignment vertical="center"/>
    </xf>
    <xf numFmtId="43" fontId="8" fillId="0" borderId="11" xfId="1" applyFont="1" applyFill="1" applyBorder="1" applyAlignment="1">
      <alignment horizontal="justify" vertical="center"/>
    </xf>
    <xf numFmtId="43" fontId="8" fillId="0" borderId="4" xfId="1" applyFont="1" applyFill="1" applyBorder="1" applyAlignment="1">
      <alignment horizontal="center" vertical="center" wrapText="1"/>
    </xf>
    <xf numFmtId="43" fontId="8" fillId="0" borderId="20" xfId="1" applyFont="1" applyFill="1" applyBorder="1" applyAlignment="1">
      <alignment horizontal="justify" vertical="center"/>
    </xf>
    <xf numFmtId="43" fontId="8" fillId="0" borderId="0" xfId="1" applyFont="1" applyFill="1" applyBorder="1" applyAlignment="1">
      <alignment horizontal="justify" vertical="center"/>
    </xf>
    <xf numFmtId="43" fontId="8" fillId="0" borderId="4" xfId="1" applyFont="1" applyFill="1" applyBorder="1" applyAlignment="1">
      <alignment horizontal="justify" vertical="center"/>
    </xf>
    <xf numFmtId="43" fontId="8" fillId="0" borderId="10" xfId="1" applyFont="1" applyFill="1" applyBorder="1"/>
    <xf numFmtId="43" fontId="8" fillId="0" borderId="11" xfId="1" applyFont="1" applyFill="1" applyBorder="1"/>
    <xf numFmtId="43" fontId="8" fillId="0" borderId="17" xfId="1" applyFont="1" applyFill="1" applyBorder="1" applyAlignment="1">
      <alignment horizontal="justify" vertical="center"/>
    </xf>
    <xf numFmtId="43" fontId="8" fillId="0" borderId="81" xfId="1" applyFont="1" applyFill="1" applyBorder="1" applyAlignment="1">
      <alignment horizontal="justify" vertical="center"/>
    </xf>
    <xf numFmtId="43" fontId="4" fillId="6" borderId="1" xfId="1" applyFont="1" applyFill="1" applyBorder="1" applyAlignment="1">
      <alignment vertical="center"/>
    </xf>
    <xf numFmtId="43" fontId="4" fillId="6" borderId="7" xfId="1" applyFont="1" applyFill="1" applyBorder="1" applyAlignment="1">
      <alignment vertical="center"/>
    </xf>
    <xf numFmtId="43" fontId="4" fillId="6" borderId="7" xfId="1" applyFont="1" applyFill="1" applyBorder="1" applyAlignment="1">
      <alignment horizontal="left" vertical="center"/>
    </xf>
    <xf numFmtId="43" fontId="4" fillId="6" borderId="7" xfId="1" applyFont="1" applyFill="1" applyBorder="1" applyAlignment="1">
      <alignment horizontal="justify" vertical="center" wrapText="1"/>
    </xf>
    <xf numFmtId="43" fontId="4" fillId="6" borderId="7" xfId="1" applyFont="1" applyFill="1" applyBorder="1" applyAlignment="1">
      <alignment horizontal="center" vertical="center" wrapText="1"/>
    </xf>
    <xf numFmtId="43" fontId="4" fillId="6" borderId="7" xfId="1" applyFont="1" applyFill="1" applyBorder="1" applyAlignment="1">
      <alignment horizontal="center" vertical="center"/>
    </xf>
    <xf numFmtId="2" fontId="4" fillId="6" borderId="7" xfId="1" applyNumberFormat="1" applyFont="1" applyFill="1" applyBorder="1" applyAlignment="1">
      <alignment horizontal="center" vertical="center"/>
    </xf>
    <xf numFmtId="43" fontId="8" fillId="6" borderId="7" xfId="1" applyFont="1" applyFill="1" applyBorder="1" applyAlignment="1">
      <alignment horizontal="justify" vertical="center" wrapText="1"/>
    </xf>
    <xf numFmtId="43" fontId="4" fillId="6" borderId="2" xfId="1" applyFont="1" applyFill="1" applyBorder="1" applyAlignment="1">
      <alignment vertical="center"/>
    </xf>
    <xf numFmtId="43" fontId="4" fillId="60" borderId="1" xfId="1" applyFont="1" applyFill="1" applyBorder="1" applyAlignment="1">
      <alignment vertical="center"/>
    </xf>
    <xf numFmtId="43" fontId="4" fillId="60" borderId="7" xfId="1" applyFont="1" applyFill="1" applyBorder="1" applyAlignment="1">
      <alignment horizontal="center" vertical="center" wrapText="1"/>
    </xf>
    <xf numFmtId="2" fontId="4" fillId="60" borderId="7" xfId="1" applyNumberFormat="1" applyFont="1" applyFill="1" applyBorder="1" applyAlignment="1">
      <alignment horizontal="center" vertical="center" wrapText="1"/>
    </xf>
    <xf numFmtId="43" fontId="4" fillId="60" borderId="8" xfId="1" applyFont="1" applyFill="1" applyBorder="1" applyAlignment="1">
      <alignment horizontal="center" vertical="center" wrapText="1"/>
    </xf>
    <xf numFmtId="43" fontId="4" fillId="60" borderId="41" xfId="1" applyFont="1" applyFill="1" applyBorder="1" applyAlignment="1">
      <alignment horizontal="center" vertical="center" wrapText="1"/>
    </xf>
    <xf numFmtId="43" fontId="4" fillId="62" borderId="6" xfId="1" applyFont="1" applyFill="1" applyBorder="1" applyAlignment="1">
      <alignment vertical="center"/>
    </xf>
    <xf numFmtId="43" fontId="4" fillId="62" borderId="7" xfId="1" applyFont="1" applyFill="1" applyBorder="1" applyAlignment="1">
      <alignment horizontal="justify" vertical="center" wrapText="1"/>
    </xf>
    <xf numFmtId="43" fontId="4" fillId="62" borderId="7" xfId="1" applyFont="1" applyFill="1" applyBorder="1" applyAlignment="1">
      <alignment horizontal="left" vertical="center"/>
    </xf>
    <xf numFmtId="43" fontId="4" fillId="62" borderId="7" xfId="1" applyFont="1" applyFill="1" applyBorder="1" applyAlignment="1">
      <alignment horizontal="center" vertical="center" wrapText="1"/>
    </xf>
    <xf numFmtId="43" fontId="4" fillId="62" borderId="7" xfId="1" applyFont="1" applyFill="1" applyBorder="1" applyAlignment="1">
      <alignment horizontal="center" vertical="center"/>
    </xf>
    <xf numFmtId="2" fontId="4" fillId="62" borderId="7" xfId="1" applyNumberFormat="1" applyFont="1" applyFill="1" applyBorder="1" applyAlignment="1">
      <alignment horizontal="center" vertical="center"/>
    </xf>
    <xf numFmtId="43" fontId="4" fillId="62" borderId="8" xfId="1" applyFont="1" applyFill="1" applyBorder="1" applyAlignment="1">
      <alignment horizontal="justify" vertical="center" wrapText="1"/>
    </xf>
    <xf numFmtId="43" fontId="4" fillId="62" borderId="2" xfId="1" applyFont="1" applyFill="1" applyBorder="1" applyAlignment="1">
      <alignment horizontal="justify" vertical="center" wrapText="1"/>
    </xf>
    <xf numFmtId="43" fontId="4" fillId="62" borderId="2" xfId="1" applyFont="1" applyFill="1" applyBorder="1" applyAlignment="1">
      <alignment vertical="center"/>
    </xf>
    <xf numFmtId="168" fontId="4" fillId="62" borderId="2" xfId="0" applyFont="1" applyFill="1" applyBorder="1" applyAlignment="1">
      <alignment horizontal="center" vertical="center"/>
    </xf>
    <xf numFmtId="168" fontId="8" fillId="0" borderId="0" xfId="0" applyFont="1"/>
    <xf numFmtId="167" fontId="8" fillId="0" borderId="2" xfId="0" applyNumberFormat="1" applyFont="1" applyFill="1" applyBorder="1" applyAlignment="1">
      <alignment vertical="center"/>
    </xf>
    <xf numFmtId="43" fontId="8" fillId="0" borderId="8" xfId="1" applyFont="1" applyFill="1" applyBorder="1" applyAlignment="1">
      <alignment horizontal="left" vertical="center"/>
    </xf>
    <xf numFmtId="43" fontId="8" fillId="0" borderId="2" xfId="1" applyFont="1" applyFill="1" applyBorder="1" applyAlignment="1">
      <alignment horizontal="left" vertical="center"/>
    </xf>
    <xf numFmtId="43" fontId="8" fillId="0" borderId="8" xfId="1" applyFont="1" applyFill="1" applyBorder="1" applyAlignment="1">
      <alignment horizontal="right" vertical="center"/>
    </xf>
    <xf numFmtId="43" fontId="8" fillId="0" borderId="6" xfId="1" applyFont="1" applyFill="1" applyBorder="1" applyAlignment="1">
      <alignment horizontal="left" vertical="center" wrapText="1"/>
    </xf>
    <xf numFmtId="43" fontId="8" fillId="0" borderId="2" xfId="1" applyFont="1" applyFill="1" applyBorder="1" applyAlignment="1">
      <alignment horizontal="left" vertical="center" wrapText="1"/>
    </xf>
    <xf numFmtId="43" fontId="8" fillId="0" borderId="8" xfId="1" applyFont="1" applyFill="1" applyBorder="1" applyAlignment="1">
      <alignment horizontal="justify" vertical="center" wrapText="1"/>
    </xf>
    <xf numFmtId="167" fontId="8" fillId="0" borderId="11" xfId="0" applyNumberFormat="1" applyFont="1" applyFill="1" applyBorder="1" applyAlignment="1">
      <alignment vertical="center"/>
    </xf>
    <xf numFmtId="0" fontId="4" fillId="60" borderId="41" xfId="0" applyNumberFormat="1" applyFont="1" applyFill="1" applyBorder="1" applyAlignment="1">
      <alignment horizontal="center" vertical="center" wrapText="1"/>
    </xf>
    <xf numFmtId="168" fontId="4" fillId="60" borderId="41" xfId="0" applyFont="1" applyFill="1" applyBorder="1" applyAlignment="1">
      <alignment horizontal="center" vertical="center" wrapText="1"/>
    </xf>
    <xf numFmtId="49" fontId="8" fillId="0" borderId="6" xfId="0" applyNumberFormat="1" applyFont="1" applyFill="1" applyBorder="1" applyAlignment="1">
      <alignment horizontal="justify" vertical="center" wrapText="1"/>
    </xf>
    <xf numFmtId="41" fontId="8" fillId="0" borderId="2" xfId="388" applyFont="1" applyFill="1" applyBorder="1" applyAlignment="1">
      <alignment vertical="center"/>
    </xf>
    <xf numFmtId="43" fontId="4" fillId="6" borderId="1" xfId="1" applyFont="1" applyFill="1" applyBorder="1" applyAlignment="1">
      <alignment horizontal="justify" vertical="center" wrapText="1"/>
    </xf>
    <xf numFmtId="43" fontId="4" fillId="6" borderId="1" xfId="1" applyFont="1" applyFill="1" applyBorder="1" applyAlignment="1">
      <alignment horizontal="center" vertical="center" wrapText="1"/>
    </xf>
    <xf numFmtId="43" fontId="4" fillId="6" borderId="1" xfId="1" applyFont="1" applyFill="1" applyBorder="1" applyAlignment="1">
      <alignment horizontal="center" vertical="center"/>
    </xf>
    <xf numFmtId="2" fontId="4" fillId="6" borderId="1" xfId="1" applyNumberFormat="1" applyFont="1" applyFill="1" applyBorder="1" applyAlignment="1">
      <alignment horizontal="center" vertical="center"/>
    </xf>
    <xf numFmtId="43" fontId="8" fillId="6" borderId="1" xfId="1" applyFont="1" applyFill="1" applyBorder="1" applyAlignment="1">
      <alignment horizontal="justify" vertical="center" wrapText="1"/>
    </xf>
    <xf numFmtId="43" fontId="4" fillId="60" borderId="2" xfId="1" applyFont="1" applyFill="1" applyBorder="1" applyAlignment="1">
      <alignment horizontal="left" vertical="center"/>
    </xf>
    <xf numFmtId="43" fontId="4" fillId="60" borderId="2" xfId="1" applyFont="1" applyFill="1" applyBorder="1" applyAlignment="1">
      <alignment vertical="center"/>
    </xf>
    <xf numFmtId="43" fontId="4" fillId="60" borderId="6" xfId="1" applyFont="1" applyFill="1" applyBorder="1" applyAlignment="1">
      <alignment vertical="center"/>
    </xf>
    <xf numFmtId="43" fontId="4" fillId="60" borderId="2" xfId="1" applyFont="1" applyFill="1" applyBorder="1" applyAlignment="1">
      <alignment horizontal="center" vertical="center" wrapText="1"/>
    </xf>
    <xf numFmtId="43" fontId="4" fillId="62" borderId="5" xfId="1" applyFont="1" applyFill="1" applyBorder="1" applyAlignment="1">
      <alignment horizontal="justify" vertical="center" wrapText="1"/>
    </xf>
    <xf numFmtId="43" fontId="4" fillId="62" borderId="5" xfId="1" applyFont="1" applyFill="1" applyBorder="1" applyAlignment="1">
      <alignment horizontal="center" vertical="center" wrapText="1"/>
    </xf>
    <xf numFmtId="43" fontId="4" fillId="62" borderId="5" xfId="1" applyFont="1" applyFill="1" applyBorder="1" applyAlignment="1">
      <alignment horizontal="center" vertical="center"/>
    </xf>
    <xf numFmtId="2" fontId="4" fillId="62" borderId="5" xfId="1" applyNumberFormat="1" applyFont="1" applyFill="1" applyBorder="1" applyAlignment="1">
      <alignment horizontal="center" vertical="center"/>
    </xf>
    <xf numFmtId="43" fontId="4" fillId="62" borderId="10" xfId="1" applyFont="1" applyFill="1" applyBorder="1" applyAlignment="1">
      <alignment horizontal="justify" vertical="center" wrapText="1"/>
    </xf>
    <xf numFmtId="43" fontId="4" fillId="62" borderId="11" xfId="1" applyFont="1" applyFill="1" applyBorder="1" applyAlignment="1">
      <alignment horizontal="justify" vertical="center" wrapText="1"/>
    </xf>
    <xf numFmtId="168" fontId="48" fillId="62" borderId="84" xfId="0" applyFont="1" applyFill="1" applyBorder="1" applyAlignment="1">
      <alignment horizontal="center" vertical="center" wrapText="1"/>
    </xf>
    <xf numFmtId="168" fontId="48" fillId="62" borderId="77" xfId="0" applyFont="1" applyFill="1" applyBorder="1" applyAlignment="1">
      <alignment horizontal="center" vertical="center" wrapText="1"/>
    </xf>
    <xf numFmtId="170" fontId="4" fillId="62" borderId="41" xfId="3" applyNumberFormat="1" applyFont="1" applyFill="1" applyBorder="1" applyAlignment="1">
      <alignment horizontal="center" vertical="center" wrapText="1"/>
    </xf>
    <xf numFmtId="9" fontId="4" fillId="62" borderId="41" xfId="387" applyFont="1" applyFill="1" applyBorder="1" applyAlignment="1">
      <alignment horizontal="center" vertical="center" wrapText="1"/>
    </xf>
    <xf numFmtId="170" fontId="4" fillId="62" borderId="44" xfId="3" applyNumberFormat="1" applyFont="1" applyFill="1" applyBorder="1" applyAlignment="1">
      <alignment horizontal="center" vertical="center" wrapText="1"/>
    </xf>
    <xf numFmtId="9" fontId="4" fillId="62" borderId="76" xfId="387" applyFont="1" applyFill="1" applyBorder="1" applyAlignment="1">
      <alignment horizontal="center" vertical="center" wrapText="1"/>
    </xf>
    <xf numFmtId="43" fontId="48" fillId="63" borderId="74" xfId="1" applyFont="1" applyFill="1" applyBorder="1" applyAlignment="1">
      <alignment vertical="center" wrapText="1"/>
    </xf>
    <xf numFmtId="9" fontId="48" fillId="63" borderId="46" xfId="387" applyFont="1" applyFill="1" applyBorder="1" applyAlignment="1">
      <alignment horizontal="center" vertical="center" wrapText="1"/>
    </xf>
    <xf numFmtId="43" fontId="48" fillId="63" borderId="75" xfId="1" applyFont="1" applyFill="1" applyBorder="1" applyAlignment="1">
      <alignment vertical="center" wrapText="1"/>
    </xf>
    <xf numFmtId="9" fontId="4" fillId="0" borderId="48" xfId="92" applyNumberFormat="1" applyFont="1" applyFill="1" applyBorder="1" applyAlignment="1" applyProtection="1">
      <alignment horizontal="center" vertical="center"/>
      <protection locked="0"/>
    </xf>
    <xf numFmtId="0" fontId="48" fillId="71" borderId="53" xfId="0" applyNumberFormat="1" applyFont="1" applyFill="1" applyBorder="1" applyAlignment="1">
      <alignment horizontal="center" vertical="center" wrapText="1"/>
    </xf>
    <xf numFmtId="168" fontId="48" fillId="71" borderId="88" xfId="0" applyFont="1" applyFill="1" applyBorder="1" applyAlignment="1">
      <alignment horizontal="justify" vertical="center" wrapText="1"/>
    </xf>
    <xf numFmtId="43" fontId="48" fillId="71" borderId="54" xfId="1" applyFont="1" applyFill="1" applyBorder="1" applyAlignment="1">
      <alignment vertical="center" wrapText="1"/>
    </xf>
    <xf numFmtId="9" fontId="48" fillId="71" borderId="54" xfId="387" applyFont="1" applyFill="1" applyBorder="1" applyAlignment="1">
      <alignment horizontal="center" vertical="center"/>
    </xf>
    <xf numFmtId="9" fontId="4" fillId="0" borderId="54" xfId="92" applyNumberFormat="1" applyFont="1" applyFill="1" applyBorder="1" applyAlignment="1" applyProtection="1">
      <alignment horizontal="center" vertical="center"/>
      <protection locked="0"/>
    </xf>
    <xf numFmtId="1" fontId="26" fillId="0" borderId="59" xfId="1" applyNumberFormat="1" applyFont="1" applyFill="1" applyBorder="1" applyAlignment="1">
      <alignment horizontal="center" vertical="center" wrapText="1"/>
    </xf>
    <xf numFmtId="168" fontId="26" fillId="64" borderId="11" xfId="0" applyFont="1" applyFill="1" applyBorder="1" applyAlignment="1">
      <alignment horizontal="justify" vertical="center" wrapText="1"/>
    </xf>
    <xf numFmtId="43" fontId="26" fillId="0" borderId="4" xfId="1" applyFont="1" applyBorder="1" applyAlignment="1">
      <alignment vertical="center"/>
    </xf>
    <xf numFmtId="9" fontId="26" fillId="0" borderId="4" xfId="387" applyFont="1" applyBorder="1" applyAlignment="1">
      <alignment horizontal="center" vertical="center"/>
    </xf>
    <xf numFmtId="43" fontId="26" fillId="0" borderId="11" xfId="1" applyFont="1" applyBorder="1" applyAlignment="1">
      <alignment vertical="center"/>
    </xf>
    <xf numFmtId="9" fontId="4" fillId="0" borderId="2" xfId="92" applyNumberFormat="1" applyFont="1" applyFill="1" applyBorder="1" applyAlignment="1" applyProtection="1">
      <alignment horizontal="center" vertical="center"/>
      <protection locked="0"/>
    </xf>
    <xf numFmtId="43" fontId="26" fillId="0" borderId="10" xfId="1" applyFont="1" applyBorder="1" applyAlignment="1">
      <alignment vertical="center"/>
    </xf>
    <xf numFmtId="1" fontId="26" fillId="0" borderId="55" xfId="1" applyNumberFormat="1" applyFont="1" applyFill="1" applyBorder="1" applyAlignment="1">
      <alignment horizontal="center" vertical="center" wrapText="1"/>
    </xf>
    <xf numFmtId="168" fontId="26" fillId="64" borderId="2" xfId="0" applyFont="1" applyFill="1" applyBorder="1" applyAlignment="1">
      <alignment horizontal="justify" vertical="center" wrapText="1"/>
    </xf>
    <xf numFmtId="43" fontId="26" fillId="0" borderId="6" xfId="1" applyFont="1" applyBorder="1" applyAlignment="1">
      <alignment vertical="center"/>
    </xf>
    <xf numFmtId="9" fontId="26" fillId="0" borderId="6" xfId="387" applyFont="1" applyBorder="1" applyAlignment="1">
      <alignment horizontal="center" vertical="center"/>
    </xf>
    <xf numFmtId="43" fontId="26" fillId="0" borderId="2" xfId="1" applyFont="1" applyBorder="1" applyAlignment="1">
      <alignment vertical="center"/>
    </xf>
    <xf numFmtId="43" fontId="26" fillId="0" borderId="8" xfId="1" applyFont="1" applyBorder="1" applyAlignment="1">
      <alignment vertical="center"/>
    </xf>
    <xf numFmtId="168" fontId="26" fillId="0" borderId="2" xfId="0" applyFont="1" applyBorder="1" applyAlignment="1">
      <alignment horizontal="justify" vertical="center" wrapText="1"/>
    </xf>
    <xf numFmtId="43" fontId="26" fillId="0" borderId="62" xfId="1" applyFont="1" applyBorder="1" applyAlignment="1">
      <alignment vertical="center"/>
    </xf>
    <xf numFmtId="9" fontId="26" fillId="0" borderId="62" xfId="387" applyFont="1" applyBorder="1" applyAlignment="1">
      <alignment horizontal="center" vertical="center"/>
    </xf>
    <xf numFmtId="43" fontId="26" fillId="0" borderId="41" xfId="1" applyFont="1" applyBorder="1" applyAlignment="1">
      <alignment vertical="center"/>
    </xf>
    <xf numFmtId="43" fontId="26" fillId="0" borderId="44" xfId="1" applyFont="1" applyBorder="1" applyAlignment="1">
      <alignment vertical="center"/>
    </xf>
    <xf numFmtId="1" fontId="26" fillId="0" borderId="58" xfId="1" applyNumberFormat="1" applyFont="1" applyFill="1" applyBorder="1" applyAlignment="1">
      <alignment horizontal="center" vertical="center" wrapText="1"/>
    </xf>
    <xf numFmtId="168" fontId="26" fillId="0" borderId="41" xfId="0" applyFont="1" applyBorder="1" applyAlignment="1">
      <alignment horizontal="justify" vertical="center" wrapText="1"/>
    </xf>
    <xf numFmtId="9" fontId="26" fillId="0" borderId="2" xfId="387" applyFont="1" applyBorder="1" applyAlignment="1">
      <alignment horizontal="center" vertical="center"/>
    </xf>
    <xf numFmtId="1" fontId="26" fillId="0" borderId="56" xfId="1" applyNumberFormat="1" applyFont="1" applyFill="1" applyBorder="1" applyAlignment="1">
      <alignment horizontal="center" vertical="center" wrapText="1"/>
    </xf>
    <xf numFmtId="168" fontId="26" fillId="0" borderId="57" xfId="0" applyFont="1" applyBorder="1" applyAlignment="1">
      <alignment horizontal="justify" vertical="center" wrapText="1"/>
    </xf>
    <xf numFmtId="43" fontId="26" fillId="0" borderId="57" xfId="1" applyFont="1" applyBorder="1" applyAlignment="1">
      <alignment vertical="center"/>
    </xf>
    <xf numFmtId="9" fontId="26" fillId="0" borderId="57" xfId="387" applyFont="1" applyBorder="1" applyAlignment="1">
      <alignment horizontal="center" vertical="center"/>
    </xf>
    <xf numFmtId="9" fontId="4" fillId="0" borderId="57" xfId="92" applyNumberFormat="1" applyFont="1" applyFill="1" applyBorder="1" applyAlignment="1" applyProtection="1">
      <alignment horizontal="center" vertical="center"/>
      <protection locked="0"/>
    </xf>
    <xf numFmtId="43" fontId="48" fillId="63" borderId="48" xfId="1" applyFont="1" applyFill="1" applyBorder="1" applyAlignment="1">
      <alignment vertical="center" wrapText="1"/>
    </xf>
    <xf numFmtId="9" fontId="48" fillId="63" borderId="48" xfId="387" applyFont="1" applyFill="1" applyBorder="1" applyAlignment="1">
      <alignment horizontal="center" vertical="center" wrapText="1"/>
    </xf>
    <xf numFmtId="43" fontId="48" fillId="63" borderId="46" xfId="1" applyFont="1" applyFill="1" applyBorder="1" applyAlignment="1">
      <alignment vertical="center" wrapText="1"/>
    </xf>
    <xf numFmtId="43" fontId="48" fillId="63" borderId="82" xfId="1" applyFont="1" applyFill="1" applyBorder="1" applyAlignment="1">
      <alignment vertical="center" wrapText="1"/>
    </xf>
    <xf numFmtId="168" fontId="48" fillId="71" borderId="5" xfId="0" applyFont="1" applyFill="1" applyBorder="1" applyAlignment="1">
      <alignment horizontal="justify" vertical="center" wrapText="1"/>
    </xf>
    <xf numFmtId="43" fontId="48" fillId="71" borderId="11" xfId="1" applyFont="1" applyFill="1" applyBorder="1" applyAlignment="1">
      <alignment vertical="center" wrapText="1"/>
    </xf>
    <xf numFmtId="9" fontId="48" fillId="71" borderId="11" xfId="387" applyFont="1" applyFill="1" applyBorder="1" applyAlignment="1">
      <alignment horizontal="center" vertical="center"/>
    </xf>
    <xf numFmtId="9" fontId="4" fillId="0" borderId="42" xfId="92" applyNumberFormat="1" applyFont="1" applyFill="1" applyBorder="1" applyAlignment="1" applyProtection="1">
      <alignment horizontal="center" vertical="center"/>
      <protection locked="0"/>
    </xf>
    <xf numFmtId="43" fontId="48" fillId="71" borderId="5" xfId="1" applyFont="1" applyFill="1" applyBorder="1" applyAlignment="1">
      <alignment vertical="center" wrapText="1"/>
    </xf>
    <xf numFmtId="168" fontId="26" fillId="64" borderId="41" xfId="0" applyFont="1" applyFill="1" applyBorder="1" applyAlignment="1">
      <alignment horizontal="justify" vertical="center" wrapText="1"/>
    </xf>
    <xf numFmtId="9" fontId="4" fillId="0" borderId="11" xfId="92" applyNumberFormat="1" applyFont="1" applyFill="1" applyBorder="1" applyAlignment="1" applyProtection="1">
      <alignment horizontal="center" vertical="center"/>
      <protection locked="0"/>
    </xf>
    <xf numFmtId="43" fontId="48" fillId="71" borderId="10" xfId="1" applyFont="1" applyFill="1" applyBorder="1" applyAlignment="1">
      <alignment vertical="center" wrapText="1"/>
    </xf>
    <xf numFmtId="168" fontId="26" fillId="0" borderId="11" xfId="0" applyFont="1" applyBorder="1" applyAlignment="1">
      <alignment horizontal="justify" vertical="center" wrapText="1"/>
    </xf>
    <xf numFmtId="43" fontId="48" fillId="63" borderId="45" xfId="1" applyFont="1" applyFill="1" applyBorder="1" applyAlignment="1">
      <alignment vertical="center" wrapText="1"/>
    </xf>
    <xf numFmtId="168" fontId="48" fillId="71" borderId="5" xfId="0" applyFont="1" applyFill="1" applyBorder="1" applyAlignment="1">
      <alignment horizontal="left" vertical="center" wrapText="1"/>
    </xf>
    <xf numFmtId="168" fontId="26" fillId="0" borderId="5" xfId="0" applyFont="1" applyBorder="1" applyAlignment="1">
      <alignment horizontal="justify" vertical="center" wrapText="1"/>
    </xf>
    <xf numFmtId="168" fontId="48" fillId="71" borderId="2" xfId="0" applyFont="1" applyFill="1" applyBorder="1" applyAlignment="1">
      <alignment horizontal="left" vertical="center" wrapText="1"/>
    </xf>
    <xf numFmtId="43" fontId="48" fillId="71" borderId="2" xfId="1" applyFont="1" applyFill="1" applyBorder="1" applyAlignment="1">
      <alignment vertical="center" wrapText="1"/>
    </xf>
    <xf numFmtId="9" fontId="48" fillId="71" borderId="2" xfId="387" applyFont="1" applyFill="1" applyBorder="1" applyAlignment="1">
      <alignment horizontal="center" vertical="center"/>
    </xf>
    <xf numFmtId="168" fontId="26" fillId="0" borderId="2" xfId="0" applyFont="1" applyFill="1" applyBorder="1" applyAlignment="1">
      <alignment horizontal="justify" vertical="center" wrapText="1"/>
    </xf>
    <xf numFmtId="0" fontId="48" fillId="71" borderId="55" xfId="0" applyNumberFormat="1" applyFont="1" applyFill="1" applyBorder="1" applyAlignment="1">
      <alignment horizontal="center" vertical="center" wrapText="1"/>
    </xf>
    <xf numFmtId="168" fontId="26" fillId="64" borderId="5" xfId="0" applyFont="1" applyFill="1" applyBorder="1" applyAlignment="1">
      <alignment horizontal="justify" vertical="center" wrapText="1"/>
    </xf>
    <xf numFmtId="43" fontId="48" fillId="71" borderId="4" xfId="1" applyFont="1" applyFill="1" applyBorder="1" applyAlignment="1">
      <alignment vertical="center" wrapText="1"/>
    </xf>
    <xf numFmtId="43" fontId="26" fillId="0" borderId="6" xfId="1" applyFont="1" applyFill="1" applyBorder="1" applyAlignment="1">
      <alignment vertical="center"/>
    </xf>
    <xf numFmtId="9" fontId="26" fillId="0" borderId="6" xfId="387" applyFont="1" applyFill="1" applyBorder="1" applyAlignment="1">
      <alignment horizontal="center" vertical="center"/>
    </xf>
    <xf numFmtId="43" fontId="26" fillId="0" borderId="2" xfId="1" applyFont="1" applyFill="1" applyBorder="1" applyAlignment="1">
      <alignment vertical="center"/>
    </xf>
    <xf numFmtId="9" fontId="4" fillId="0" borderId="0" xfId="92" applyNumberFormat="1" applyFont="1" applyFill="1" applyBorder="1" applyAlignment="1" applyProtection="1">
      <alignment horizontal="center" vertical="center"/>
      <protection locked="0"/>
    </xf>
    <xf numFmtId="43" fontId="26" fillId="0" borderId="57" xfId="1" applyFont="1" applyFill="1" applyBorder="1" applyAlignment="1">
      <alignment vertical="center"/>
    </xf>
    <xf numFmtId="0" fontId="48" fillId="71" borderId="59" xfId="0" applyNumberFormat="1" applyFont="1" applyFill="1" applyBorder="1" applyAlignment="1">
      <alignment horizontal="center" vertical="center" wrapText="1"/>
    </xf>
    <xf numFmtId="49" fontId="26" fillId="64" borderId="2" xfId="0" applyNumberFormat="1" applyFont="1" applyFill="1" applyBorder="1" applyAlignment="1">
      <alignment horizontal="justify" vertical="center" wrapText="1"/>
    </xf>
    <xf numFmtId="1" fontId="26" fillId="0" borderId="80" xfId="1" applyNumberFormat="1" applyFont="1" applyFill="1" applyBorder="1" applyAlignment="1">
      <alignment horizontal="center" vertical="center" wrapText="1"/>
    </xf>
    <xf numFmtId="168" fontId="26" fillId="0" borderId="57" xfId="0" applyFont="1" applyFill="1" applyBorder="1" applyAlignment="1">
      <alignment horizontal="justify" vertical="center" wrapText="1"/>
    </xf>
    <xf numFmtId="9" fontId="26" fillId="0" borderId="57" xfId="387" applyFont="1" applyFill="1" applyBorder="1" applyAlignment="1">
      <alignment horizontal="center" vertical="center"/>
    </xf>
    <xf numFmtId="9" fontId="4" fillId="0" borderId="89" xfId="92" applyNumberFormat="1" applyFont="1" applyFill="1" applyBorder="1" applyAlignment="1" applyProtection="1">
      <alignment horizontal="center" vertical="center"/>
      <protection locked="0"/>
    </xf>
    <xf numFmtId="1" fontId="26" fillId="0" borderId="55" xfId="1" applyNumberFormat="1" applyFont="1" applyBorder="1" applyAlignment="1">
      <alignment horizontal="center" vertical="center" wrapText="1"/>
    </xf>
    <xf numFmtId="1" fontId="26" fillId="0" borderId="80" xfId="1" applyNumberFormat="1" applyFont="1" applyBorder="1" applyAlignment="1">
      <alignment horizontal="center" vertical="center" wrapText="1"/>
    </xf>
    <xf numFmtId="43" fontId="26" fillId="0" borderId="0" xfId="1" applyFont="1" applyBorder="1" applyAlignment="1">
      <alignment vertical="center"/>
    </xf>
    <xf numFmtId="1" fontId="26" fillId="0" borderId="56" xfId="1" applyNumberFormat="1" applyFont="1" applyBorder="1" applyAlignment="1">
      <alignment horizontal="center" vertical="center" wrapText="1"/>
    </xf>
    <xf numFmtId="43" fontId="26" fillId="0" borderId="63" xfId="1" applyFont="1" applyBorder="1" applyAlignment="1">
      <alignment vertical="center"/>
    </xf>
    <xf numFmtId="9" fontId="26" fillId="0" borderId="63" xfId="387" applyFont="1" applyBorder="1" applyAlignment="1">
      <alignment horizontal="center" vertical="center"/>
    </xf>
    <xf numFmtId="43" fontId="48" fillId="62" borderId="45" xfId="1" applyFont="1" applyFill="1" applyBorder="1" applyAlignment="1">
      <alignment vertical="center" wrapText="1"/>
    </xf>
    <xf numFmtId="9" fontId="48" fillId="62" borderId="45" xfId="387" applyFont="1" applyFill="1" applyBorder="1" applyAlignment="1">
      <alignment horizontal="center" vertical="center" wrapText="1"/>
    </xf>
    <xf numFmtId="0" fontId="26" fillId="0" borderId="2" xfId="92" applyFont="1" applyBorder="1" applyAlignment="1">
      <alignment horizontal="center" vertical="center"/>
    </xf>
    <xf numFmtId="0" fontId="26" fillId="0" borderId="2" xfId="92" applyFont="1" applyBorder="1" applyAlignment="1">
      <alignment horizontal="left" vertical="center"/>
    </xf>
    <xf numFmtId="167" fontId="8" fillId="0" borderId="2" xfId="101" applyNumberFormat="1" applyFont="1" applyBorder="1" applyAlignment="1">
      <alignment horizontal="right" vertical="center"/>
    </xf>
    <xf numFmtId="9" fontId="8" fillId="0" borderId="2" xfId="94" applyFont="1" applyBorder="1" applyAlignment="1">
      <alignment horizontal="center" vertical="center"/>
    </xf>
    <xf numFmtId="167" fontId="8" fillId="0" borderId="2" xfId="101" applyNumberFormat="1" applyFont="1" applyFill="1" applyBorder="1" applyAlignment="1">
      <alignment horizontal="right" vertical="center"/>
    </xf>
    <xf numFmtId="9" fontId="8" fillId="0" borderId="2" xfId="94" applyNumberFormat="1" applyFont="1" applyBorder="1" applyAlignment="1">
      <alignment horizontal="center" vertical="center"/>
    </xf>
    <xf numFmtId="167" fontId="8" fillId="0" borderId="2" xfId="387" applyNumberFormat="1" applyFont="1" applyFill="1" applyBorder="1" applyAlignment="1">
      <alignment horizontal="right" vertical="center"/>
    </xf>
    <xf numFmtId="9" fontId="8" fillId="0" borderId="2" xfId="387" applyNumberFormat="1" applyFont="1" applyBorder="1" applyAlignment="1">
      <alignment horizontal="center" vertical="center"/>
    </xf>
    <xf numFmtId="167" fontId="8" fillId="0" borderId="2" xfId="387" applyNumberFormat="1" applyFont="1" applyBorder="1" applyAlignment="1">
      <alignment horizontal="center" vertical="center"/>
    </xf>
    <xf numFmtId="167" fontId="26" fillId="0" borderId="2" xfId="101" applyNumberFormat="1" applyFont="1" applyBorder="1" applyAlignment="1">
      <alignment vertical="center"/>
    </xf>
    <xf numFmtId="9" fontId="26" fillId="0" borderId="2" xfId="94" applyNumberFormat="1" applyFont="1" applyBorder="1" applyAlignment="1">
      <alignment horizontal="center" vertical="center"/>
    </xf>
    <xf numFmtId="167" fontId="26" fillId="0" borderId="2" xfId="101" applyNumberFormat="1" applyFont="1" applyFill="1" applyBorder="1" applyAlignment="1">
      <alignment vertical="center"/>
    </xf>
    <xf numFmtId="0" fontId="26" fillId="0" borderId="2" xfId="92" applyFont="1" applyBorder="1" applyAlignment="1">
      <alignment horizontal="left" vertical="center" wrapText="1"/>
    </xf>
    <xf numFmtId="0" fontId="8" fillId="0" borderId="2" xfId="92" applyFont="1" applyBorder="1" applyAlignment="1">
      <alignment horizontal="center" vertical="center"/>
    </xf>
    <xf numFmtId="167" fontId="8" fillId="0" borderId="2" xfId="92" applyNumberFormat="1" applyFont="1" applyBorder="1" applyAlignment="1">
      <alignment horizontal="right" vertical="center"/>
    </xf>
    <xf numFmtId="167" fontId="8" fillId="0" borderId="2" xfId="101" applyNumberFormat="1" applyFont="1" applyBorder="1" applyAlignment="1">
      <alignment vertical="center"/>
    </xf>
    <xf numFmtId="0" fontId="4" fillId="60" borderId="0" xfId="92" applyFont="1" applyFill="1" applyAlignment="1">
      <alignment horizontal="left" vertical="center"/>
    </xf>
    <xf numFmtId="167" fontId="4" fillId="60" borderId="2" xfId="101" applyNumberFormat="1" applyFont="1" applyFill="1" applyBorder="1" applyAlignment="1">
      <alignment vertical="center"/>
    </xf>
    <xf numFmtId="9" fontId="4" fillId="60" borderId="2" xfId="94" applyFont="1" applyFill="1" applyBorder="1" applyAlignment="1">
      <alignment horizontal="center" vertical="center"/>
    </xf>
    <xf numFmtId="9" fontId="4" fillId="60" borderId="2" xfId="94" applyNumberFormat="1" applyFont="1" applyFill="1" applyBorder="1" applyAlignment="1">
      <alignment horizontal="center" vertical="center"/>
    </xf>
    <xf numFmtId="9" fontId="4" fillId="60" borderId="2" xfId="387" applyNumberFormat="1" applyFont="1" applyFill="1" applyBorder="1" applyAlignment="1">
      <alignment horizontal="center" vertical="center"/>
    </xf>
    <xf numFmtId="167" fontId="8" fillId="0" borderId="2" xfId="94" applyNumberFormat="1" applyFont="1" applyBorder="1" applyAlignment="1">
      <alignment horizontal="center" vertical="center"/>
    </xf>
    <xf numFmtId="0" fontId="4" fillId="60" borderId="6" xfId="92" applyFont="1" applyFill="1" applyBorder="1" applyAlignment="1">
      <alignment horizontal="left" vertical="center"/>
    </xf>
    <xf numFmtId="0" fontId="4" fillId="60" borderId="8" xfId="92" applyFont="1" applyFill="1" applyBorder="1" applyAlignment="1">
      <alignment horizontal="left" vertical="center"/>
    </xf>
    <xf numFmtId="9" fontId="4" fillId="60" borderId="2" xfId="92" applyNumberFormat="1" applyFont="1" applyFill="1" applyBorder="1" applyAlignment="1" applyProtection="1">
      <alignment horizontal="center" vertical="center"/>
      <protection locked="0"/>
    </xf>
    <xf numFmtId="0" fontId="56" fillId="70" borderId="6" xfId="92" applyFont="1" applyFill="1" applyBorder="1" applyAlignment="1">
      <alignment horizontal="left" vertical="center"/>
    </xf>
    <xf numFmtId="0" fontId="56" fillId="70" borderId="8" xfId="92" applyFont="1" applyFill="1" applyBorder="1" applyAlignment="1">
      <alignment horizontal="left" vertical="center"/>
    </xf>
    <xf numFmtId="167" fontId="56" fillId="70" borderId="2" xfId="101" applyNumberFormat="1" applyFont="1" applyFill="1" applyBorder="1" applyAlignment="1">
      <alignment vertical="center"/>
    </xf>
    <xf numFmtId="9" fontId="56" fillId="70" borderId="2" xfId="94" applyFont="1" applyFill="1" applyBorder="1" applyAlignment="1">
      <alignment horizontal="center" vertical="center"/>
    </xf>
    <xf numFmtId="9" fontId="56" fillId="70" borderId="2" xfId="94" applyNumberFormat="1" applyFont="1" applyFill="1" applyBorder="1" applyAlignment="1">
      <alignment horizontal="center" vertical="center"/>
    </xf>
    <xf numFmtId="9" fontId="4" fillId="70" borderId="2" xfId="92" applyNumberFormat="1" applyFont="1" applyFill="1" applyBorder="1" applyAlignment="1" applyProtection="1">
      <alignment horizontal="center" vertical="center"/>
      <protection locked="0"/>
    </xf>
    <xf numFmtId="9" fontId="56" fillId="70" borderId="2" xfId="387" applyNumberFormat="1" applyFont="1" applyFill="1" applyBorder="1" applyAlignment="1">
      <alignment horizontal="center" vertical="center"/>
    </xf>
    <xf numFmtId="0" fontId="8" fillId="0" borderId="0" xfId="92" applyFont="1" applyAlignment="1">
      <alignment horizontal="left"/>
    </xf>
    <xf numFmtId="0" fontId="9" fillId="0" borderId="0" xfId="92" applyFont="1" applyFill="1" applyBorder="1"/>
    <xf numFmtId="0" fontId="9" fillId="0" borderId="0" xfId="92" applyFont="1" applyFill="1" applyBorder="1" applyAlignment="1">
      <alignment horizontal="center"/>
    </xf>
    <xf numFmtId="9" fontId="23" fillId="0" borderId="0" xfId="387" applyFont="1" applyFill="1" applyBorder="1" applyAlignment="1">
      <alignment horizontal="center"/>
    </xf>
    <xf numFmtId="9" fontId="54" fillId="0" borderId="0" xfId="387" applyNumberFormat="1" applyFont="1" applyFill="1" applyBorder="1" applyAlignment="1">
      <alignment horizontal="center" vertical="center"/>
    </xf>
    <xf numFmtId="9" fontId="54" fillId="0" borderId="0" xfId="387" applyNumberFormat="1" applyFont="1" applyFill="1" applyBorder="1" applyAlignment="1">
      <alignment horizontal="center"/>
    </xf>
    <xf numFmtId="0" fontId="55" fillId="0" borderId="0" xfId="92" applyFont="1" applyFill="1" applyAlignment="1">
      <alignment horizontal="left"/>
    </xf>
    <xf numFmtId="170" fontId="55" fillId="0" borderId="0" xfId="101" applyNumberFormat="1" applyFont="1" applyFill="1"/>
    <xf numFmtId="0" fontId="4" fillId="60" borderId="44" xfId="0" applyNumberFormat="1" applyFont="1" applyFill="1" applyBorder="1" applyAlignment="1">
      <alignment horizontal="center" vertical="center" wrapText="1"/>
    </xf>
    <xf numFmtId="0" fontId="4" fillId="60" borderId="10" xfId="0" applyNumberFormat="1" applyFont="1" applyFill="1" applyBorder="1" applyAlignment="1">
      <alignment horizontal="center" vertical="center" wrapText="1"/>
    </xf>
    <xf numFmtId="0" fontId="4" fillId="60" borderId="41" xfId="0" applyNumberFormat="1" applyFont="1" applyFill="1" applyBorder="1" applyAlignment="1">
      <alignment horizontal="center" vertical="center" wrapText="1"/>
    </xf>
    <xf numFmtId="0" fontId="4" fillId="60" borderId="11" xfId="0" applyNumberFormat="1" applyFont="1" applyFill="1" applyBorder="1" applyAlignment="1">
      <alignment horizontal="center" vertical="center" wrapText="1"/>
    </xf>
    <xf numFmtId="0" fontId="4" fillId="62" borderId="6" xfId="0" applyNumberFormat="1" applyFont="1" applyFill="1" applyBorder="1" applyAlignment="1">
      <alignment horizontal="center" vertical="center" wrapText="1"/>
    </xf>
    <xf numFmtId="0" fontId="4" fillId="62" borderId="8" xfId="0" applyNumberFormat="1" applyFont="1" applyFill="1" applyBorder="1" applyAlignment="1">
      <alignment horizontal="center" vertical="center" wrapText="1"/>
    </xf>
    <xf numFmtId="168" fontId="4" fillId="62" borderId="2" xfId="0" applyFont="1" applyFill="1" applyBorder="1" applyAlignment="1">
      <alignment horizontal="center" vertical="center" wrapText="1"/>
    </xf>
    <xf numFmtId="168" fontId="4" fillId="62" borderId="6" xfId="0" applyFont="1" applyFill="1" applyBorder="1" applyAlignment="1">
      <alignment horizontal="center" vertical="center" wrapText="1"/>
    </xf>
    <xf numFmtId="168" fontId="4" fillId="62" borderId="7" xfId="0" applyFont="1" applyFill="1" applyBorder="1" applyAlignment="1">
      <alignment horizontal="center" vertical="center" wrapText="1"/>
    </xf>
    <xf numFmtId="168" fontId="4" fillId="62" borderId="8" xfId="0" applyFont="1" applyFill="1" applyBorder="1" applyAlignment="1">
      <alignment horizontal="center" vertical="center" wrapText="1"/>
    </xf>
    <xf numFmtId="0" fontId="4" fillId="6" borderId="6" xfId="0" applyNumberFormat="1" applyFont="1" applyFill="1" applyBorder="1" applyAlignment="1">
      <alignment horizontal="center" vertical="center" wrapText="1"/>
    </xf>
    <xf numFmtId="0" fontId="4" fillId="6" borderId="7" xfId="0" applyNumberFormat="1" applyFont="1" applyFill="1" applyBorder="1" applyAlignment="1">
      <alignment horizontal="center" vertical="center" wrapText="1"/>
    </xf>
    <xf numFmtId="0" fontId="4" fillId="6" borderId="8" xfId="0" applyNumberFormat="1" applyFont="1" applyFill="1" applyBorder="1" applyAlignment="1">
      <alignment horizontal="center" vertical="center" wrapText="1"/>
    </xf>
    <xf numFmtId="168" fontId="4" fillId="60" borderId="41" xfId="0" applyFont="1" applyFill="1" applyBorder="1" applyAlignment="1">
      <alignment horizontal="center" vertical="center" wrapText="1"/>
    </xf>
    <xf numFmtId="168" fontId="4" fillId="60" borderId="11" xfId="0" applyFont="1" applyFill="1" applyBorder="1" applyAlignment="1">
      <alignment horizontal="center" vertical="center" wrapText="1"/>
    </xf>
    <xf numFmtId="168" fontId="3" fillId="0" borderId="3" xfId="0" applyFont="1" applyBorder="1" applyAlignment="1">
      <alignment horizontal="center" vertical="center"/>
    </xf>
    <xf numFmtId="168" fontId="3" fillId="0" borderId="0" xfId="0" applyFont="1" applyBorder="1" applyAlignment="1">
      <alignment horizontal="center" vertical="center"/>
    </xf>
    <xf numFmtId="168" fontId="3" fillId="0" borderId="0" xfId="0" applyFont="1" applyFill="1" applyBorder="1" applyAlignment="1">
      <alignment horizontal="center" vertical="center"/>
    </xf>
    <xf numFmtId="168" fontId="3" fillId="0" borderId="43" xfId="0" applyFont="1" applyBorder="1" applyAlignment="1">
      <alignment horizontal="center" vertical="center"/>
    </xf>
    <xf numFmtId="170" fontId="4" fillId="62" borderId="6" xfId="3" applyNumberFormat="1" applyFont="1" applyFill="1" applyBorder="1" applyAlignment="1">
      <alignment horizontal="center" vertical="center" wrapText="1"/>
    </xf>
    <xf numFmtId="170" fontId="4" fillId="62" borderId="7" xfId="3" applyNumberFormat="1" applyFont="1" applyFill="1" applyBorder="1" applyAlignment="1">
      <alignment horizontal="center" vertical="center" wrapText="1"/>
    </xf>
    <xf numFmtId="170" fontId="4" fillId="62" borderId="8" xfId="3" applyNumberFormat="1" applyFont="1" applyFill="1" applyBorder="1" applyAlignment="1">
      <alignment horizontal="center" vertical="center" wrapText="1"/>
    </xf>
    <xf numFmtId="168" fontId="51" fillId="0" borderId="3" xfId="0" applyFont="1" applyBorder="1" applyAlignment="1">
      <alignment horizontal="center" vertical="center" wrapText="1"/>
    </xf>
    <xf numFmtId="168" fontId="51" fillId="0" borderId="0" xfId="0" applyFont="1" applyBorder="1" applyAlignment="1">
      <alignment horizontal="center" vertical="center" wrapText="1"/>
    </xf>
    <xf numFmtId="168" fontId="51" fillId="0" borderId="0" xfId="0" applyFont="1" applyFill="1" applyBorder="1" applyAlignment="1">
      <alignment horizontal="center" vertical="center" wrapText="1"/>
    </xf>
    <xf numFmtId="168" fontId="51" fillId="0" borderId="43" xfId="0" applyFont="1" applyBorder="1" applyAlignment="1">
      <alignment horizontal="center" vertical="center" wrapText="1"/>
    </xf>
    <xf numFmtId="0" fontId="4" fillId="6" borderId="41" xfId="0" applyNumberFormat="1" applyFont="1" applyFill="1" applyBorder="1" applyAlignment="1">
      <alignment horizontal="center" vertical="center" wrapText="1"/>
    </xf>
    <xf numFmtId="0" fontId="4" fillId="6" borderId="42" xfId="0" applyNumberFormat="1" applyFont="1" applyFill="1" applyBorder="1" applyAlignment="1">
      <alignment horizontal="center" vertical="center" wrapText="1"/>
    </xf>
    <xf numFmtId="0" fontId="4" fillId="6" borderId="11" xfId="0" applyNumberFormat="1" applyFont="1" applyFill="1" applyBorder="1" applyAlignment="1">
      <alignment horizontal="center" vertical="center" wrapText="1"/>
    </xf>
    <xf numFmtId="0" fontId="2" fillId="66" borderId="66" xfId="389" applyNumberFormat="1" applyFont="1" applyFill="1" applyBorder="1" applyAlignment="1">
      <alignment horizontal="left" vertical="center" wrapText="1"/>
    </xf>
    <xf numFmtId="0" fontId="2" fillId="66" borderId="68" xfId="389" applyNumberFormat="1" applyFont="1" applyFill="1" applyBorder="1" applyAlignment="1">
      <alignment horizontal="left" vertical="center" wrapText="1"/>
    </xf>
    <xf numFmtId="0" fontId="2" fillId="67" borderId="66" xfId="389" applyNumberFormat="1" applyFont="1" applyFill="1" applyBorder="1" applyAlignment="1">
      <alignment horizontal="left" vertical="center" wrapText="1"/>
    </xf>
    <xf numFmtId="0" fontId="2" fillId="67" borderId="68" xfId="389" applyNumberFormat="1" applyFont="1" applyFill="1" applyBorder="1" applyAlignment="1">
      <alignment horizontal="left" vertical="center" wrapText="1"/>
    </xf>
    <xf numFmtId="0" fontId="2" fillId="69" borderId="69" xfId="389" applyNumberFormat="1" applyFont="1" applyFill="1" applyBorder="1" applyAlignment="1">
      <alignment horizontal="left" vertical="center" wrapText="1"/>
    </xf>
    <xf numFmtId="0" fontId="2" fillId="69" borderId="70" xfId="389" applyNumberFormat="1" applyFont="1" applyFill="1" applyBorder="1" applyAlignment="1">
      <alignment horizontal="left" vertical="center" wrapText="1"/>
    </xf>
    <xf numFmtId="168" fontId="3" fillId="0" borderId="62" xfId="0" applyFont="1" applyBorder="1" applyAlignment="1">
      <alignment horizontal="center" vertical="center" wrapText="1"/>
    </xf>
    <xf numFmtId="168" fontId="3" fillId="0" borderId="1" xfId="0" applyFont="1" applyBorder="1" applyAlignment="1">
      <alignment horizontal="center" vertical="center" wrapText="1"/>
    </xf>
    <xf numFmtId="168" fontId="3" fillId="0" borderId="44" xfId="0" applyFont="1" applyBorder="1" applyAlignment="1">
      <alignment horizontal="center" vertical="center" wrapText="1"/>
    </xf>
    <xf numFmtId="168" fontId="3" fillId="0" borderId="3" xfId="0" applyFont="1" applyBorder="1" applyAlignment="1">
      <alignment horizontal="center" vertical="center" wrapText="1"/>
    </xf>
    <xf numFmtId="168" fontId="3" fillId="0" borderId="0" xfId="0" applyFont="1" applyBorder="1" applyAlignment="1">
      <alignment horizontal="center" vertical="center" wrapText="1"/>
    </xf>
    <xf numFmtId="168" fontId="3" fillId="0" borderId="43" xfId="0" applyFont="1" applyBorder="1" applyAlignment="1">
      <alignment horizontal="center" vertical="center" wrapText="1"/>
    </xf>
    <xf numFmtId="168" fontId="3" fillId="0" borderId="4" xfId="0" applyFont="1" applyBorder="1" applyAlignment="1">
      <alignment horizontal="center" vertical="center" wrapText="1"/>
    </xf>
    <xf numFmtId="168" fontId="3" fillId="0" borderId="5" xfId="0" applyFont="1" applyBorder="1" applyAlignment="1">
      <alignment horizontal="center" vertical="center" wrapText="1"/>
    </xf>
    <xf numFmtId="168" fontId="3" fillId="0" borderId="10" xfId="0" applyFont="1" applyBorder="1" applyAlignment="1">
      <alignment horizontal="center" vertical="center" wrapText="1"/>
    </xf>
    <xf numFmtId="0" fontId="3" fillId="0" borderId="65" xfId="389" applyNumberFormat="1" applyFont="1" applyBorder="1" applyAlignment="1">
      <alignment horizontal="center" vertical="center" wrapText="1"/>
    </xf>
    <xf numFmtId="0" fontId="3" fillId="0" borderId="67" xfId="389" applyNumberFormat="1" applyFont="1" applyBorder="1" applyAlignment="1">
      <alignment horizontal="center" vertical="center" wrapText="1"/>
    </xf>
    <xf numFmtId="0" fontId="2" fillId="68" borderId="66" xfId="389" applyNumberFormat="1" applyFont="1" applyFill="1" applyBorder="1" applyAlignment="1">
      <alignment horizontal="left" vertical="center" wrapText="1"/>
    </xf>
    <xf numFmtId="0" fontId="2" fillId="68" borderId="68" xfId="389" applyNumberFormat="1" applyFont="1" applyFill="1" applyBorder="1" applyAlignment="1">
      <alignment horizontal="left" vertical="center" wrapText="1"/>
    </xf>
    <xf numFmtId="0" fontId="2" fillId="65" borderId="66" xfId="389" applyNumberFormat="1" applyFont="1" applyFill="1" applyBorder="1" applyAlignment="1">
      <alignment horizontal="left" vertical="center" wrapText="1"/>
    </xf>
    <xf numFmtId="0" fontId="2" fillId="65" borderId="68" xfId="389" applyNumberFormat="1" applyFont="1" applyFill="1" applyBorder="1" applyAlignment="1">
      <alignment horizontal="left" vertical="center" wrapText="1"/>
    </xf>
    <xf numFmtId="0" fontId="3" fillId="62" borderId="45" xfId="0" applyNumberFormat="1" applyFont="1" applyFill="1" applyBorder="1" applyAlignment="1">
      <alignment horizontal="left" vertical="center"/>
    </xf>
    <xf numFmtId="0" fontId="3" fillId="62" borderId="82" xfId="0" applyNumberFormat="1" applyFont="1" applyFill="1" applyBorder="1" applyAlignment="1">
      <alignment horizontal="left" vertical="center"/>
    </xf>
    <xf numFmtId="0" fontId="2" fillId="67" borderId="8" xfId="389" applyNumberFormat="1" applyFont="1" applyFill="1" applyBorder="1" applyAlignment="1">
      <alignment horizontal="left" vertical="center" wrapText="1"/>
    </xf>
    <xf numFmtId="0" fontId="2" fillId="69" borderId="66" xfId="389" applyNumberFormat="1" applyFont="1" applyFill="1" applyBorder="1" applyAlignment="1">
      <alignment horizontal="left" vertical="center" wrapText="1"/>
    </xf>
    <xf numFmtId="0" fontId="2" fillId="69" borderId="8" xfId="389" applyNumberFormat="1" applyFont="1" applyFill="1" applyBorder="1" applyAlignment="1">
      <alignment horizontal="left" vertical="center" wrapText="1"/>
    </xf>
    <xf numFmtId="168" fontId="3" fillId="0" borderId="62" xfId="0" applyFont="1" applyFill="1" applyBorder="1" applyAlignment="1">
      <alignment horizontal="center" vertical="center" wrapText="1"/>
    </xf>
    <xf numFmtId="168" fontId="3" fillId="0" borderId="1" xfId="0" applyFont="1" applyFill="1" applyBorder="1" applyAlignment="1">
      <alignment horizontal="center" vertical="center" wrapText="1"/>
    </xf>
    <xf numFmtId="168" fontId="3" fillId="0" borderId="44" xfId="0" applyFont="1" applyFill="1" applyBorder="1" applyAlignment="1">
      <alignment horizontal="center" vertical="center" wrapText="1"/>
    </xf>
    <xf numFmtId="168" fontId="3" fillId="0" borderId="3" xfId="0" applyFont="1" applyFill="1" applyBorder="1" applyAlignment="1">
      <alignment horizontal="center" vertical="center" wrapText="1"/>
    </xf>
    <xf numFmtId="168" fontId="3" fillId="0" borderId="0" xfId="0" applyFont="1" applyFill="1" applyBorder="1" applyAlignment="1">
      <alignment horizontal="center" vertical="center" wrapText="1"/>
    </xf>
    <xf numFmtId="168" fontId="3" fillId="0" borderId="43" xfId="0" applyFont="1" applyFill="1" applyBorder="1" applyAlignment="1">
      <alignment horizontal="center" vertical="center" wrapText="1"/>
    </xf>
    <xf numFmtId="168" fontId="3" fillId="0" borderId="4" xfId="0" applyFont="1" applyFill="1" applyBorder="1" applyAlignment="1">
      <alignment horizontal="center" vertical="center" wrapText="1"/>
    </xf>
    <xf numFmtId="168" fontId="3" fillId="0" borderId="5" xfId="0" applyFont="1" applyFill="1" applyBorder="1" applyAlignment="1">
      <alignment horizontal="center" vertical="center" wrapText="1"/>
    </xf>
    <xf numFmtId="168" fontId="3" fillId="0" borderId="10" xfId="0" applyFont="1" applyFill="1" applyBorder="1" applyAlignment="1">
      <alignment horizontal="center" vertical="center" wrapText="1"/>
    </xf>
    <xf numFmtId="0" fontId="3" fillId="0" borderId="64" xfId="389" applyNumberFormat="1" applyFont="1" applyBorder="1" applyAlignment="1">
      <alignment horizontal="center" vertical="center" wrapText="1"/>
    </xf>
    <xf numFmtId="0" fontId="2" fillId="68" borderId="8" xfId="389" applyNumberFormat="1" applyFont="1" applyFill="1" applyBorder="1" applyAlignment="1">
      <alignment horizontal="left" vertical="center" wrapText="1"/>
    </xf>
    <xf numFmtId="0" fontId="2" fillId="65" borderId="8" xfId="389" applyNumberFormat="1" applyFont="1" applyFill="1" applyBorder="1" applyAlignment="1">
      <alignment horizontal="left" vertical="center" wrapText="1"/>
    </xf>
    <xf numFmtId="0" fontId="2" fillId="66" borderId="8" xfId="389" applyNumberFormat="1" applyFont="1" applyFill="1" applyBorder="1" applyAlignment="1">
      <alignment horizontal="left" vertical="center" wrapText="1"/>
    </xf>
    <xf numFmtId="0" fontId="2" fillId="69" borderId="55" xfId="389" applyNumberFormat="1" applyFont="1" applyFill="1" applyBorder="1" applyAlignment="1">
      <alignment horizontal="left" vertical="center" wrapText="1"/>
    </xf>
    <xf numFmtId="0" fontId="2" fillId="69" borderId="2" xfId="389" applyNumberFormat="1" applyFont="1" applyFill="1" applyBorder="1" applyAlignment="1">
      <alignment horizontal="left" vertical="center" wrapText="1"/>
    </xf>
    <xf numFmtId="0" fontId="52" fillId="0" borderId="6" xfId="92" applyFont="1" applyBorder="1" applyAlignment="1">
      <alignment horizontal="center" vertical="center" wrapText="1"/>
    </xf>
    <xf numFmtId="0" fontId="52" fillId="0" borderId="7" xfId="92" applyFont="1" applyBorder="1" applyAlignment="1">
      <alignment horizontal="center" vertical="center" wrapText="1"/>
    </xf>
    <xf numFmtId="0" fontId="52" fillId="0" borderId="8" xfId="92" applyFont="1" applyBorder="1" applyAlignment="1">
      <alignment horizontal="center" vertical="center" wrapText="1"/>
    </xf>
    <xf numFmtId="0" fontId="3" fillId="0" borderId="53" xfId="389" applyNumberFormat="1" applyFont="1" applyBorder="1" applyAlignment="1">
      <alignment horizontal="center" vertical="center" wrapText="1"/>
    </xf>
    <xf numFmtId="0" fontId="3" fillId="0" borderId="54" xfId="389" applyNumberFormat="1" applyFont="1" applyBorder="1" applyAlignment="1">
      <alignment horizontal="center" vertical="center" wrapText="1"/>
    </xf>
    <xf numFmtId="0" fontId="2" fillId="68" borderId="55" xfId="389" applyNumberFormat="1" applyFont="1" applyFill="1" applyBorder="1" applyAlignment="1">
      <alignment horizontal="left" vertical="center" wrapText="1"/>
    </xf>
    <xf numFmtId="0" fontId="2" fillId="68" borderId="2" xfId="389" applyNumberFormat="1" applyFont="1" applyFill="1" applyBorder="1" applyAlignment="1">
      <alignment horizontal="left" vertical="center" wrapText="1"/>
    </xf>
    <xf numFmtId="0" fontId="2" fillId="65" borderId="55" xfId="389" applyNumberFormat="1" applyFont="1" applyFill="1" applyBorder="1" applyAlignment="1">
      <alignment horizontal="left" vertical="center" wrapText="1"/>
    </xf>
    <xf numFmtId="0" fontId="2" fillId="65" borderId="2" xfId="389" applyNumberFormat="1" applyFont="1" applyFill="1" applyBorder="1" applyAlignment="1">
      <alignment horizontal="left" vertical="center" wrapText="1"/>
    </xf>
    <xf numFmtId="0" fontId="2" fillId="66" borderId="55" xfId="389" applyNumberFormat="1" applyFont="1" applyFill="1" applyBorder="1" applyAlignment="1">
      <alignment horizontal="left" vertical="center" wrapText="1"/>
    </xf>
    <xf numFmtId="0" fontId="2" fillId="66" borderId="2" xfId="389" applyNumberFormat="1" applyFont="1" applyFill="1" applyBorder="1" applyAlignment="1">
      <alignment horizontal="left" vertical="center" wrapText="1"/>
    </xf>
    <xf numFmtId="0" fontId="2" fillId="67" borderId="55" xfId="389" applyNumberFormat="1" applyFont="1" applyFill="1" applyBorder="1" applyAlignment="1">
      <alignment horizontal="left" vertical="center" wrapText="1"/>
    </xf>
    <xf numFmtId="0" fontId="2" fillId="67" borderId="2" xfId="389" applyNumberFormat="1" applyFont="1" applyFill="1" applyBorder="1" applyAlignment="1">
      <alignment horizontal="left" vertical="center" wrapText="1"/>
    </xf>
    <xf numFmtId="168" fontId="48" fillId="63" borderId="60" xfId="0" applyFont="1" applyFill="1" applyBorder="1" applyAlignment="1">
      <alignment horizontal="left" vertical="center" wrapText="1"/>
    </xf>
    <xf numFmtId="168" fontId="48" fillId="63" borderId="61" xfId="0" applyFont="1" applyFill="1" applyBorder="1" applyAlignment="1">
      <alignment horizontal="left" vertical="center" wrapText="1"/>
    </xf>
    <xf numFmtId="168" fontId="48" fillId="63" borderId="60" xfId="0" applyFont="1" applyFill="1" applyBorder="1" applyAlignment="1">
      <alignment horizontal="justify" vertical="center" wrapText="1"/>
    </xf>
    <xf numFmtId="168" fontId="48" fillId="63" borderId="61" xfId="0" applyFont="1" applyFill="1" applyBorder="1" applyAlignment="1">
      <alignment horizontal="justify" vertical="center" wrapText="1"/>
    </xf>
    <xf numFmtId="168" fontId="52" fillId="0" borderId="78" xfId="0" applyFont="1" applyBorder="1" applyAlignment="1">
      <alignment horizontal="center" vertical="center" wrapText="1"/>
    </xf>
    <xf numFmtId="168" fontId="52" fillId="0" borderId="79" xfId="0" applyFont="1" applyBorder="1" applyAlignment="1">
      <alignment horizontal="center" vertical="center" wrapText="1"/>
    </xf>
    <xf numFmtId="168" fontId="52" fillId="0" borderId="83" xfId="0" applyFont="1" applyBorder="1" applyAlignment="1">
      <alignment horizontal="center" vertical="center" wrapText="1"/>
    </xf>
    <xf numFmtId="168" fontId="48" fillId="62" borderId="60" xfId="0" applyFont="1" applyFill="1" applyBorder="1" applyAlignment="1">
      <alignment horizontal="left" vertical="center" wrapText="1"/>
    </xf>
    <xf numFmtId="168" fontId="48" fillId="62" borderId="61" xfId="0" applyFont="1" applyFill="1" applyBorder="1" applyAlignment="1">
      <alignment horizontal="left" vertical="center" wrapText="1"/>
    </xf>
    <xf numFmtId="168" fontId="48" fillId="63" borderId="90" xfId="0" applyFont="1" applyFill="1" applyBorder="1" applyAlignment="1">
      <alignment horizontal="left" vertical="center" wrapText="1"/>
    </xf>
    <xf numFmtId="168" fontId="48" fillId="63" borderId="45" xfId="0" applyFont="1" applyFill="1" applyBorder="1" applyAlignment="1">
      <alignment horizontal="left" vertical="center" wrapText="1"/>
    </xf>
    <xf numFmtId="168" fontId="48" fillId="63" borderId="74" xfId="0" applyFont="1" applyFill="1" applyBorder="1" applyAlignment="1">
      <alignment horizontal="left" vertical="center" wrapText="1"/>
    </xf>
  </cellXfs>
  <cellStyles count="392">
    <cellStyle name="20% - Énfasis1" xfId="34" builtinId="30" customBuiltin="1"/>
    <cellStyle name="20% - Énfasis1 2" xfId="231"/>
    <cellStyle name="20% - Énfasis1 2 2" xfId="283"/>
    <cellStyle name="20% - Énfasis1 2 3" xfId="284"/>
    <cellStyle name="20% - Énfasis1 2 4" xfId="282"/>
    <cellStyle name="20% - Énfasis2" xfId="38" builtinId="34" customBuiltin="1"/>
    <cellStyle name="20% - Énfasis2 2" xfId="251"/>
    <cellStyle name="20% - Énfasis2 2 2" xfId="286"/>
    <cellStyle name="20% - Énfasis2 2 3" xfId="287"/>
    <cellStyle name="20% - Énfasis2 2 4" xfId="285"/>
    <cellStyle name="20% - Énfasis3" xfId="42" builtinId="38" customBuiltin="1"/>
    <cellStyle name="20% - Énfasis3 2" xfId="59"/>
    <cellStyle name="20% - Énfasis3 2 2" xfId="289"/>
    <cellStyle name="20% - Énfasis3 2 3" xfId="290"/>
    <cellStyle name="20% - Énfasis3 2 4" xfId="288"/>
    <cellStyle name="20% - Énfasis4" xfId="46" builtinId="42" customBuiltin="1"/>
    <cellStyle name="20% - Énfasis4 2" xfId="255"/>
    <cellStyle name="20% - Énfasis4 2 2" xfId="292"/>
    <cellStyle name="20% - Énfasis4 2 3" xfId="293"/>
    <cellStyle name="20% - Énfasis4 2 4" xfId="291"/>
    <cellStyle name="20% - Énfasis5" xfId="50" builtinId="46" customBuiltin="1"/>
    <cellStyle name="20% - Énfasis5 2" xfId="221"/>
    <cellStyle name="20% - Énfasis5 2 2" xfId="295"/>
    <cellStyle name="20% - Énfasis5 2 3" xfId="296"/>
    <cellStyle name="20% - Énfasis5 2 4" xfId="294"/>
    <cellStyle name="20% - Énfasis6" xfId="54" builtinId="50" customBuiltin="1"/>
    <cellStyle name="20% - Énfasis6 2" xfId="213"/>
    <cellStyle name="20% - Énfasis6 2 2" xfId="298"/>
    <cellStyle name="20% - Énfasis6 2 3" xfId="299"/>
    <cellStyle name="20% - Énfasis6 2 4" xfId="297"/>
    <cellStyle name="40% - Énfasis1" xfId="35" builtinId="31" customBuiltin="1"/>
    <cellStyle name="40% - Énfasis1 2" xfId="194"/>
    <cellStyle name="40% - Énfasis1 2 2" xfId="301"/>
    <cellStyle name="40% - Énfasis1 2 3" xfId="302"/>
    <cellStyle name="40% - Énfasis1 2 4" xfId="300"/>
    <cellStyle name="40% - Énfasis2" xfId="39" builtinId="35" customBuiltin="1"/>
    <cellStyle name="40% - Énfasis2 2" xfId="249"/>
    <cellStyle name="40% - Énfasis2 2 2" xfId="304"/>
    <cellStyle name="40% - Énfasis2 2 3" xfId="305"/>
    <cellStyle name="40% - Énfasis2 2 4" xfId="303"/>
    <cellStyle name="40% - Énfasis3" xfId="43" builtinId="39" customBuiltin="1"/>
    <cellStyle name="40% - Énfasis3 2" xfId="258"/>
    <cellStyle name="40% - Énfasis3 2 2" xfId="307"/>
    <cellStyle name="40% - Énfasis3 2 3" xfId="308"/>
    <cellStyle name="40% - Énfasis3 2 4" xfId="306"/>
    <cellStyle name="40% - Énfasis4" xfId="47" builtinId="43" customBuiltin="1"/>
    <cellStyle name="40% - Énfasis4 2" xfId="216"/>
    <cellStyle name="40% - Énfasis4 2 2" xfId="310"/>
    <cellStyle name="40% - Énfasis4 2 3" xfId="311"/>
    <cellStyle name="40% - Énfasis4 2 4" xfId="309"/>
    <cellStyle name="40% - Énfasis5" xfId="51" builtinId="47" customBuiltin="1"/>
    <cellStyle name="40% - Énfasis5 2" xfId="248"/>
    <cellStyle name="40% - Énfasis5 2 2" xfId="313"/>
    <cellStyle name="40% - Énfasis5 2 3" xfId="314"/>
    <cellStyle name="40% - Énfasis5 2 4" xfId="312"/>
    <cellStyle name="40% - Énfasis6" xfId="55" builtinId="51" customBuiltin="1"/>
    <cellStyle name="40% - Énfasis6 2" xfId="65"/>
    <cellStyle name="40% - Énfasis6 2 2" xfId="316"/>
    <cellStyle name="40% - Énfasis6 2 3" xfId="317"/>
    <cellStyle name="40% - Énfasis6 2 4" xfId="315"/>
    <cellStyle name="60% - Énfasis1" xfId="36" builtinId="32" customBuiltin="1"/>
    <cellStyle name="60% - Énfasis1 2" xfId="211"/>
    <cellStyle name="60% - Énfasis1 2 2" xfId="318"/>
    <cellStyle name="60% - Énfasis2" xfId="40" builtinId="36" customBuiltin="1"/>
    <cellStyle name="60% - Énfasis2 2" xfId="240"/>
    <cellStyle name="60% - Énfasis2 2 2" xfId="319"/>
    <cellStyle name="60% - Énfasis3" xfId="44" builtinId="40" customBuiltin="1"/>
    <cellStyle name="60% - Énfasis3 2" xfId="70"/>
    <cellStyle name="60% - Énfasis3 2 2" xfId="320"/>
    <cellStyle name="60% - Énfasis4" xfId="48" builtinId="44" customBuiltin="1"/>
    <cellStyle name="60% - Énfasis4 2" xfId="235"/>
    <cellStyle name="60% - Énfasis4 2 2" xfId="321"/>
    <cellStyle name="60% - Énfasis5" xfId="52" builtinId="48" customBuiltin="1"/>
    <cellStyle name="60% - Énfasis5 2" xfId="233"/>
    <cellStyle name="60% - Énfasis5 2 2" xfId="322"/>
    <cellStyle name="60% - Énfasis6" xfId="56" builtinId="52" customBuiltin="1"/>
    <cellStyle name="60% - Énfasis6 2" xfId="78"/>
    <cellStyle name="60% - Énfasis6 2 2" xfId="323"/>
    <cellStyle name="Buena 2" xfId="324"/>
    <cellStyle name="Cálculo" xfId="26" builtinId="22" customBuiltin="1"/>
    <cellStyle name="Cálculo 2" xfId="67"/>
    <cellStyle name="Cálculo 2 2" xfId="325"/>
    <cellStyle name="Celda de comprobación" xfId="28" builtinId="23" customBuiltin="1"/>
    <cellStyle name="Celda de comprobación 2" xfId="66"/>
    <cellStyle name="Celda de comprobación 2 2" xfId="326"/>
    <cellStyle name="Celda vinculada" xfId="27" builtinId="24" customBuiltin="1"/>
    <cellStyle name="Celda vinculada 2" xfId="169"/>
    <cellStyle name="Celda vinculada 2 2" xfId="327"/>
    <cellStyle name="Encabezado 1" xfId="18" builtinId="16" customBuiltin="1"/>
    <cellStyle name="Encabezado 4" xfId="21" builtinId="19" customBuiltin="1"/>
    <cellStyle name="Encabezado 4 2" xfId="199"/>
    <cellStyle name="Encabezado 4 2 2" xfId="328"/>
    <cellStyle name="Énfasis1" xfId="33" builtinId="29" customBuiltin="1"/>
    <cellStyle name="Énfasis1 2" xfId="222"/>
    <cellStyle name="Énfasis1 2 2" xfId="329"/>
    <cellStyle name="Énfasis2" xfId="37" builtinId="33" customBuiltin="1"/>
    <cellStyle name="Énfasis2 2" xfId="182"/>
    <cellStyle name="Énfasis2 2 2" xfId="330"/>
    <cellStyle name="Énfasis3" xfId="41" builtinId="37" customBuiltin="1"/>
    <cellStyle name="Énfasis3 2" xfId="171"/>
    <cellStyle name="Énfasis3 2 2" xfId="331"/>
    <cellStyle name="Énfasis4" xfId="45" builtinId="41" customBuiltin="1"/>
    <cellStyle name="Énfasis4 2" xfId="186"/>
    <cellStyle name="Énfasis4 2 2" xfId="332"/>
    <cellStyle name="Énfasis5" xfId="49" builtinId="45" customBuiltin="1"/>
    <cellStyle name="Énfasis5 2" xfId="263"/>
    <cellStyle name="Énfasis5 2 2" xfId="333"/>
    <cellStyle name="Énfasis6" xfId="53" builtinId="49" customBuiltin="1"/>
    <cellStyle name="Énfasis6 2" xfId="246"/>
    <cellStyle name="Énfasis6 2 2" xfId="334"/>
    <cellStyle name="Entrada" xfId="24" builtinId="20" customBuiltin="1"/>
    <cellStyle name="Entrada 2" xfId="179"/>
    <cellStyle name="Entrada 2 2" xfId="335"/>
    <cellStyle name="Euro" xfId="336"/>
    <cellStyle name="Euro 2" xfId="337"/>
    <cellStyle name="Excel Built-in Normal 2" xfId="117"/>
    <cellStyle name="Excel Built-in Normal 2 2" xfId="242"/>
    <cellStyle name="F2" xfId="338"/>
    <cellStyle name="F3" xfId="339"/>
    <cellStyle name="F4" xfId="340"/>
    <cellStyle name="F5" xfId="341"/>
    <cellStyle name="F6" xfId="342"/>
    <cellStyle name="F7" xfId="343"/>
    <cellStyle name="F8" xfId="344"/>
    <cellStyle name="Hipervínculo 2" xfId="190"/>
    <cellStyle name="Incorrecto" xfId="22" builtinId="27" customBuiltin="1"/>
    <cellStyle name="Incorrecto 2" xfId="252"/>
    <cellStyle name="Incorrecto 2 2" xfId="345"/>
    <cellStyle name="KPT04" xfId="4"/>
    <cellStyle name="KPT04 2" xfId="7"/>
    <cellStyle name="KPT04 2 2" xfId="259"/>
    <cellStyle name="KPT04 3" xfId="261"/>
    <cellStyle name="KPT04_Main" xfId="12"/>
    <cellStyle name="Millares" xfId="1" builtinId="3"/>
    <cellStyle name="Millares [0]" xfId="388" builtinId="6"/>
    <cellStyle name="Millares [0] 2" xfId="95"/>
    <cellStyle name="Millares [0] 2 2" xfId="158"/>
    <cellStyle name="Millares [0] 3" xfId="121"/>
    <cellStyle name="Millares [0] 4" xfId="162"/>
    <cellStyle name="Millares [0] 5" xfId="391"/>
    <cellStyle name="Millares 2" xfId="3"/>
    <cellStyle name="Millares 2 2" xfId="6"/>
    <cellStyle name="Millares 2 2 2" xfId="10"/>
    <cellStyle name="Millares 2 2 2 2" xfId="93"/>
    <cellStyle name="Millares 2 2 2 2 2" xfId="157"/>
    <cellStyle name="Millares 2 3" xfId="346"/>
    <cellStyle name="Millares 2 4" xfId="101"/>
    <cellStyle name="Millares 2 4 2" xfId="164"/>
    <cellStyle name="Millares 3" xfId="113"/>
    <cellStyle name="Millares 3 2" xfId="122"/>
    <cellStyle name="Millares 3 3" xfId="119"/>
    <cellStyle name="Millares 4" xfId="118"/>
    <cellStyle name="Millares 6" xfId="120"/>
    <cellStyle name="Moneda [0]" xfId="2" builtinId="7"/>
    <cellStyle name="Moneda [0] 2" xfId="99"/>
    <cellStyle name="Moneda [0] 2 2" xfId="123"/>
    <cellStyle name="Moneda [0] 2 2 2" xfId="166"/>
    <cellStyle name="Moneda [0] 2 3" xfId="161"/>
    <cellStyle name="Moneda 10" xfId="137"/>
    <cellStyle name="Moneda 11" xfId="142"/>
    <cellStyle name="Moneda 12" xfId="143"/>
    <cellStyle name="Moneda 13" xfId="144"/>
    <cellStyle name="Moneda 14" xfId="145"/>
    <cellStyle name="Moneda 15" xfId="146"/>
    <cellStyle name="Moneda 16" xfId="147"/>
    <cellStyle name="Moneda 2" xfId="9"/>
    <cellStyle name="Moneda 2 2" xfId="100"/>
    <cellStyle name="Moneda 2 3" xfId="98"/>
    <cellStyle name="Moneda 2 4" xfId="129"/>
    <cellStyle name="Moneda 2 5" xfId="160"/>
    <cellStyle name="Moneda 3" xfId="11"/>
    <cellStyle name="Moneda 3 2" xfId="116"/>
    <cellStyle name="Moneda 3 3" xfId="386"/>
    <cellStyle name="Moneda 4" xfId="128"/>
    <cellStyle name="Moneda 5" xfId="132"/>
    <cellStyle name="Moneda 6" xfId="133"/>
    <cellStyle name="Moneda 7" xfId="134"/>
    <cellStyle name="Moneda 8" xfId="136"/>
    <cellStyle name="Moneda 9" xfId="135"/>
    <cellStyle name="Neutral" xfId="23" builtinId="28" customBuiltin="1"/>
    <cellStyle name="Neutral 2" xfId="75"/>
    <cellStyle name="Neutral 2 2" xfId="347"/>
    <cellStyle name="Normal" xfId="0" builtinId="0"/>
    <cellStyle name="Normal 10" xfId="92"/>
    <cellStyle name="Normal 10 2" xfId="192"/>
    <cellStyle name="Normal 10 3" xfId="385"/>
    <cellStyle name="Normal 11" xfId="105"/>
    <cellStyle name="Normal 11 2" xfId="245"/>
    <cellStyle name="Normal 12" xfId="102"/>
    <cellStyle name="Normal 12 2" xfId="206"/>
    <cellStyle name="Normal 13" xfId="88"/>
    <cellStyle name="Normal 13 2" xfId="225"/>
    <cellStyle name="Normal 14" xfId="90"/>
    <cellStyle name="Normal 14 2" xfId="236"/>
    <cellStyle name="Normal 14 3" xfId="348"/>
    <cellStyle name="Normal 15" xfId="103"/>
    <cellStyle name="Normal 15 2" xfId="214"/>
    <cellStyle name="Normal 16" xfId="86"/>
    <cellStyle name="Normal 16 2" xfId="72"/>
    <cellStyle name="Normal 17" xfId="104"/>
    <cellStyle name="Normal 17 2" xfId="176"/>
    <cellStyle name="Normal 18" xfId="85"/>
    <cellStyle name="Normal 18 2" xfId="185"/>
    <cellStyle name="Normal 19" xfId="106"/>
    <cellStyle name="Normal 19 2" xfId="202"/>
    <cellStyle name="Normal 2" xfId="5"/>
    <cellStyle name="Normal 2 2" xfId="8"/>
    <cellStyle name="Normal 2 2 10" xfId="350"/>
    <cellStyle name="Normal 2 2 2" xfId="13"/>
    <cellStyle name="Normal 2 2 2 2" xfId="130"/>
    <cellStyle name="Normal 2 2 2 2 2" xfId="228"/>
    <cellStyle name="Normal 2 2 2 2 2 2" xfId="354"/>
    <cellStyle name="Normal 2 2 2 2 2 3" xfId="353"/>
    <cellStyle name="Normal 2 2 2 2 3" xfId="352"/>
    <cellStyle name="Normal 2 2 2 3" xfId="210"/>
    <cellStyle name="Normal 2 2 2 3 2" xfId="355"/>
    <cellStyle name="Normal 2 2 2 4" xfId="356"/>
    <cellStyle name="Normal 2 2 2 5" xfId="351"/>
    <cellStyle name="Normal 2 2 3" xfId="219"/>
    <cellStyle name="Normal 2 2 3 2" xfId="357"/>
    <cellStyle name="Normal 2 2 7" xfId="358"/>
    <cellStyle name="Normal 2 2 8" xfId="359"/>
    <cellStyle name="Normal 2 2 9" xfId="360"/>
    <cellStyle name="Normal 2 3" xfId="14"/>
    <cellStyle name="Normal 2 3 2" xfId="124"/>
    <cellStyle name="Normal 2 3 2 2" xfId="362"/>
    <cellStyle name="Normal 2 3 3" xfId="165"/>
    <cellStyle name="Normal 2 3 3 2" xfId="268"/>
    <cellStyle name="Normal 2 3 3 3" xfId="363"/>
    <cellStyle name="Normal 2 3 3 4" xfId="389"/>
    <cellStyle name="Normal 2 3 4" xfId="244"/>
    <cellStyle name="Normal 2 3 5" xfId="361"/>
    <cellStyle name="Normal 2 4" xfId="115"/>
    <cellStyle name="Normal 2 4 2" xfId="195"/>
    <cellStyle name="Normal 2 4 3" xfId="364"/>
    <cellStyle name="Normal 2 5" xfId="365"/>
    <cellStyle name="Normal 2 6" xfId="366"/>
    <cellStyle name="Normal 2 7" xfId="349"/>
    <cellStyle name="Normal 2_FUT INGRESOS 2010 Y FLS Y TESORERIA FLS AGOSTO 26" xfId="367"/>
    <cellStyle name="Normal 20" xfId="84"/>
    <cellStyle name="Normal 20 2" xfId="232"/>
    <cellStyle name="Normal 21" xfId="89"/>
    <cellStyle name="Normal 21 2" xfId="207"/>
    <cellStyle name="Normal 22" xfId="87"/>
    <cellStyle name="Normal 22 2" xfId="191"/>
    <cellStyle name="Normal 23" xfId="107"/>
    <cellStyle name="Normal 23 2" xfId="237"/>
    <cellStyle name="Normal 24" xfId="108"/>
    <cellStyle name="Normal 24 2" xfId="266"/>
    <cellStyle name="Normal 25" xfId="109"/>
    <cellStyle name="Normal 25 2" xfId="238"/>
    <cellStyle name="Normal 26" xfId="110"/>
    <cellStyle name="Normal 26 2" xfId="256"/>
    <cellStyle name="Normal 27" xfId="111"/>
    <cellStyle name="Normal 27 2" xfId="239"/>
    <cellStyle name="Normal 28" xfId="112"/>
    <cellStyle name="Normal 28 2" xfId="76"/>
    <cellStyle name="Normal 29" xfId="114"/>
    <cellStyle name="Normal 29 2" xfId="73"/>
    <cellStyle name="Normal 3" xfId="15"/>
    <cellStyle name="Normal 3 2" xfId="125"/>
    <cellStyle name="Normal 3 2 2" xfId="208"/>
    <cellStyle name="Normal 3 2 3" xfId="368"/>
    <cellStyle name="Normal 3 3" xfId="262"/>
    <cellStyle name="Normal 3 4" xfId="275"/>
    <cellStyle name="Normal 3 5" xfId="61"/>
    <cellStyle name="Normal 30" xfId="126"/>
    <cellStyle name="Normal 30 2" xfId="174"/>
    <cellStyle name="Normal 31" xfId="140"/>
    <cellStyle name="Normal 31 2" xfId="80"/>
    <cellStyle name="Normal 32" xfId="138"/>
    <cellStyle name="Normal 32 2" xfId="71"/>
    <cellStyle name="Normal 33" xfId="139"/>
    <cellStyle name="Normal 33 2" xfId="198"/>
    <cellStyle name="Normal 34" xfId="131"/>
    <cellStyle name="Normal 34 2" xfId="178"/>
    <cellStyle name="Normal 35" xfId="141"/>
    <cellStyle name="Normal 35 2" xfId="172"/>
    <cellStyle name="Normal 36" xfId="148"/>
    <cellStyle name="Normal 36 2" xfId="196"/>
    <cellStyle name="Normal 37" xfId="156"/>
    <cellStyle name="Normal 37 2" xfId="215"/>
    <cellStyle name="Normal 38" xfId="151"/>
    <cellStyle name="Normal 38 2" xfId="241"/>
    <cellStyle name="Normal 39" xfId="159"/>
    <cellStyle name="Normal 39 2" xfId="187"/>
    <cellStyle name="Normal 4" xfId="82"/>
    <cellStyle name="Normal 4 2" xfId="260"/>
    <cellStyle name="Normal 4 2 2" xfId="370"/>
    <cellStyle name="Normal 4 3" xfId="369"/>
    <cellStyle name="Normal 40" xfId="149"/>
    <cellStyle name="Normal 40 2" xfId="177"/>
    <cellStyle name="Normal 41" xfId="163"/>
    <cellStyle name="Normal 41 2" xfId="220"/>
    <cellStyle name="Normal 42" xfId="167"/>
    <cellStyle name="Normal 42 2" xfId="270"/>
    <cellStyle name="Normal 43" xfId="155"/>
    <cellStyle name="Normal 43 2" xfId="181"/>
    <cellStyle name="Normal 44" xfId="152"/>
    <cellStyle name="Normal 44 2" xfId="183"/>
    <cellStyle name="Normal 45" xfId="153"/>
    <cellStyle name="Normal 45 2" xfId="257"/>
    <cellStyle name="Normal 46" xfId="150"/>
    <cellStyle name="Normal 46 2" xfId="234"/>
    <cellStyle name="Normal 47" xfId="154"/>
    <cellStyle name="Normal 47 2" xfId="230"/>
    <cellStyle name="Normal 48" xfId="58"/>
    <cellStyle name="Normal 49" xfId="69"/>
    <cellStyle name="Normal 5" xfId="91"/>
    <cellStyle name="Normal 5 2" xfId="184"/>
    <cellStyle name="Normal 5 3" xfId="371"/>
    <cellStyle name="Normal 50" xfId="77"/>
    <cellStyle name="Normal 51" xfId="209"/>
    <cellStyle name="Normal 52" xfId="217"/>
    <cellStyle name="Normal 53" xfId="173"/>
    <cellStyle name="Normal 54" xfId="189"/>
    <cellStyle name="Normal 55" xfId="212"/>
    <cellStyle name="Normal 56" xfId="168"/>
    <cellStyle name="Normal 57" xfId="224"/>
    <cellStyle name="Normal 58" xfId="74"/>
    <cellStyle name="Normal 59" xfId="205"/>
    <cellStyle name="Normal 6" xfId="17"/>
    <cellStyle name="Normal 6 2" xfId="68"/>
    <cellStyle name="Normal 60" xfId="226"/>
    <cellStyle name="Normal 61" xfId="193"/>
    <cellStyle name="Normal 62" xfId="180"/>
    <cellStyle name="Normal 63" xfId="79"/>
    <cellStyle name="Normal 64" xfId="170"/>
    <cellStyle name="Normal 65" xfId="197"/>
    <cellStyle name="Normal 66" xfId="204"/>
    <cellStyle name="Normal 67" xfId="227"/>
    <cellStyle name="Normal 68" xfId="254"/>
    <cellStyle name="Normal 69" xfId="264"/>
    <cellStyle name="Normal 7" xfId="16"/>
    <cellStyle name="Normal 7 2" xfId="223"/>
    <cellStyle name="Normal 7 3" xfId="372"/>
    <cellStyle name="Normal 70" xfId="265"/>
    <cellStyle name="Normal 71" xfId="243"/>
    <cellStyle name="Normal 72" xfId="200"/>
    <cellStyle name="Normal 73" xfId="276"/>
    <cellStyle name="Normal 74" xfId="269"/>
    <cellStyle name="Normal 75" xfId="278"/>
    <cellStyle name="Normal 76" xfId="64"/>
    <cellStyle name="Normal 77" xfId="273"/>
    <cellStyle name="Normal 78" xfId="274"/>
    <cellStyle name="Normal 79" xfId="271"/>
    <cellStyle name="Normal 8" xfId="83"/>
    <cellStyle name="Normal 8 2" xfId="81"/>
    <cellStyle name="Normal 8 3" xfId="373"/>
    <cellStyle name="Normal 80" xfId="277"/>
    <cellStyle name="Normal 81" xfId="175"/>
    <cellStyle name="Normal 82" xfId="272"/>
    <cellStyle name="Normal 83" xfId="253"/>
    <cellStyle name="Normal 84" xfId="279"/>
    <cellStyle name="Normal 85" xfId="57"/>
    <cellStyle name="Normal 86" xfId="280"/>
    <cellStyle name="Normal 87" xfId="390"/>
    <cellStyle name="Normal 9" xfId="97"/>
    <cellStyle name="Normal 9 2" xfId="60"/>
    <cellStyle name="Normal 9 3" xfId="281"/>
    <cellStyle name="Notas" xfId="30" builtinId="10" customBuiltin="1"/>
    <cellStyle name="Notas 2" xfId="201"/>
    <cellStyle name="Notas 2 2" xfId="374"/>
    <cellStyle name="Notas 3" xfId="375"/>
    <cellStyle name="Porcentaje" xfId="387" builtinId="5"/>
    <cellStyle name="Porcentaje 2 2" xfId="94"/>
    <cellStyle name="Porcentaje 2 2 2" xfId="96"/>
    <cellStyle name="Porcentaje 2 3" xfId="127"/>
    <cellStyle name="Salida" xfId="25" builtinId="21" customBuiltin="1"/>
    <cellStyle name="Salida 2" xfId="203"/>
    <cellStyle name="Salida 2 2" xfId="376"/>
    <cellStyle name="TableStyleLight1" xfId="377"/>
    <cellStyle name="Texto de advertencia" xfId="29" builtinId="11" customBuiltin="1"/>
    <cellStyle name="Texto de advertencia 2" xfId="247"/>
    <cellStyle name="Texto de advertencia 2 2" xfId="378"/>
    <cellStyle name="Texto explicativo" xfId="31" builtinId="53" customBuiltin="1"/>
    <cellStyle name="Texto explicativo 2" xfId="250"/>
    <cellStyle name="Texto explicativo 2 2" xfId="379"/>
    <cellStyle name="Título 1 2" xfId="267"/>
    <cellStyle name="Título 1 2 2" xfId="380"/>
    <cellStyle name="Título 2" xfId="19" builtinId="17" customBuiltin="1"/>
    <cellStyle name="Título 2 2" xfId="63"/>
    <cellStyle name="Título 2 2 2" xfId="381"/>
    <cellStyle name="Título 3" xfId="20" builtinId="18" customBuiltin="1"/>
    <cellStyle name="Título 3 2" xfId="188"/>
    <cellStyle name="Título 3 2 2" xfId="382"/>
    <cellStyle name="Título 4" xfId="62"/>
    <cellStyle name="Título 4 2" xfId="383"/>
    <cellStyle name="Título 5" xfId="229"/>
    <cellStyle name="Total" xfId="32" builtinId="25" customBuiltin="1"/>
    <cellStyle name="Total 2" xfId="218"/>
    <cellStyle name="Total 2 2" xfId="384"/>
  </cellStyles>
  <dxfs count="642">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1200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baseline="0">
                <a:latin typeface="Arial" panose="020B0604020202020204" pitchFamily="34" charset="0"/>
                <a:cs typeface="Arial" panose="020B0604020202020204" pitchFamily="34" charset="0"/>
              </a:rPr>
              <a:t>Estado de Ejecución  Sector Central</a:t>
            </a:r>
          </a:p>
          <a:p>
            <a:pPr>
              <a:defRPr sz="1200" b="1">
                <a:latin typeface="Arial" panose="020B0604020202020204" pitchFamily="34" charset="0"/>
                <a:cs typeface="Arial" panose="020B0604020202020204" pitchFamily="34" charset="0"/>
              </a:defRPr>
            </a:pPr>
            <a:r>
              <a:rPr lang="es-CO" sz="1200" b="1" baseline="0">
                <a:latin typeface="Arial" panose="020B0604020202020204" pitchFamily="34" charset="0"/>
                <a:cs typeface="Arial" panose="020B0604020202020204" pitchFamily="34" charset="0"/>
              </a:rPr>
              <a:t>Gastos de Inversión con corte al 31 de diciembre  de 2022</a:t>
            </a:r>
            <a:endParaRPr lang="es-CO" sz="1200" b="1">
              <a:latin typeface="Arial" panose="020B0604020202020204" pitchFamily="34" charset="0"/>
              <a:cs typeface="Arial" panose="020B0604020202020204" pitchFamily="34" charset="0"/>
            </a:endParaRPr>
          </a:p>
        </c:rich>
      </c:tx>
      <c:layout>
        <c:manualLayout>
          <c:xMode val="edge"/>
          <c:yMode val="edge"/>
          <c:x val="0.30090106814323747"/>
          <c:y val="8.664423424037955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manualLayout>
          <c:layoutTarget val="inner"/>
          <c:xMode val="edge"/>
          <c:yMode val="edge"/>
          <c:x val="0.13410779548565621"/>
          <c:y val="0.15784037952389388"/>
          <c:w val="0.85302418680714087"/>
          <c:h val="0.71588350508700771"/>
        </c:manualLayout>
      </c:layout>
      <c:barChart>
        <c:barDir val="col"/>
        <c:grouping val="clustered"/>
        <c:varyColors val="0"/>
        <c:ser>
          <c:idx val="0"/>
          <c:order val="0"/>
          <c:tx>
            <c:strRef>
              <c:f>'CONSOLIDADO UNIDADES'!$C$24</c:f>
              <c:strCache>
                <c:ptCount val="1"/>
                <c:pt idx="0">
                  <c:v>Valor</c:v>
                </c:pt>
              </c:strCache>
            </c:strRef>
          </c:tx>
          <c:spPr>
            <a:solidFill>
              <a:srgbClr val="002060"/>
            </a:solidFill>
            <a:ln>
              <a:noFill/>
            </a:ln>
            <a:effectLst/>
          </c:spPr>
          <c:invertIfNegative val="0"/>
          <c:dPt>
            <c:idx val="1"/>
            <c:invertIfNegative val="0"/>
            <c:bubble3D val="0"/>
            <c:spPr>
              <a:solidFill>
                <a:srgbClr val="C00000"/>
              </a:solidFill>
              <a:ln>
                <a:noFill/>
              </a:ln>
              <a:effectLst/>
            </c:spPr>
            <c:extLst>
              <c:ext xmlns:c16="http://schemas.microsoft.com/office/drawing/2014/chart" uri="{C3380CC4-5D6E-409C-BE32-E72D297353CC}">
                <c16:uniqueId val="{00000001-9E8B-4EE1-8D67-AA2D7CF5BBB0}"/>
              </c:ext>
            </c:extLst>
          </c:dPt>
          <c:dPt>
            <c:idx val="2"/>
            <c:invertIfNegative val="0"/>
            <c:bubble3D val="0"/>
            <c:spPr>
              <a:solidFill>
                <a:srgbClr val="00B0F0"/>
              </a:solidFill>
              <a:ln>
                <a:noFill/>
              </a:ln>
              <a:effectLst/>
            </c:spPr>
            <c:extLst>
              <c:ext xmlns:c16="http://schemas.microsoft.com/office/drawing/2014/chart" uri="{C3380CC4-5D6E-409C-BE32-E72D297353CC}">
                <c16:uniqueId val="{00000003-9E8B-4EE1-8D67-AA2D7CF5BBB0}"/>
              </c:ext>
            </c:extLst>
          </c:dPt>
          <c:dPt>
            <c:idx val="3"/>
            <c:invertIfNegative val="0"/>
            <c:bubble3D val="0"/>
            <c:spPr>
              <a:solidFill>
                <a:schemeClr val="accent4">
                  <a:lumMod val="75000"/>
                </a:schemeClr>
              </a:solidFill>
              <a:ln>
                <a:noFill/>
              </a:ln>
              <a:effectLst/>
            </c:spPr>
            <c:extLst>
              <c:ext xmlns:c16="http://schemas.microsoft.com/office/drawing/2014/chart" uri="{C3380CC4-5D6E-409C-BE32-E72D297353CC}">
                <c16:uniqueId val="{00000005-9E8B-4EE1-8D67-AA2D7CF5BBB0}"/>
              </c:ext>
            </c:extLst>
          </c:dPt>
          <c:dPt>
            <c:idx val="4"/>
            <c:invertIfNegative val="0"/>
            <c:bubble3D val="0"/>
            <c:spPr>
              <a:solidFill>
                <a:srgbClr val="92D050"/>
              </a:solidFill>
              <a:ln>
                <a:noFill/>
              </a:ln>
              <a:effectLst/>
            </c:spPr>
            <c:extLst>
              <c:ext xmlns:c16="http://schemas.microsoft.com/office/drawing/2014/chart" uri="{C3380CC4-5D6E-409C-BE32-E72D297353CC}">
                <c16:uniqueId val="{00000007-9E8B-4EE1-8D67-AA2D7CF5BBB0}"/>
              </c:ext>
            </c:extLst>
          </c:dPt>
          <c:dPt>
            <c:idx val="5"/>
            <c:invertIfNegative val="0"/>
            <c:bubble3D val="0"/>
            <c:spPr>
              <a:solidFill>
                <a:srgbClr val="FFFF00"/>
              </a:solidFill>
              <a:ln>
                <a:noFill/>
              </a:ln>
              <a:effectLst/>
            </c:spPr>
            <c:extLst>
              <c:ext xmlns:c16="http://schemas.microsoft.com/office/drawing/2014/chart" uri="{C3380CC4-5D6E-409C-BE32-E72D297353CC}">
                <c16:uniqueId val="{00000009-9E8B-4EE1-8D67-AA2D7CF5BBB0}"/>
              </c:ext>
            </c:extLst>
          </c:dPt>
          <c:cat>
            <c:strRef>
              <c:f>'CONSOLIDADO UNIDADES'!$B$25:$B$30</c:f>
              <c:strCache>
                <c:ptCount val="6"/>
                <c:pt idx="0">
                  <c:v>Sector Central</c:v>
                </c:pt>
                <c:pt idx="1">
                  <c:v>Disponibilidades </c:v>
                </c:pt>
                <c:pt idx="2">
                  <c:v>Compromisos</c:v>
                </c:pt>
                <c:pt idx="3">
                  <c:v>Obligaciones</c:v>
                </c:pt>
                <c:pt idx="4">
                  <c:v>Pagos </c:v>
                </c:pt>
                <c:pt idx="5">
                  <c:v>Disponible</c:v>
                </c:pt>
              </c:strCache>
            </c:strRef>
          </c:cat>
          <c:val>
            <c:numRef>
              <c:f>'CONSOLIDADO UNIDADES'!$C$25:$C$30</c:f>
              <c:numCache>
                <c:formatCode>_(* #,##0_);_(* \(#,##0\);_(* "-"??_);_(@_)</c:formatCode>
                <c:ptCount val="6"/>
                <c:pt idx="0">
                  <c:v>418901771151.37</c:v>
                </c:pt>
                <c:pt idx="1">
                  <c:v>317097630755.74005</c:v>
                </c:pt>
                <c:pt idx="2">
                  <c:v>317097630755.74005</c:v>
                </c:pt>
                <c:pt idx="3">
                  <c:v>303940697499.46002</c:v>
                </c:pt>
                <c:pt idx="4">
                  <c:v>303940697499.46002</c:v>
                </c:pt>
                <c:pt idx="5">
                  <c:v>101804140395.63002</c:v>
                </c:pt>
              </c:numCache>
            </c:numRef>
          </c:val>
          <c:extLst>
            <c:ext xmlns:c16="http://schemas.microsoft.com/office/drawing/2014/chart" uri="{C3380CC4-5D6E-409C-BE32-E72D297353CC}">
              <c16:uniqueId val="{0000000A-9E8B-4EE1-8D67-AA2D7CF5BBB0}"/>
            </c:ext>
          </c:extLst>
        </c:ser>
        <c:ser>
          <c:idx val="1"/>
          <c:order val="1"/>
          <c:tx>
            <c:strRef>
              <c:f>'CONSOLIDADO UNIDADES'!$D$24</c:f>
              <c:strCache>
                <c:ptCount val="1"/>
                <c:pt idx="0">
                  <c:v>%</c:v>
                </c:pt>
              </c:strCache>
            </c:strRef>
          </c:tx>
          <c:spPr>
            <a:solidFill>
              <a:schemeClr val="accent2"/>
            </a:solidFill>
            <a:ln>
              <a:noFill/>
            </a:ln>
            <a:effectLst/>
          </c:spPr>
          <c:invertIfNegative val="0"/>
          <c:cat>
            <c:strRef>
              <c:f>'CONSOLIDADO UNIDADES'!$B$25:$B$30</c:f>
              <c:strCache>
                <c:ptCount val="6"/>
                <c:pt idx="0">
                  <c:v>Sector Central</c:v>
                </c:pt>
                <c:pt idx="1">
                  <c:v>Disponibilidades </c:v>
                </c:pt>
                <c:pt idx="2">
                  <c:v>Compromisos</c:v>
                </c:pt>
                <c:pt idx="3">
                  <c:v>Obligaciones</c:v>
                </c:pt>
                <c:pt idx="4">
                  <c:v>Pagos </c:v>
                </c:pt>
                <c:pt idx="5">
                  <c:v>Disponible</c:v>
                </c:pt>
              </c:strCache>
            </c:strRef>
          </c:cat>
          <c:val>
            <c:numRef>
              <c:f>'CONSOLIDADO UNIDADES'!$D$25:$D$30</c:f>
              <c:numCache>
                <c:formatCode>0%</c:formatCode>
                <c:ptCount val="6"/>
                <c:pt idx="0">
                  <c:v>1</c:v>
                </c:pt>
                <c:pt idx="1">
                  <c:v>0.75697371697470561</c:v>
                </c:pt>
                <c:pt idx="2">
                  <c:v>0.75697371697470561</c:v>
                </c:pt>
                <c:pt idx="3">
                  <c:v>0.72556555839825077</c:v>
                </c:pt>
                <c:pt idx="4">
                  <c:v>0.72556555839825077</c:v>
                </c:pt>
                <c:pt idx="5">
                  <c:v>0.24302628302529458</c:v>
                </c:pt>
              </c:numCache>
            </c:numRef>
          </c:val>
          <c:extLst>
            <c:ext xmlns:c16="http://schemas.microsoft.com/office/drawing/2014/chart" uri="{C3380CC4-5D6E-409C-BE32-E72D297353CC}">
              <c16:uniqueId val="{0000000B-9E8B-4EE1-8D67-AA2D7CF5BBB0}"/>
            </c:ext>
          </c:extLst>
        </c:ser>
        <c:dLbls>
          <c:showLegendKey val="0"/>
          <c:showVal val="0"/>
          <c:showCatName val="0"/>
          <c:showSerName val="0"/>
          <c:showPercent val="0"/>
          <c:showBubbleSize val="0"/>
        </c:dLbls>
        <c:gapWidth val="219"/>
        <c:overlap val="-27"/>
        <c:axId val="181518960"/>
        <c:axId val="181519520"/>
      </c:barChart>
      <c:catAx>
        <c:axId val="181518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1519520"/>
        <c:crosses val="autoZero"/>
        <c:auto val="1"/>
        <c:lblAlgn val="ctr"/>
        <c:lblOffset val="100"/>
        <c:noMultiLvlLbl val="0"/>
      </c:catAx>
      <c:valAx>
        <c:axId val="181519520"/>
        <c:scaling>
          <c:orientation val="minMax"/>
        </c:scaling>
        <c:delete val="0"/>
        <c:axPos val="l"/>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151896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a:latin typeface="Arial" panose="020B0604020202020204" pitchFamily="34" charset="0"/>
                <a:cs typeface="Arial" panose="020B0604020202020204" pitchFamily="34" charset="0"/>
              </a:rPr>
              <a:t>Estado de Ejecución Entes</a:t>
            </a:r>
            <a:r>
              <a:rPr lang="es-CO" sz="1200" b="1" baseline="0">
                <a:latin typeface="Arial" panose="020B0604020202020204" pitchFamily="34" charset="0"/>
                <a:cs typeface="Arial" panose="020B0604020202020204" pitchFamily="34" charset="0"/>
              </a:rPr>
              <a:t> Descentralizados</a:t>
            </a:r>
          </a:p>
          <a:p>
            <a:pPr>
              <a:defRPr sz="1200" b="1">
                <a:latin typeface="Arial" panose="020B0604020202020204" pitchFamily="34" charset="0"/>
                <a:cs typeface="Arial" panose="020B0604020202020204" pitchFamily="34" charset="0"/>
              </a:defRPr>
            </a:pPr>
            <a:r>
              <a:rPr lang="es-CO" sz="1200" b="1" baseline="0">
                <a:latin typeface="Arial" panose="020B0604020202020204" pitchFamily="34" charset="0"/>
                <a:cs typeface="Arial" panose="020B0604020202020204" pitchFamily="34" charset="0"/>
              </a:rPr>
              <a:t>Gastos de Inversión con corte al 31 de diciembre 2022</a:t>
            </a:r>
            <a:endParaRPr lang="es-CO" sz="1200" b="1">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02060"/>
              </a:solidFill>
              <a:ln>
                <a:noFill/>
              </a:ln>
              <a:effectLst/>
            </c:spPr>
            <c:extLst>
              <c:ext xmlns:c16="http://schemas.microsoft.com/office/drawing/2014/chart" uri="{C3380CC4-5D6E-409C-BE32-E72D297353CC}">
                <c16:uniqueId val="{00000001-AFDD-4990-9685-52BA925AB3CE}"/>
              </c:ext>
            </c:extLst>
          </c:dPt>
          <c:dPt>
            <c:idx val="5"/>
            <c:invertIfNegative val="0"/>
            <c:bubble3D val="0"/>
            <c:spPr>
              <a:solidFill>
                <a:srgbClr val="FFFF00"/>
              </a:solidFill>
              <a:ln>
                <a:noFill/>
              </a:ln>
              <a:effectLst/>
            </c:spPr>
            <c:extLst>
              <c:ext xmlns:c16="http://schemas.microsoft.com/office/drawing/2014/chart" uri="{C3380CC4-5D6E-409C-BE32-E72D297353CC}">
                <c16:uniqueId val="{00000003-AFDD-4990-9685-52BA925AB3CE}"/>
              </c:ext>
            </c:extLst>
          </c:dPt>
          <c:cat>
            <c:strRef>
              <c:f>'CONSOLIDADO UNIDADES'!$B$34:$B$39</c:f>
              <c:strCache>
                <c:ptCount val="6"/>
                <c:pt idx="0">
                  <c:v>Descentralizados</c:v>
                </c:pt>
                <c:pt idx="1">
                  <c:v>Disponibilidades </c:v>
                </c:pt>
                <c:pt idx="2">
                  <c:v>Compromisos</c:v>
                </c:pt>
                <c:pt idx="3">
                  <c:v>Obligaciones</c:v>
                </c:pt>
                <c:pt idx="4">
                  <c:v>Pagos </c:v>
                </c:pt>
                <c:pt idx="5">
                  <c:v>Disponible</c:v>
                </c:pt>
              </c:strCache>
            </c:strRef>
          </c:cat>
          <c:val>
            <c:numRef>
              <c:f>'CONSOLIDADO UNIDADES'!$C$34:$C$39</c:f>
              <c:numCache>
                <c:formatCode>_(* #,##0_);_(* \(#,##0\);_(* "-"??_);_(@_)</c:formatCode>
                <c:ptCount val="6"/>
                <c:pt idx="0">
                  <c:v>10033429290.130001</c:v>
                </c:pt>
                <c:pt idx="1">
                  <c:v>8727500202.9499989</c:v>
                </c:pt>
                <c:pt idx="2">
                  <c:v>7827615812.5599995</c:v>
                </c:pt>
                <c:pt idx="3">
                  <c:v>7220946472.1399994</c:v>
                </c:pt>
                <c:pt idx="4">
                  <c:v>7013824548.21</c:v>
                </c:pt>
                <c:pt idx="5">
                  <c:v>1305929087.1800022</c:v>
                </c:pt>
              </c:numCache>
            </c:numRef>
          </c:val>
          <c:extLst>
            <c:ext xmlns:c16="http://schemas.microsoft.com/office/drawing/2014/chart" uri="{C3380CC4-5D6E-409C-BE32-E72D297353CC}">
              <c16:uniqueId val="{00000004-AFDD-4990-9685-52BA925AB3CE}"/>
            </c:ext>
          </c:extLst>
        </c:ser>
        <c:ser>
          <c:idx val="1"/>
          <c:order val="1"/>
          <c:spPr>
            <a:solidFill>
              <a:schemeClr val="accent2"/>
            </a:solidFill>
            <a:ln>
              <a:noFill/>
            </a:ln>
            <a:effectLst/>
          </c:spPr>
          <c:invertIfNegative val="0"/>
          <c:cat>
            <c:strRef>
              <c:f>'CONSOLIDADO UNIDADES'!$B$34:$B$39</c:f>
              <c:strCache>
                <c:ptCount val="6"/>
                <c:pt idx="0">
                  <c:v>Descentralizados</c:v>
                </c:pt>
                <c:pt idx="1">
                  <c:v>Disponibilidades </c:v>
                </c:pt>
                <c:pt idx="2">
                  <c:v>Compromisos</c:v>
                </c:pt>
                <c:pt idx="3">
                  <c:v>Obligaciones</c:v>
                </c:pt>
                <c:pt idx="4">
                  <c:v>Pagos </c:v>
                </c:pt>
                <c:pt idx="5">
                  <c:v>Disponible</c:v>
                </c:pt>
              </c:strCache>
            </c:strRef>
          </c:cat>
          <c:val>
            <c:numRef>
              <c:f>'CONSOLIDADO UNIDADES'!$D$34:$D$39</c:f>
              <c:numCache>
                <c:formatCode>0%</c:formatCode>
                <c:ptCount val="6"/>
                <c:pt idx="0">
                  <c:v>1</c:v>
                </c:pt>
                <c:pt idx="1">
                  <c:v>0.86984219956932773</c:v>
                </c:pt>
                <c:pt idx="2">
                  <c:v>0.78015358320809758</c:v>
                </c:pt>
                <c:pt idx="3">
                  <c:v>0.7196887787153019</c:v>
                </c:pt>
                <c:pt idx="4">
                  <c:v>0.69904559501999775</c:v>
                </c:pt>
                <c:pt idx="5">
                  <c:v>0.13015780043067224</c:v>
                </c:pt>
              </c:numCache>
            </c:numRef>
          </c:val>
          <c:extLst>
            <c:ext xmlns:c16="http://schemas.microsoft.com/office/drawing/2014/chart" uri="{C3380CC4-5D6E-409C-BE32-E72D297353CC}">
              <c16:uniqueId val="{00000005-AFDD-4990-9685-52BA925AB3CE}"/>
            </c:ext>
          </c:extLst>
        </c:ser>
        <c:dLbls>
          <c:showLegendKey val="0"/>
          <c:showVal val="0"/>
          <c:showCatName val="0"/>
          <c:showSerName val="0"/>
          <c:showPercent val="0"/>
          <c:showBubbleSize val="0"/>
        </c:dLbls>
        <c:gapWidth val="219"/>
        <c:overlap val="-27"/>
        <c:axId val="181523440"/>
        <c:axId val="181524000"/>
      </c:barChart>
      <c:catAx>
        <c:axId val="181523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1524000"/>
        <c:crosses val="autoZero"/>
        <c:auto val="1"/>
        <c:lblAlgn val="ctr"/>
        <c:lblOffset val="100"/>
        <c:noMultiLvlLbl val="0"/>
      </c:catAx>
      <c:valAx>
        <c:axId val="181524000"/>
        <c:scaling>
          <c:orientation val="minMax"/>
        </c:scaling>
        <c:delete val="0"/>
        <c:axPos val="l"/>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1523440"/>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i="0" baseline="0">
                <a:effectLst/>
                <a:latin typeface="Arial" panose="020B0604020202020204" pitchFamily="34" charset="0"/>
                <a:cs typeface="Arial" panose="020B0604020202020204" pitchFamily="34" charset="0"/>
              </a:rPr>
              <a:t>Estado de Ejecución Departamento Quindiío</a:t>
            </a:r>
            <a:endParaRPr lang="es-CO" sz="1200" b="1">
              <a:effectLst/>
              <a:latin typeface="Arial" panose="020B0604020202020204" pitchFamily="34" charset="0"/>
              <a:cs typeface="Arial" panose="020B0604020202020204" pitchFamily="34" charset="0"/>
            </a:endParaRPr>
          </a:p>
          <a:p>
            <a:pPr>
              <a:defRPr sz="1200" b="1">
                <a:latin typeface="Arial" panose="020B0604020202020204" pitchFamily="34" charset="0"/>
                <a:cs typeface="Arial" panose="020B0604020202020204" pitchFamily="34" charset="0"/>
              </a:defRPr>
            </a:pPr>
            <a:r>
              <a:rPr lang="es-CO" sz="1200" b="1" i="0" baseline="0">
                <a:effectLst/>
                <a:latin typeface="Arial" panose="020B0604020202020204" pitchFamily="34" charset="0"/>
                <a:cs typeface="Arial" panose="020B0604020202020204" pitchFamily="34" charset="0"/>
              </a:rPr>
              <a:t>Gastos de Inversión con corte al 31 de diciembre de 2022</a:t>
            </a:r>
            <a:endParaRPr lang="es-CO" sz="1200" b="1">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rgbClr val="002060"/>
              </a:solidFill>
              <a:ln>
                <a:noFill/>
              </a:ln>
              <a:effectLst/>
            </c:spPr>
            <c:extLst>
              <c:ext xmlns:c16="http://schemas.microsoft.com/office/drawing/2014/chart" uri="{C3380CC4-5D6E-409C-BE32-E72D297353CC}">
                <c16:uniqueId val="{00000001-3C88-4813-BD79-DF6A7B870754}"/>
              </c:ext>
            </c:extLst>
          </c:dPt>
          <c:dPt>
            <c:idx val="1"/>
            <c:invertIfNegative val="0"/>
            <c:bubble3D val="0"/>
            <c:spPr>
              <a:solidFill>
                <a:srgbClr val="C00000"/>
              </a:solidFill>
              <a:ln>
                <a:noFill/>
              </a:ln>
              <a:effectLst/>
            </c:spPr>
            <c:extLst>
              <c:ext xmlns:c16="http://schemas.microsoft.com/office/drawing/2014/chart" uri="{C3380CC4-5D6E-409C-BE32-E72D297353CC}">
                <c16:uniqueId val="{00000003-3C88-4813-BD79-DF6A7B870754}"/>
              </c:ext>
            </c:extLst>
          </c:dPt>
          <c:dPt>
            <c:idx val="2"/>
            <c:invertIfNegative val="0"/>
            <c:bubble3D val="0"/>
            <c:spPr>
              <a:solidFill>
                <a:srgbClr val="00B0F0"/>
              </a:solidFill>
              <a:ln>
                <a:noFill/>
              </a:ln>
              <a:effectLst/>
            </c:spPr>
            <c:extLst>
              <c:ext xmlns:c16="http://schemas.microsoft.com/office/drawing/2014/chart" uri="{C3380CC4-5D6E-409C-BE32-E72D297353CC}">
                <c16:uniqueId val="{00000005-3C88-4813-BD79-DF6A7B870754}"/>
              </c:ext>
            </c:extLst>
          </c:dPt>
          <c:dPt>
            <c:idx val="3"/>
            <c:invertIfNegative val="0"/>
            <c:bubble3D val="0"/>
            <c:spPr>
              <a:solidFill>
                <a:schemeClr val="accent4">
                  <a:lumMod val="75000"/>
                </a:schemeClr>
              </a:solidFill>
              <a:ln>
                <a:noFill/>
              </a:ln>
              <a:effectLst/>
            </c:spPr>
            <c:extLst>
              <c:ext xmlns:c16="http://schemas.microsoft.com/office/drawing/2014/chart" uri="{C3380CC4-5D6E-409C-BE32-E72D297353CC}">
                <c16:uniqueId val="{00000007-3C88-4813-BD79-DF6A7B870754}"/>
              </c:ext>
            </c:extLst>
          </c:dPt>
          <c:dPt>
            <c:idx val="4"/>
            <c:invertIfNegative val="0"/>
            <c:bubble3D val="0"/>
            <c:spPr>
              <a:solidFill>
                <a:srgbClr val="92D050"/>
              </a:solidFill>
              <a:ln>
                <a:noFill/>
              </a:ln>
              <a:effectLst/>
            </c:spPr>
            <c:extLst>
              <c:ext xmlns:c16="http://schemas.microsoft.com/office/drawing/2014/chart" uri="{C3380CC4-5D6E-409C-BE32-E72D297353CC}">
                <c16:uniqueId val="{00000009-3C88-4813-BD79-DF6A7B870754}"/>
              </c:ext>
            </c:extLst>
          </c:dPt>
          <c:dPt>
            <c:idx val="5"/>
            <c:invertIfNegative val="0"/>
            <c:bubble3D val="0"/>
            <c:spPr>
              <a:solidFill>
                <a:srgbClr val="FFFF00"/>
              </a:solidFill>
              <a:ln>
                <a:noFill/>
              </a:ln>
              <a:effectLst/>
            </c:spPr>
            <c:extLst>
              <c:ext xmlns:c16="http://schemas.microsoft.com/office/drawing/2014/chart" uri="{C3380CC4-5D6E-409C-BE32-E72D297353CC}">
                <c16:uniqueId val="{0000000B-3C88-4813-BD79-DF6A7B870754}"/>
              </c:ext>
            </c:extLst>
          </c:dPt>
          <c:cat>
            <c:strRef>
              <c:f>'CONSOLIDADO UNIDADES'!$B$48:$B$53</c:f>
              <c:strCache>
                <c:ptCount val="6"/>
                <c:pt idx="0">
                  <c:v>Departamento Quindío</c:v>
                </c:pt>
                <c:pt idx="1">
                  <c:v>Disponibilidades </c:v>
                </c:pt>
                <c:pt idx="2">
                  <c:v>Compromisos</c:v>
                </c:pt>
                <c:pt idx="3">
                  <c:v>Obligaciones</c:v>
                </c:pt>
                <c:pt idx="4">
                  <c:v>Pagos </c:v>
                </c:pt>
                <c:pt idx="5">
                  <c:v>Disponible</c:v>
                </c:pt>
              </c:strCache>
            </c:strRef>
          </c:cat>
          <c:val>
            <c:numRef>
              <c:f>'CONSOLIDADO UNIDADES'!$C$48:$C$53</c:f>
              <c:numCache>
                <c:formatCode>_(* #,##0_);_(* \(#,##0\);_(* "-"??_);_(@_)</c:formatCode>
                <c:ptCount val="6"/>
                <c:pt idx="0">
                  <c:v>428935200441.5</c:v>
                </c:pt>
                <c:pt idx="1">
                  <c:v>325825130958.69006</c:v>
                </c:pt>
                <c:pt idx="2">
                  <c:v>324925246568.30005</c:v>
                </c:pt>
                <c:pt idx="3">
                  <c:v>311161643971.60004</c:v>
                </c:pt>
                <c:pt idx="4">
                  <c:v>310954522047.67004</c:v>
                </c:pt>
                <c:pt idx="5">
                  <c:v>103110069482.81003</c:v>
                </c:pt>
              </c:numCache>
            </c:numRef>
          </c:val>
          <c:extLst>
            <c:ext xmlns:c16="http://schemas.microsoft.com/office/drawing/2014/chart" uri="{C3380CC4-5D6E-409C-BE32-E72D297353CC}">
              <c16:uniqueId val="{0000000C-3C88-4813-BD79-DF6A7B870754}"/>
            </c:ext>
          </c:extLst>
        </c:ser>
        <c:ser>
          <c:idx val="1"/>
          <c:order val="1"/>
          <c:spPr>
            <a:solidFill>
              <a:schemeClr val="accent2"/>
            </a:solidFill>
            <a:ln>
              <a:noFill/>
            </a:ln>
            <a:effectLst/>
          </c:spPr>
          <c:invertIfNegative val="0"/>
          <c:cat>
            <c:strRef>
              <c:f>'CONSOLIDADO UNIDADES'!$B$48:$B$53</c:f>
              <c:strCache>
                <c:ptCount val="6"/>
                <c:pt idx="0">
                  <c:v>Departamento Quindío</c:v>
                </c:pt>
                <c:pt idx="1">
                  <c:v>Disponibilidades </c:v>
                </c:pt>
                <c:pt idx="2">
                  <c:v>Compromisos</c:v>
                </c:pt>
                <c:pt idx="3">
                  <c:v>Obligaciones</c:v>
                </c:pt>
                <c:pt idx="4">
                  <c:v>Pagos </c:v>
                </c:pt>
                <c:pt idx="5">
                  <c:v>Disponible</c:v>
                </c:pt>
              </c:strCache>
            </c:strRef>
          </c:cat>
          <c:val>
            <c:numRef>
              <c:f>'CONSOLIDADO UNIDADES'!$D$48:$D$53</c:f>
              <c:numCache>
                <c:formatCode>0%</c:formatCode>
                <c:ptCount val="6"/>
                <c:pt idx="0">
                  <c:v>1</c:v>
                </c:pt>
                <c:pt idx="1">
                  <c:v>0.75961387786155232</c:v>
                </c:pt>
                <c:pt idx="2">
                  <c:v>0.75751592835900805</c:v>
                </c:pt>
                <c:pt idx="3">
                  <c:v>0.72542809182208301</c:v>
                </c:pt>
                <c:pt idx="4">
                  <c:v>0.72494521719739191</c:v>
                </c:pt>
                <c:pt idx="5">
                  <c:v>0.24038612213844784</c:v>
                </c:pt>
              </c:numCache>
            </c:numRef>
          </c:val>
          <c:extLst>
            <c:ext xmlns:c16="http://schemas.microsoft.com/office/drawing/2014/chart" uri="{C3380CC4-5D6E-409C-BE32-E72D297353CC}">
              <c16:uniqueId val="{0000000D-3C88-4813-BD79-DF6A7B870754}"/>
            </c:ext>
          </c:extLst>
        </c:ser>
        <c:dLbls>
          <c:showLegendKey val="0"/>
          <c:showVal val="0"/>
          <c:showCatName val="0"/>
          <c:showSerName val="0"/>
          <c:showPercent val="0"/>
          <c:showBubbleSize val="0"/>
        </c:dLbls>
        <c:gapWidth val="219"/>
        <c:overlap val="-27"/>
        <c:axId val="182053808"/>
        <c:axId val="182054368"/>
      </c:barChart>
      <c:catAx>
        <c:axId val="1820538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2054368"/>
        <c:crosses val="autoZero"/>
        <c:auto val="1"/>
        <c:lblAlgn val="ctr"/>
        <c:lblOffset val="100"/>
        <c:noMultiLvlLbl val="0"/>
      </c:catAx>
      <c:valAx>
        <c:axId val="182054368"/>
        <c:scaling>
          <c:orientation val="minMax"/>
        </c:scaling>
        <c:delete val="0"/>
        <c:axPos val="l"/>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2053808"/>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s-CO"/>
          </a:p>
        </c:txPr>
      </c:dTable>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sz="1800" b="1">
                <a:effectLst/>
              </a:rPr>
              <a:t>COMPARATIVO  PRESUPUESTO Vs. REGISTROS PRESUPUESTALES </a:t>
            </a:r>
            <a:endParaRPr lang="es-CO">
              <a:effectLst/>
            </a:endParaRPr>
          </a:p>
          <a:p>
            <a:pPr>
              <a:defRPr/>
            </a:pPr>
            <a:r>
              <a:rPr lang="es-CO" sz="1800" b="1">
                <a:effectLst/>
              </a:rPr>
              <a:t>PLAN OPERATIVO ANUAL DE INVERSIONES POAI   CON CORTE AL 31 DE DICIEMBRE DE 2022 </a:t>
            </a:r>
          </a:p>
          <a:p>
            <a:pPr>
              <a:defRPr/>
            </a:pPr>
            <a:r>
              <a:rPr lang="es-CO" sz="1800" b="1">
                <a:effectLst/>
              </a:rPr>
              <a:t>POR UNIDADES EJECUTORAS</a:t>
            </a:r>
            <a:endParaRPr lang="es-CO">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'CONSOLIDADO UNIDADES'!$D$2</c:f>
              <c:strCache>
                <c:ptCount val="1"/>
                <c:pt idx="0">
                  <c:v>% PD</c:v>
                </c:pt>
              </c:strCache>
            </c:strRef>
          </c:tx>
          <c:spPr>
            <a:solidFill>
              <a:srgbClr val="00206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'CONSOLIDADO UNIDADES'!$B$3:$B$22</c15:sqref>
                  </c15:fullRef>
                </c:ext>
              </c:extLst>
              <c:f>('CONSOLIDADO UNIDADES'!$B$3:$B$15,'CONSOLIDADO UNIDADES'!$B$17:$B$19,'CONSOLIDADO UNIDADES'!$B$22)</c:f>
              <c:strCache>
                <c:ptCount val="17"/>
                <c:pt idx="0">
                  <c:v>Administrativa</c:v>
                </c:pt>
                <c:pt idx="1">
                  <c:v>Planeación</c:v>
                </c:pt>
                <c:pt idx="2">
                  <c:v>Hacienda</c:v>
                </c:pt>
                <c:pt idx="3">
                  <c:v>Aguas e Infraestructura</c:v>
                </c:pt>
                <c:pt idx="4">
                  <c:v>Interior</c:v>
                </c:pt>
                <c:pt idx="5">
                  <c:v>Cultura</c:v>
                </c:pt>
                <c:pt idx="6">
                  <c:v>Turismo Industria y Comercio</c:v>
                </c:pt>
                <c:pt idx="7">
                  <c:v>Agricultura, Desarrollo Rural y Medio Ambiente</c:v>
                </c:pt>
                <c:pt idx="8">
                  <c:v>Privada</c:v>
                </c:pt>
                <c:pt idx="9">
                  <c:v>Educación</c:v>
                </c:pt>
                <c:pt idx="10">
                  <c:v>Familia</c:v>
                </c:pt>
                <c:pt idx="11">
                  <c:v>Salud</c:v>
                </c:pt>
                <c:pt idx="12">
                  <c:v>Tecnología de la Información y las Comunicaciones</c:v>
                </c:pt>
                <c:pt idx="13">
                  <c:v>Indeportes</c:v>
                </c:pt>
                <c:pt idx="14">
                  <c:v>Proyecta</c:v>
                </c:pt>
                <c:pt idx="15">
                  <c:v>Instituto Departamental de Transito</c:v>
                </c:pt>
                <c:pt idx="16">
                  <c:v>TOTAL DEPARTAMENTO</c:v>
                </c:pt>
              </c:strCache>
            </c:strRef>
          </c:cat>
          <c:val>
            <c:numRef>
              <c:extLst>
                <c:ext xmlns:c15="http://schemas.microsoft.com/office/drawing/2012/chart" uri="{02D57815-91ED-43cb-92C2-25804820EDAC}">
                  <c15:fullRef>
                    <c15:sqref>'CONSOLIDADO UNIDADES'!$D$3:$D$22</c15:sqref>
                  </c15:fullRef>
                </c:ext>
              </c:extLst>
              <c:f>('CONSOLIDADO UNIDADES'!$D$3:$D$15,'CONSOLIDADO UNIDADES'!$D$17:$D$19,'CONSOLIDADO UNIDADES'!$D$22)</c:f>
              <c:numCache>
                <c:formatCode>0%</c:formatCode>
                <c:ptCount val="17"/>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numCache>
            </c:numRef>
          </c:val>
          <c:extLst>
            <c:ext xmlns:c16="http://schemas.microsoft.com/office/drawing/2014/chart" uri="{C3380CC4-5D6E-409C-BE32-E72D297353CC}">
              <c16:uniqueId val="{00000000-733C-451D-8347-26BE7072BEFC}"/>
            </c:ext>
          </c:extLst>
        </c:ser>
        <c:ser>
          <c:idx val="2"/>
          <c:order val="2"/>
          <c:tx>
            <c:strRef>
              <c:f>'CONSOLIDADO UNIDADES'!$H$2</c:f>
              <c:strCache>
                <c:ptCount val="1"/>
                <c:pt idx="0">
                  <c:v>% RP
COMPROM
APROP DEF</c:v>
                </c:pt>
              </c:strCache>
            </c:strRef>
          </c:tx>
          <c:spPr>
            <a:solidFill>
              <a:srgbClr val="FFC000"/>
            </a:solidFill>
            <a:ln>
              <a:noFill/>
            </a:ln>
            <a:effectLst/>
          </c:spPr>
          <c:invertIfNegative val="0"/>
          <c:dLbls>
            <c:dLbl>
              <c:idx val="0"/>
              <c:layout>
                <c:manualLayout>
                  <c:x val="3.3096929178304886E-3"/>
                  <c:y val="-4.201364450998278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33C-451D-8347-26BE7072BEFC}"/>
                </c:ext>
              </c:extLst>
            </c:dLbl>
            <c:dLbl>
              <c:idx val="9"/>
              <c:layout>
                <c:manualLayout>
                  <c:x val="3.3096929178304886E-3"/>
                  <c:y val="-3.57115978334854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33C-451D-8347-26BE7072BEFC}"/>
                </c:ext>
              </c:extLst>
            </c:dLbl>
            <c:dLbl>
              <c:idx val="13"/>
              <c:layout>
                <c:manualLayout>
                  <c:x val="6.6193858356610579E-3"/>
                  <c:y val="-3.781228005898458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33C-451D-8347-26BE7072BEFC}"/>
                </c:ext>
              </c:extLst>
            </c:dLbl>
            <c:dLbl>
              <c:idx val="14"/>
              <c:layout>
                <c:manualLayout>
                  <c:x val="1.1032309726101627E-3"/>
                  <c:y val="-3.361091560798630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33C-451D-8347-26BE7072BEFC}"/>
                </c:ext>
              </c:extLst>
            </c:dLbl>
            <c:dLbl>
              <c:idx val="15"/>
              <c:layout>
                <c:manualLayout>
                  <c:x val="1.1032309726101629E-2"/>
                  <c:y val="-4.201364450998278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33C-451D-8347-26BE7072BEF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'CONSOLIDADO UNIDADES'!$B$3:$B$22</c15:sqref>
                  </c15:fullRef>
                </c:ext>
              </c:extLst>
              <c:f>('CONSOLIDADO UNIDADES'!$B$3:$B$15,'CONSOLIDADO UNIDADES'!$B$17:$B$19,'CONSOLIDADO UNIDADES'!$B$22)</c:f>
              <c:strCache>
                <c:ptCount val="17"/>
                <c:pt idx="0">
                  <c:v>Administrativa</c:v>
                </c:pt>
                <c:pt idx="1">
                  <c:v>Planeación</c:v>
                </c:pt>
                <c:pt idx="2">
                  <c:v>Hacienda</c:v>
                </c:pt>
                <c:pt idx="3">
                  <c:v>Aguas e Infraestructura</c:v>
                </c:pt>
                <c:pt idx="4">
                  <c:v>Interior</c:v>
                </c:pt>
                <c:pt idx="5">
                  <c:v>Cultura</c:v>
                </c:pt>
                <c:pt idx="6">
                  <c:v>Turismo Industria y Comercio</c:v>
                </c:pt>
                <c:pt idx="7">
                  <c:v>Agricultura, Desarrollo Rural y Medio Ambiente</c:v>
                </c:pt>
                <c:pt idx="8">
                  <c:v>Privada</c:v>
                </c:pt>
                <c:pt idx="9">
                  <c:v>Educación</c:v>
                </c:pt>
                <c:pt idx="10">
                  <c:v>Familia</c:v>
                </c:pt>
                <c:pt idx="11">
                  <c:v>Salud</c:v>
                </c:pt>
                <c:pt idx="12">
                  <c:v>Tecnología de la Información y las Comunicaciones</c:v>
                </c:pt>
                <c:pt idx="13">
                  <c:v>Indeportes</c:v>
                </c:pt>
                <c:pt idx="14">
                  <c:v>Proyecta</c:v>
                </c:pt>
                <c:pt idx="15">
                  <c:v>Instituto Departamental de Transito</c:v>
                </c:pt>
                <c:pt idx="16">
                  <c:v>TOTAL DEPARTAMENTO</c:v>
                </c:pt>
              </c:strCache>
            </c:strRef>
          </c:cat>
          <c:val>
            <c:numRef>
              <c:extLst>
                <c:ext xmlns:c15="http://schemas.microsoft.com/office/drawing/2012/chart" uri="{02D57815-91ED-43cb-92C2-25804820EDAC}">
                  <c15:fullRef>
                    <c15:sqref>'CONSOLIDADO UNIDADES'!$H$3:$H$22</c15:sqref>
                  </c15:fullRef>
                </c:ext>
              </c:extLst>
              <c:f>('CONSOLIDADO UNIDADES'!$H$3:$H$15,'CONSOLIDADO UNIDADES'!$H$17:$H$19,'CONSOLIDADO UNIDADES'!$H$22)</c:f>
              <c:numCache>
                <c:formatCode>0%</c:formatCode>
                <c:ptCount val="17"/>
                <c:pt idx="0">
                  <c:v>3.6782439181338084E-2</c:v>
                </c:pt>
                <c:pt idx="1">
                  <c:v>0.94787495556668433</c:v>
                </c:pt>
                <c:pt idx="2">
                  <c:v>0.95619507251996372</c:v>
                </c:pt>
                <c:pt idx="3">
                  <c:v>0.2140053147177407</c:v>
                </c:pt>
                <c:pt idx="4">
                  <c:v>0.68802264179414618</c:v>
                </c:pt>
                <c:pt idx="5">
                  <c:v>0.88014463119644182</c:v>
                </c:pt>
                <c:pt idx="6">
                  <c:v>0.77587847484475114</c:v>
                </c:pt>
                <c:pt idx="7">
                  <c:v>0.65254261459896923</c:v>
                </c:pt>
                <c:pt idx="8">
                  <c:v>0.84781141118543768</c:v>
                </c:pt>
                <c:pt idx="9">
                  <c:v>0.98740469803402642</c:v>
                </c:pt>
                <c:pt idx="10">
                  <c:v>0.8982774079822976</c:v>
                </c:pt>
                <c:pt idx="11">
                  <c:v>0.92963119750269674</c:v>
                </c:pt>
                <c:pt idx="12">
                  <c:v>0.97888462751554617</c:v>
                </c:pt>
                <c:pt idx="13">
                  <c:v>0.89866607388039732</c:v>
                </c:pt>
                <c:pt idx="14">
                  <c:v>0.52075839167198523</c:v>
                </c:pt>
                <c:pt idx="15">
                  <c:v>0.9937255178331218</c:v>
                </c:pt>
                <c:pt idx="16">
                  <c:v>0.75751592835900805</c:v>
                </c:pt>
              </c:numCache>
            </c:numRef>
          </c:val>
          <c:extLst>
            <c:ext xmlns:c15="http://schemas.microsoft.com/office/drawing/2012/chart" uri="{02D57815-91ED-43cb-92C2-25804820EDAC}">
              <c15:categoryFilterExceptions>
                <c15:categoryFilterException>
                  <c15:sqref>'CONSOLIDADO UNIDADES'!$H$20</c15:sqref>
                  <c15:dLbl>
                    <c:idx val="15"/>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extLst>
                      <c:ext xmlns:c16="http://schemas.microsoft.com/office/drawing/2014/chart" uri="{C3380CC4-5D6E-409C-BE32-E72D297353CC}">
                        <c16:uniqueId val="{00000000-4B6D-49CC-88C9-93E10EEAE92B}"/>
                      </c:ext>
                    </c:extLst>
                  </c15:dLbl>
                </c15:categoryFilterException>
              </c15:categoryFilterExceptions>
            </c:ext>
            <c:ext xmlns:c16="http://schemas.microsoft.com/office/drawing/2014/chart" uri="{C3380CC4-5D6E-409C-BE32-E72D297353CC}">
              <c16:uniqueId val="{00000007-733C-451D-8347-26BE7072BEFC}"/>
            </c:ext>
          </c:extLst>
        </c:ser>
        <c:dLbls>
          <c:dLblPos val="outEnd"/>
          <c:showLegendKey val="0"/>
          <c:showVal val="1"/>
          <c:showCatName val="0"/>
          <c:showSerName val="0"/>
          <c:showPercent val="0"/>
          <c:showBubbleSize val="0"/>
        </c:dLbls>
        <c:gapWidth val="219"/>
        <c:overlap val="-27"/>
        <c:axId val="182058288"/>
        <c:axId val="182058848"/>
        <c:extLst>
          <c:ext xmlns:c15="http://schemas.microsoft.com/office/drawing/2012/chart" uri="{02D57815-91ED-43cb-92C2-25804820EDAC}">
            <c15:filteredBarSeries>
              <c15:ser>
                <c:idx val="1"/>
                <c:order val="1"/>
                <c:tx>
                  <c:strRef>
                    <c:extLst>
                      <c:ext uri="{02D57815-91ED-43cb-92C2-25804820EDAC}">
                        <c15:formulaRef>
                          <c15:sqref>'CONSOLIDADO UNIDADES'!$F$2</c15:sqref>
                        </c15:formulaRef>
                      </c:ext>
                    </c:extLst>
                    <c:strCache>
                      <c:ptCount val="1"/>
                      <c:pt idx="0">
                        <c:v>% CD
DISPON
/APRO DEF</c:v>
                      </c:pt>
                    </c:strCache>
                  </c:strRef>
                </c:tx>
                <c:spPr>
                  <a:solidFill>
                    <a:srgbClr val="92D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'CONSOLIDADO UNIDADES'!$B$3:$B$22</c15:sqref>
                        </c15:fullRef>
                        <c15:formulaRef>
                          <c15:sqref>('CONSOLIDADO UNIDADES'!$B$3:$B$15,'CONSOLIDADO UNIDADES'!$B$17:$B$19,'CONSOLIDADO UNIDADES'!$B$22)</c15:sqref>
                        </c15:formulaRef>
                      </c:ext>
                    </c:extLst>
                    <c:strCache>
                      <c:ptCount val="17"/>
                      <c:pt idx="0">
                        <c:v>Administrativa</c:v>
                      </c:pt>
                      <c:pt idx="1">
                        <c:v>Planeación</c:v>
                      </c:pt>
                      <c:pt idx="2">
                        <c:v>Hacienda</c:v>
                      </c:pt>
                      <c:pt idx="3">
                        <c:v>Aguas e Infraestructura</c:v>
                      </c:pt>
                      <c:pt idx="4">
                        <c:v>Interior</c:v>
                      </c:pt>
                      <c:pt idx="5">
                        <c:v>Cultura</c:v>
                      </c:pt>
                      <c:pt idx="6">
                        <c:v>Turismo Industria y Comercio</c:v>
                      </c:pt>
                      <c:pt idx="7">
                        <c:v>Agricultura, Desarrollo Rural y Medio Ambiente</c:v>
                      </c:pt>
                      <c:pt idx="8">
                        <c:v>Privada</c:v>
                      </c:pt>
                      <c:pt idx="9">
                        <c:v>Educación</c:v>
                      </c:pt>
                      <c:pt idx="10">
                        <c:v>Familia</c:v>
                      </c:pt>
                      <c:pt idx="11">
                        <c:v>Salud</c:v>
                      </c:pt>
                      <c:pt idx="12">
                        <c:v>Tecnología de la Información y las Comunicaciones</c:v>
                      </c:pt>
                      <c:pt idx="13">
                        <c:v>Indeportes</c:v>
                      </c:pt>
                      <c:pt idx="14">
                        <c:v>Proyecta</c:v>
                      </c:pt>
                      <c:pt idx="15">
                        <c:v>Instituto Departamental de Transito</c:v>
                      </c:pt>
                      <c:pt idx="16">
                        <c:v>TOTAL DEPARTAMENTO</c:v>
                      </c:pt>
                    </c:strCache>
                  </c:strRef>
                </c:cat>
                <c:val>
                  <c:numRef>
                    <c:extLst>
                      <c:ext uri="{02D57815-91ED-43cb-92C2-25804820EDAC}">
                        <c15:fullRef>
                          <c15:sqref>'CONSOLIDADO UNIDADES'!$F$3:$F$22</c15:sqref>
                        </c15:fullRef>
                        <c15:formulaRef>
                          <c15:sqref>('CONSOLIDADO UNIDADES'!$F$3:$F$15,'CONSOLIDADO UNIDADES'!$F$17:$F$19,'CONSOLIDADO UNIDADES'!$F$22)</c15:sqref>
                        </c15:formulaRef>
                      </c:ext>
                    </c:extLst>
                    <c:numCache>
                      <c:formatCode>0%</c:formatCode>
                      <c:ptCount val="17"/>
                      <c:pt idx="0">
                        <c:v>3.6782439181338084E-2</c:v>
                      </c:pt>
                      <c:pt idx="1">
                        <c:v>0.94787495556668433</c:v>
                      </c:pt>
                      <c:pt idx="2">
                        <c:v>0.95619507251996372</c:v>
                      </c:pt>
                      <c:pt idx="3">
                        <c:v>0.2140053147177407</c:v>
                      </c:pt>
                      <c:pt idx="4">
                        <c:v>0.68802264179414618</c:v>
                      </c:pt>
                      <c:pt idx="5">
                        <c:v>0.88014463119644182</c:v>
                      </c:pt>
                      <c:pt idx="6">
                        <c:v>0.77587847484475114</c:v>
                      </c:pt>
                      <c:pt idx="7">
                        <c:v>0.65254261459896923</c:v>
                      </c:pt>
                      <c:pt idx="8">
                        <c:v>0.84781141118543768</c:v>
                      </c:pt>
                      <c:pt idx="9">
                        <c:v>0.98740469803402642</c:v>
                      </c:pt>
                      <c:pt idx="10">
                        <c:v>0.8982774079822976</c:v>
                      </c:pt>
                      <c:pt idx="11">
                        <c:v>0.92963119750269674</c:v>
                      </c:pt>
                      <c:pt idx="12">
                        <c:v>0.97888462751554617</c:v>
                      </c:pt>
                      <c:pt idx="13">
                        <c:v>0.95087440614589924</c:v>
                      </c:pt>
                      <c:pt idx="14">
                        <c:v>0.69327403693407841</c:v>
                      </c:pt>
                      <c:pt idx="15">
                        <c:v>0.9937255178331218</c:v>
                      </c:pt>
                      <c:pt idx="16">
                        <c:v>0.75961387786155232</c:v>
                      </c:pt>
                    </c:numCache>
                  </c:numRef>
                </c:val>
                <c:extLst>
                  <c:ext xmlns:c16="http://schemas.microsoft.com/office/drawing/2014/chart" uri="{C3380CC4-5D6E-409C-BE32-E72D297353CC}">
                    <c16:uniqueId val="{00000001-733C-451D-8347-26BE7072BEFC}"/>
                  </c:ext>
                </c:extLst>
              </c15:ser>
            </c15:filteredBarSeries>
          </c:ext>
        </c:extLst>
      </c:barChart>
      <c:catAx>
        <c:axId val="182058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2058848"/>
        <c:crosses val="autoZero"/>
        <c:auto val="1"/>
        <c:lblAlgn val="ctr"/>
        <c:lblOffset val="100"/>
        <c:noMultiLvlLbl val="0"/>
      </c:catAx>
      <c:valAx>
        <c:axId val="182058848"/>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20582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190502</xdr:colOff>
      <xdr:row>0</xdr:row>
      <xdr:rowOff>68034</xdr:rowOff>
    </xdr:from>
    <xdr:ext cx="789212" cy="612323"/>
    <xdr:pic>
      <xdr:nvPicPr>
        <xdr:cNvPr id="2" name="Imagen 1" descr="C:\Users\AUXPLANEACION03\Desktop\Gobernacion_del_quindio.jpg">
          <a:extLst>
            <a:ext uri="{FF2B5EF4-FFF2-40B4-BE49-F238E27FC236}">
              <a16:creationId xmlns:a16="http://schemas.microsoft.com/office/drawing/2014/main" id="{1C78F047-D265-48F9-B901-474642B5EE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2" y="68034"/>
          <a:ext cx="789212" cy="612323"/>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7</xdr:col>
      <xdr:colOff>276225</xdr:colOff>
      <xdr:row>25</xdr:row>
      <xdr:rowOff>80358</xdr:rowOff>
    </xdr:from>
    <xdr:to>
      <xdr:col>13</xdr:col>
      <xdr:colOff>900792</xdr:colOff>
      <xdr:row>42</xdr:row>
      <xdr:rowOff>57152</xdr:rowOff>
    </xdr:to>
    <xdr:graphicFrame macro="">
      <xdr:nvGraphicFramePr>
        <xdr:cNvPr id="2" name="Grá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326571</xdr:colOff>
      <xdr:row>42</xdr:row>
      <xdr:rowOff>159202</xdr:rowOff>
    </xdr:from>
    <xdr:to>
      <xdr:col>13</xdr:col>
      <xdr:colOff>1455964</xdr:colOff>
      <xdr:row>58</xdr:row>
      <xdr:rowOff>27214</xdr:rowOff>
    </xdr:to>
    <xdr:graphicFrame macro="">
      <xdr:nvGraphicFramePr>
        <xdr:cNvPr id="3" name="Gráfico 2">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340179</xdr:colOff>
      <xdr:row>60</xdr:row>
      <xdr:rowOff>145596</xdr:rowOff>
    </xdr:from>
    <xdr:to>
      <xdr:col>14</xdr:col>
      <xdr:colOff>40821</xdr:colOff>
      <xdr:row>80</xdr:row>
      <xdr:rowOff>40822</xdr:rowOff>
    </xdr:to>
    <xdr:graphicFrame macro="">
      <xdr:nvGraphicFramePr>
        <xdr:cNvPr id="4" name="Gráfico 3">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54429</xdr:colOff>
      <xdr:row>0</xdr:row>
      <xdr:rowOff>853166</xdr:rowOff>
    </xdr:from>
    <xdr:to>
      <xdr:col>32</xdr:col>
      <xdr:colOff>353785</xdr:colOff>
      <xdr:row>30</xdr:row>
      <xdr:rowOff>81643</xdr:rowOff>
    </xdr:to>
    <xdr:graphicFrame macro="">
      <xdr:nvGraphicFramePr>
        <xdr:cNvPr id="5" name="Gráfico 4">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0</xdr:col>
      <xdr:colOff>555627</xdr:colOff>
      <xdr:row>0</xdr:row>
      <xdr:rowOff>20409</xdr:rowOff>
    </xdr:from>
    <xdr:ext cx="789212" cy="612323"/>
    <xdr:pic>
      <xdr:nvPicPr>
        <xdr:cNvPr id="2" name="Imagen 1" descr="C:\Users\AUXPLANEACION03\Desktop\Gobernacion_del_quindio.jpg">
          <a:extLst>
            <a:ext uri="{FF2B5EF4-FFF2-40B4-BE49-F238E27FC236}">
              <a16:creationId xmlns:a16="http://schemas.microsoft.com/office/drawing/2014/main" id="{1C78F047-D265-48F9-B901-474642B5EE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627" y="20409"/>
          <a:ext cx="789212" cy="612323"/>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nny/CONTRATO%203050%202022/Informe%202%20CPSAG%203050/Seguimiento%20Planeaci&#243;n/F-PLA-47%20Metas%20Proyectos%20Planeacion%20nov%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Informe%202%20CPSAG%203050\Seguimiento%20PDD%20nov%202022\Unidades%20Ejecutoras\Sgto%20Interior%20nov%202022\Metas%20y%20proyectos%20%20S.Interior%2030-11-%202022%20revisado%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PLA-47 PLANEACION"/>
    </sheetNames>
    <sheetDataSet>
      <sheetData sheetId="0">
        <row r="28">
          <cell r="W28">
            <v>36195000</v>
          </cell>
        </row>
        <row r="29">
          <cell r="W29">
            <v>26464000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PLA-47 MetasyProyectos "/>
      <sheetName val="F-PLA-78 Metasyproyectos SGR"/>
    </sheetNames>
    <sheetDataSet>
      <sheetData sheetId="0">
        <row r="50">
          <cell r="W50">
            <v>132453567</v>
          </cell>
        </row>
        <row r="51">
          <cell r="W51">
            <v>33916728</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BO332"/>
  <sheetViews>
    <sheetView showGridLines="0" tabSelected="1" zoomScale="70" zoomScaleNormal="70" workbookViewId="0"/>
  </sheetViews>
  <sheetFormatPr baseColWidth="10" defaultColWidth="11.42578125" defaultRowHeight="15" x14ac:dyDescent="0.2"/>
  <cols>
    <col min="1" max="1" width="10.85546875" style="11" customWidth="1"/>
    <col min="2" max="2" width="10" style="11" customWidth="1"/>
    <col min="3" max="3" width="9.7109375" style="6" customWidth="1"/>
    <col min="4" max="4" width="21.28515625" style="9" customWidth="1"/>
    <col min="5" max="5" width="12.5703125" style="10" customWidth="1"/>
    <col min="6" max="6" width="24.42578125" style="9" customWidth="1"/>
    <col min="7" max="7" width="11.28515625" style="10" customWidth="1"/>
    <col min="8" max="8" width="41.7109375" style="11" customWidth="1"/>
    <col min="9" max="9" width="12.5703125" style="11" customWidth="1"/>
    <col min="10" max="10" width="26.140625" style="11" customWidth="1"/>
    <col min="11" max="11" width="45.140625" style="9" customWidth="1"/>
    <col min="12" max="12" width="17.28515625" style="10" customWidth="1"/>
    <col min="13" max="13" width="30.85546875" style="9" customWidth="1"/>
    <col min="14" max="14" width="16.42578125" style="7" customWidth="1"/>
    <col min="15" max="15" width="22.42578125" style="9" customWidth="1"/>
    <col min="16" max="16" width="17.42578125" style="9" customWidth="1"/>
    <col min="17" max="17" width="22.85546875" style="11" customWidth="1"/>
    <col min="18" max="18" width="15.5703125" style="10" customWidth="1"/>
    <col min="19" max="19" width="29.140625" style="11" customWidth="1"/>
    <col min="20" max="20" width="17.140625" style="8" customWidth="1"/>
    <col min="21" max="21" width="15.28515625" style="10" customWidth="1"/>
    <col min="22" max="22" width="17.7109375" style="10" customWidth="1"/>
    <col min="23" max="23" width="15.5703125" style="10" customWidth="1"/>
    <col min="24" max="24" width="17.5703125" style="10" customWidth="1"/>
    <col min="25" max="25" width="20.140625" style="38" customWidth="1"/>
    <col min="26" max="26" width="53.85546875" style="11" customWidth="1"/>
    <col min="27" max="27" width="75" style="11" customWidth="1"/>
    <col min="28" max="28" width="30.28515625" style="16" customWidth="1"/>
    <col min="29" max="29" width="31.28515625" style="103" customWidth="1"/>
    <col min="30" max="30" width="32.42578125" style="103" customWidth="1"/>
    <col min="31" max="31" width="31.28515625" style="16" customWidth="1"/>
    <col min="32" max="33" width="31.28515625" style="103" customWidth="1"/>
    <col min="34" max="34" width="33" style="16" customWidth="1"/>
    <col min="35" max="36" width="33" style="103" customWidth="1"/>
    <col min="37" max="37" width="33" style="16" customWidth="1"/>
    <col min="38" max="39" width="33" style="103" customWidth="1"/>
    <col min="40" max="40" width="34.5703125" style="16" customWidth="1"/>
    <col min="41" max="42" width="33.42578125" style="2" customWidth="1"/>
    <col min="43" max="43" width="32.85546875" style="16" customWidth="1"/>
    <col min="44" max="44" width="31.85546875" style="103" customWidth="1"/>
    <col min="45" max="45" width="34" style="103" customWidth="1"/>
    <col min="46" max="46" width="30.140625" style="190" customWidth="1"/>
    <col min="47" max="47" width="30.5703125" style="12" customWidth="1"/>
    <col min="48" max="48" width="30.28515625" style="12" customWidth="1"/>
    <col min="49" max="49" width="30.140625" style="16" customWidth="1"/>
    <col min="50" max="50" width="31.140625" style="103" customWidth="1"/>
    <col min="51" max="51" width="30.7109375" style="103" customWidth="1"/>
    <col min="52" max="52" width="34" style="103" customWidth="1"/>
    <col min="53" max="54" width="28.42578125" style="103" customWidth="1"/>
    <col min="55" max="55" width="30.85546875" style="16" customWidth="1"/>
    <col min="56" max="57" width="30.85546875" style="103" customWidth="1"/>
    <col min="58" max="58" width="35.85546875" style="16" customWidth="1"/>
    <col min="59" max="60" width="35.85546875" style="2" customWidth="1"/>
    <col min="61" max="61" width="26" style="19" customWidth="1"/>
    <col min="62" max="62" width="11.42578125" style="1"/>
    <col min="63" max="63" width="30.42578125" style="1" customWidth="1"/>
    <col min="64" max="64" width="29.7109375" style="1" customWidth="1"/>
    <col min="65" max="67" width="27" style="1" customWidth="1"/>
    <col min="68" max="16384" width="11.42578125" style="1"/>
  </cols>
  <sheetData>
    <row r="1" spans="1:64" ht="15.75" customHeight="1" x14ac:dyDescent="0.2">
      <c r="C1" s="627" t="s">
        <v>1270</v>
      </c>
      <c r="D1" s="628"/>
      <c r="E1" s="628"/>
      <c r="F1" s="628"/>
      <c r="G1" s="628"/>
      <c r="H1" s="628"/>
      <c r="I1" s="628"/>
      <c r="J1" s="628"/>
      <c r="K1" s="628"/>
      <c r="L1" s="628"/>
      <c r="M1" s="628"/>
      <c r="N1" s="628"/>
      <c r="O1" s="628"/>
      <c r="P1" s="628"/>
      <c r="Q1" s="628"/>
      <c r="R1" s="628"/>
      <c r="S1" s="628"/>
      <c r="T1" s="628"/>
      <c r="U1" s="628"/>
      <c r="V1" s="628"/>
      <c r="W1" s="628"/>
      <c r="X1" s="628"/>
      <c r="Y1" s="628"/>
      <c r="Z1" s="628"/>
      <c r="AA1" s="628"/>
      <c r="AB1" s="629"/>
      <c r="AC1" s="628"/>
      <c r="AD1" s="628"/>
      <c r="AE1" s="629"/>
      <c r="AF1" s="628"/>
      <c r="AG1" s="628"/>
      <c r="AH1" s="629"/>
      <c r="AI1" s="628"/>
      <c r="AJ1" s="628"/>
      <c r="AK1" s="629"/>
      <c r="AL1" s="628"/>
      <c r="AM1" s="628"/>
      <c r="AN1" s="629"/>
      <c r="AO1" s="628"/>
      <c r="AP1" s="628"/>
      <c r="AQ1" s="629"/>
      <c r="AR1" s="628"/>
      <c r="AS1" s="628"/>
      <c r="AT1" s="629"/>
      <c r="AU1" s="628"/>
      <c r="AV1" s="628"/>
      <c r="AW1" s="629"/>
      <c r="AX1" s="628"/>
      <c r="AY1" s="628"/>
      <c r="AZ1" s="628"/>
      <c r="BA1" s="628"/>
      <c r="BB1" s="628"/>
      <c r="BC1" s="629"/>
      <c r="BD1" s="628"/>
      <c r="BE1" s="628"/>
      <c r="BF1" s="629"/>
      <c r="BG1" s="630"/>
      <c r="BH1" s="110" t="s">
        <v>0</v>
      </c>
      <c r="BI1" s="111" t="s">
        <v>1452</v>
      </c>
    </row>
    <row r="2" spans="1:64" ht="14.25" customHeight="1" x14ac:dyDescent="0.2">
      <c r="C2" s="634" t="s">
        <v>1507</v>
      </c>
      <c r="D2" s="635"/>
      <c r="E2" s="635"/>
      <c r="F2" s="635"/>
      <c r="G2" s="635"/>
      <c r="H2" s="635"/>
      <c r="I2" s="635"/>
      <c r="J2" s="635"/>
      <c r="K2" s="635"/>
      <c r="L2" s="635"/>
      <c r="M2" s="635"/>
      <c r="N2" s="635"/>
      <c r="O2" s="635"/>
      <c r="P2" s="635"/>
      <c r="Q2" s="635"/>
      <c r="R2" s="635"/>
      <c r="S2" s="635"/>
      <c r="T2" s="635"/>
      <c r="U2" s="635"/>
      <c r="V2" s="635"/>
      <c r="W2" s="635"/>
      <c r="X2" s="635"/>
      <c r="Y2" s="635"/>
      <c r="Z2" s="635"/>
      <c r="AA2" s="635"/>
      <c r="AB2" s="636"/>
      <c r="AC2" s="635"/>
      <c r="AD2" s="635"/>
      <c r="AE2" s="636"/>
      <c r="AF2" s="635"/>
      <c r="AG2" s="635"/>
      <c r="AH2" s="636"/>
      <c r="AI2" s="635"/>
      <c r="AJ2" s="635"/>
      <c r="AK2" s="636"/>
      <c r="AL2" s="635"/>
      <c r="AM2" s="635"/>
      <c r="AN2" s="636"/>
      <c r="AO2" s="635"/>
      <c r="AP2" s="635"/>
      <c r="AQ2" s="636"/>
      <c r="AR2" s="635"/>
      <c r="AS2" s="635"/>
      <c r="AT2" s="636"/>
      <c r="AU2" s="635"/>
      <c r="AV2" s="635"/>
      <c r="AW2" s="636"/>
      <c r="AX2" s="635"/>
      <c r="AY2" s="635"/>
      <c r="AZ2" s="635"/>
      <c r="BA2" s="635"/>
      <c r="BB2" s="635"/>
      <c r="BC2" s="636"/>
      <c r="BD2" s="635"/>
      <c r="BE2" s="635"/>
      <c r="BF2" s="636"/>
      <c r="BG2" s="637"/>
      <c r="BH2" s="112" t="s">
        <v>1</v>
      </c>
      <c r="BI2" s="132">
        <v>4</v>
      </c>
    </row>
    <row r="3" spans="1:64" ht="15" customHeight="1" x14ac:dyDescent="0.2">
      <c r="C3" s="634" t="s">
        <v>1271</v>
      </c>
      <c r="D3" s="635"/>
      <c r="E3" s="635"/>
      <c r="F3" s="635"/>
      <c r="G3" s="635"/>
      <c r="H3" s="635"/>
      <c r="I3" s="635"/>
      <c r="J3" s="635"/>
      <c r="K3" s="635"/>
      <c r="L3" s="635"/>
      <c r="M3" s="635"/>
      <c r="N3" s="635"/>
      <c r="O3" s="635"/>
      <c r="P3" s="635"/>
      <c r="Q3" s="635"/>
      <c r="R3" s="635"/>
      <c r="S3" s="635"/>
      <c r="T3" s="635"/>
      <c r="U3" s="635"/>
      <c r="V3" s="635"/>
      <c r="W3" s="635"/>
      <c r="X3" s="635"/>
      <c r="Y3" s="635"/>
      <c r="Z3" s="635"/>
      <c r="AA3" s="635"/>
      <c r="AB3" s="636"/>
      <c r="AC3" s="635"/>
      <c r="AD3" s="635"/>
      <c r="AE3" s="636"/>
      <c r="AF3" s="635"/>
      <c r="AG3" s="635"/>
      <c r="AH3" s="636"/>
      <c r="AI3" s="635"/>
      <c r="AJ3" s="635"/>
      <c r="AK3" s="636"/>
      <c r="AL3" s="635"/>
      <c r="AM3" s="635"/>
      <c r="AN3" s="636"/>
      <c r="AO3" s="635"/>
      <c r="AP3" s="635"/>
      <c r="AQ3" s="636"/>
      <c r="AR3" s="635"/>
      <c r="AS3" s="635"/>
      <c r="AT3" s="636"/>
      <c r="AU3" s="635"/>
      <c r="AV3" s="635"/>
      <c r="AW3" s="636"/>
      <c r="AX3" s="635"/>
      <c r="AY3" s="635"/>
      <c r="AZ3" s="635"/>
      <c r="BA3" s="635"/>
      <c r="BB3" s="635"/>
      <c r="BC3" s="636"/>
      <c r="BD3" s="635"/>
      <c r="BE3" s="635"/>
      <c r="BF3" s="636"/>
      <c r="BG3" s="637"/>
      <c r="BH3" s="113" t="s">
        <v>2</v>
      </c>
      <c r="BI3" s="133">
        <v>44718</v>
      </c>
    </row>
    <row r="4" spans="1:64" ht="16.5" customHeight="1" x14ac:dyDescent="0.2">
      <c r="C4" s="14"/>
      <c r="D4" s="17"/>
      <c r="E4" s="15"/>
      <c r="F4" s="17"/>
      <c r="G4" s="15"/>
      <c r="H4" s="17"/>
      <c r="I4" s="17"/>
      <c r="J4" s="17"/>
      <c r="K4" s="17"/>
      <c r="L4" s="15"/>
      <c r="M4" s="18"/>
      <c r="N4" s="5"/>
      <c r="O4" s="18"/>
      <c r="P4" s="31"/>
      <c r="Q4" s="33"/>
      <c r="R4" s="32"/>
      <c r="S4" s="33"/>
      <c r="T4" s="29"/>
      <c r="U4" s="29"/>
      <c r="V4" s="191"/>
      <c r="W4" s="191"/>
      <c r="X4" s="29"/>
      <c r="Y4" s="35"/>
      <c r="Z4" s="33"/>
      <c r="AA4" s="33"/>
      <c r="AO4" s="103"/>
      <c r="AP4" s="103"/>
      <c r="AT4" s="16"/>
      <c r="AU4" s="103"/>
      <c r="AV4" s="103"/>
      <c r="BH4" s="110" t="s">
        <v>3</v>
      </c>
      <c r="BI4" s="114" t="s">
        <v>1142</v>
      </c>
    </row>
    <row r="5" spans="1:64" s="3" customFormat="1" ht="38.25" customHeight="1" x14ac:dyDescent="0.25">
      <c r="A5" s="616" t="s">
        <v>4</v>
      </c>
      <c r="B5" s="617"/>
      <c r="C5" s="618" t="s">
        <v>5</v>
      </c>
      <c r="D5" s="618"/>
      <c r="E5" s="618" t="s">
        <v>6</v>
      </c>
      <c r="F5" s="618"/>
      <c r="G5" s="619" t="s">
        <v>7</v>
      </c>
      <c r="H5" s="620"/>
      <c r="I5" s="620"/>
      <c r="J5" s="620"/>
      <c r="K5" s="621"/>
      <c r="L5" s="619" t="s">
        <v>9</v>
      </c>
      <c r="M5" s="620"/>
      <c r="N5" s="620"/>
      <c r="O5" s="621"/>
      <c r="P5" s="619" t="s">
        <v>10</v>
      </c>
      <c r="Q5" s="620"/>
      <c r="R5" s="620"/>
      <c r="S5" s="621"/>
      <c r="T5" s="619" t="s">
        <v>1206</v>
      </c>
      <c r="U5" s="620"/>
      <c r="V5" s="620"/>
      <c r="W5" s="620"/>
      <c r="X5" s="621"/>
      <c r="Y5" s="618" t="s">
        <v>11</v>
      </c>
      <c r="Z5" s="618"/>
      <c r="AA5" s="618"/>
      <c r="AB5" s="631" t="s">
        <v>1186</v>
      </c>
      <c r="AC5" s="632"/>
      <c r="AD5" s="632"/>
      <c r="AE5" s="632"/>
      <c r="AF5" s="632"/>
      <c r="AG5" s="632"/>
      <c r="AH5" s="632"/>
      <c r="AI5" s="632"/>
      <c r="AJ5" s="632"/>
      <c r="AK5" s="632"/>
      <c r="AL5" s="632"/>
      <c r="AM5" s="632"/>
      <c r="AN5" s="632"/>
      <c r="AO5" s="632"/>
      <c r="AP5" s="632"/>
      <c r="AQ5" s="632"/>
      <c r="AR5" s="632"/>
      <c r="AS5" s="632"/>
      <c r="AT5" s="632"/>
      <c r="AU5" s="632"/>
      <c r="AV5" s="632"/>
      <c r="AW5" s="632"/>
      <c r="AX5" s="632"/>
      <c r="AY5" s="632"/>
      <c r="AZ5" s="632"/>
      <c r="BA5" s="632"/>
      <c r="BB5" s="632"/>
      <c r="BC5" s="632"/>
      <c r="BD5" s="632"/>
      <c r="BE5" s="632"/>
      <c r="BF5" s="632"/>
      <c r="BG5" s="632"/>
      <c r="BH5" s="633"/>
      <c r="BI5" s="638" t="s">
        <v>1461</v>
      </c>
    </row>
    <row r="6" spans="1:64" s="186" customFormat="1" ht="76.5" customHeight="1" x14ac:dyDescent="0.25">
      <c r="A6" s="612" t="s">
        <v>12</v>
      </c>
      <c r="B6" s="614" t="s">
        <v>13</v>
      </c>
      <c r="C6" s="614" t="s">
        <v>12</v>
      </c>
      <c r="D6" s="614" t="s">
        <v>13</v>
      </c>
      <c r="E6" s="614" t="s">
        <v>12</v>
      </c>
      <c r="F6" s="614" t="s">
        <v>13</v>
      </c>
      <c r="G6" s="614" t="s">
        <v>1210</v>
      </c>
      <c r="H6" s="614" t="s">
        <v>1211</v>
      </c>
      <c r="I6" s="614" t="s">
        <v>1217</v>
      </c>
      <c r="J6" s="614" t="s">
        <v>1212</v>
      </c>
      <c r="K6" s="625" t="s">
        <v>8</v>
      </c>
      <c r="L6" s="614" t="s">
        <v>14</v>
      </c>
      <c r="M6" s="614" t="s">
        <v>15</v>
      </c>
      <c r="N6" s="614" t="s">
        <v>16</v>
      </c>
      <c r="O6" s="614" t="s">
        <v>17</v>
      </c>
      <c r="P6" s="187" t="s">
        <v>14</v>
      </c>
      <c r="Q6" s="625" t="s">
        <v>18</v>
      </c>
      <c r="R6" s="625" t="s">
        <v>19</v>
      </c>
      <c r="S6" s="187" t="s">
        <v>20</v>
      </c>
      <c r="T6" s="614" t="s">
        <v>1458</v>
      </c>
      <c r="U6" s="614" t="s">
        <v>1207</v>
      </c>
      <c r="V6" s="614" t="s">
        <v>1457</v>
      </c>
      <c r="W6" s="614" t="s">
        <v>1490</v>
      </c>
      <c r="X6" s="614" t="s">
        <v>1450</v>
      </c>
      <c r="Y6" s="614" t="s">
        <v>21</v>
      </c>
      <c r="Z6" s="625" t="s">
        <v>22</v>
      </c>
      <c r="AA6" s="625" t="s">
        <v>23</v>
      </c>
      <c r="AB6" s="622" t="s">
        <v>1269</v>
      </c>
      <c r="AC6" s="623"/>
      <c r="AD6" s="624"/>
      <c r="AE6" s="622" t="s">
        <v>1187</v>
      </c>
      <c r="AF6" s="623"/>
      <c r="AG6" s="624"/>
      <c r="AH6" s="622" t="s">
        <v>24</v>
      </c>
      <c r="AI6" s="623"/>
      <c r="AJ6" s="624"/>
      <c r="AK6" s="622" t="s">
        <v>1268</v>
      </c>
      <c r="AL6" s="623"/>
      <c r="AM6" s="624"/>
      <c r="AN6" s="622" t="s">
        <v>1266</v>
      </c>
      <c r="AO6" s="623"/>
      <c r="AP6" s="624"/>
      <c r="AQ6" s="622" t="s">
        <v>25</v>
      </c>
      <c r="AR6" s="623"/>
      <c r="AS6" s="624"/>
      <c r="AT6" s="622" t="s">
        <v>26</v>
      </c>
      <c r="AU6" s="623"/>
      <c r="AV6" s="624"/>
      <c r="AW6" s="622" t="s">
        <v>1267</v>
      </c>
      <c r="AX6" s="623"/>
      <c r="AY6" s="624"/>
      <c r="AZ6" s="622" t="s">
        <v>1454</v>
      </c>
      <c r="BA6" s="623"/>
      <c r="BB6" s="624"/>
      <c r="BC6" s="622" t="s">
        <v>1188</v>
      </c>
      <c r="BD6" s="623"/>
      <c r="BE6" s="624"/>
      <c r="BF6" s="622" t="s">
        <v>1453</v>
      </c>
      <c r="BG6" s="623"/>
      <c r="BH6" s="624"/>
      <c r="BI6" s="639"/>
    </row>
    <row r="7" spans="1:64" s="186" customFormat="1" ht="29.25" customHeight="1" x14ac:dyDescent="0.25">
      <c r="A7" s="613"/>
      <c r="B7" s="615"/>
      <c r="C7" s="615"/>
      <c r="D7" s="615"/>
      <c r="E7" s="615"/>
      <c r="F7" s="615"/>
      <c r="G7" s="615"/>
      <c r="H7" s="615"/>
      <c r="I7" s="615"/>
      <c r="J7" s="615"/>
      <c r="K7" s="626"/>
      <c r="L7" s="615"/>
      <c r="M7" s="615"/>
      <c r="N7" s="615"/>
      <c r="O7" s="615"/>
      <c r="P7" s="187"/>
      <c r="Q7" s="626"/>
      <c r="R7" s="626"/>
      <c r="S7" s="187"/>
      <c r="T7" s="615"/>
      <c r="U7" s="615"/>
      <c r="V7" s="615"/>
      <c r="W7" s="615"/>
      <c r="X7" s="615"/>
      <c r="Y7" s="615"/>
      <c r="Z7" s="626"/>
      <c r="AA7" s="626"/>
      <c r="AB7" s="470" t="s">
        <v>1329</v>
      </c>
      <c r="AC7" s="470" t="s">
        <v>1421</v>
      </c>
      <c r="AD7" s="470" t="s">
        <v>1451</v>
      </c>
      <c r="AE7" s="470" t="s">
        <v>1329</v>
      </c>
      <c r="AF7" s="470" t="s">
        <v>1421</v>
      </c>
      <c r="AG7" s="470" t="s">
        <v>1451</v>
      </c>
      <c r="AH7" s="470" t="s">
        <v>1329</v>
      </c>
      <c r="AI7" s="470" t="s">
        <v>1421</v>
      </c>
      <c r="AJ7" s="470" t="s">
        <v>1451</v>
      </c>
      <c r="AK7" s="470" t="s">
        <v>1329</v>
      </c>
      <c r="AL7" s="470" t="s">
        <v>1421</v>
      </c>
      <c r="AM7" s="470" t="s">
        <v>1451</v>
      </c>
      <c r="AN7" s="470" t="s">
        <v>1329</v>
      </c>
      <c r="AO7" s="470" t="s">
        <v>1421</v>
      </c>
      <c r="AP7" s="470" t="s">
        <v>1451</v>
      </c>
      <c r="AQ7" s="470" t="s">
        <v>1329</v>
      </c>
      <c r="AR7" s="470" t="s">
        <v>1421</v>
      </c>
      <c r="AS7" s="470" t="s">
        <v>1451</v>
      </c>
      <c r="AT7" s="470" t="s">
        <v>1329</v>
      </c>
      <c r="AU7" s="470" t="s">
        <v>1421</v>
      </c>
      <c r="AV7" s="470" t="s">
        <v>1451</v>
      </c>
      <c r="AW7" s="470" t="s">
        <v>1329</v>
      </c>
      <c r="AX7" s="470" t="s">
        <v>1421</v>
      </c>
      <c r="AY7" s="470" t="s">
        <v>1451</v>
      </c>
      <c r="AZ7" s="470" t="s">
        <v>1329</v>
      </c>
      <c r="BA7" s="470" t="s">
        <v>1421</v>
      </c>
      <c r="BB7" s="470" t="s">
        <v>1451</v>
      </c>
      <c r="BC7" s="470" t="s">
        <v>1329</v>
      </c>
      <c r="BD7" s="470" t="s">
        <v>1421</v>
      </c>
      <c r="BE7" s="470" t="s">
        <v>1451</v>
      </c>
      <c r="BF7" s="470" t="s">
        <v>1329</v>
      </c>
      <c r="BG7" s="470" t="s">
        <v>1421</v>
      </c>
      <c r="BH7" s="470" t="s">
        <v>1451</v>
      </c>
      <c r="BI7" s="640"/>
    </row>
    <row r="8" spans="1:64" s="326" customFormat="1" ht="117" customHeight="1" x14ac:dyDescent="0.2">
      <c r="A8" s="312">
        <v>304</v>
      </c>
      <c r="B8" s="313" t="s">
        <v>1190</v>
      </c>
      <c r="C8" s="312">
        <v>4</v>
      </c>
      <c r="D8" s="314" t="s">
        <v>1191</v>
      </c>
      <c r="E8" s="312">
        <v>45</v>
      </c>
      <c r="F8" s="314" t="s">
        <v>28</v>
      </c>
      <c r="G8" s="312" t="s">
        <v>31</v>
      </c>
      <c r="H8" s="314" t="s">
        <v>1226</v>
      </c>
      <c r="I8" s="312">
        <v>4599</v>
      </c>
      <c r="J8" s="315" t="s">
        <v>1227</v>
      </c>
      <c r="K8" s="315" t="s">
        <v>30</v>
      </c>
      <c r="L8" s="312" t="s">
        <v>31</v>
      </c>
      <c r="M8" s="315" t="s">
        <v>32</v>
      </c>
      <c r="N8" s="312">
        <v>4599023</v>
      </c>
      <c r="O8" s="315" t="s">
        <v>33</v>
      </c>
      <c r="P8" s="312" t="s">
        <v>31</v>
      </c>
      <c r="Q8" s="316" t="s">
        <v>34</v>
      </c>
      <c r="R8" s="312">
        <v>459902300</v>
      </c>
      <c r="S8" s="316" t="s">
        <v>35</v>
      </c>
      <c r="T8" s="317" t="s">
        <v>1459</v>
      </c>
      <c r="U8" s="318">
        <v>5</v>
      </c>
      <c r="V8" s="318"/>
      <c r="W8" s="318">
        <f>U8+V8</f>
        <v>5</v>
      </c>
      <c r="X8" s="319">
        <v>4.0999999999999996</v>
      </c>
      <c r="Y8" s="320">
        <v>2020003630006</v>
      </c>
      <c r="Z8" s="315" t="s">
        <v>36</v>
      </c>
      <c r="AA8" s="321" t="s">
        <v>37</v>
      </c>
      <c r="AB8" s="322"/>
      <c r="AC8" s="322"/>
      <c r="AD8" s="322"/>
      <c r="AE8" s="322"/>
      <c r="AF8" s="322"/>
      <c r="AG8" s="322"/>
      <c r="AH8" s="322"/>
      <c r="AI8" s="322"/>
      <c r="AJ8" s="322"/>
      <c r="AK8" s="322"/>
      <c r="AL8" s="322"/>
      <c r="AM8" s="322"/>
      <c r="AN8" s="322"/>
      <c r="AO8" s="322"/>
      <c r="AP8" s="322"/>
      <c r="AQ8" s="322"/>
      <c r="AR8" s="322"/>
      <c r="AS8" s="322"/>
      <c r="AT8" s="330">
        <f>36000000+11320000+3745644+30620000+36835000-3745644</f>
        <v>114775000</v>
      </c>
      <c r="AU8" s="331">
        <v>114635000</v>
      </c>
      <c r="AV8" s="331">
        <v>114635000</v>
      </c>
      <c r="AW8" s="323"/>
      <c r="AX8" s="322"/>
      <c r="AY8" s="322"/>
      <c r="AZ8" s="324"/>
      <c r="BA8" s="322"/>
      <c r="BB8" s="322"/>
      <c r="BC8" s="323"/>
      <c r="BD8" s="322"/>
      <c r="BE8" s="322"/>
      <c r="BF8" s="462">
        <f t="shared" ref="BF8:BH11" si="0">AB8+AE8+AH8+AK8+AN8+AQ8+AT8+AW8+BC8</f>
        <v>114775000</v>
      </c>
      <c r="BG8" s="462">
        <f t="shared" si="0"/>
        <v>114635000</v>
      </c>
      <c r="BH8" s="462">
        <f t="shared" si="0"/>
        <v>114635000</v>
      </c>
      <c r="BI8" s="325" t="s">
        <v>1464</v>
      </c>
      <c r="BK8" s="327"/>
      <c r="BL8" s="328"/>
    </row>
    <row r="9" spans="1:64" s="326" customFormat="1" ht="117" customHeight="1" x14ac:dyDescent="0.2">
      <c r="A9" s="312">
        <v>304</v>
      </c>
      <c r="B9" s="313" t="s">
        <v>1190</v>
      </c>
      <c r="C9" s="312">
        <v>4</v>
      </c>
      <c r="D9" s="314" t="s">
        <v>1191</v>
      </c>
      <c r="E9" s="312">
        <v>45</v>
      </c>
      <c r="F9" s="314" t="s">
        <v>28</v>
      </c>
      <c r="G9" s="312" t="s">
        <v>31</v>
      </c>
      <c r="H9" s="314" t="s">
        <v>1226</v>
      </c>
      <c r="I9" s="312">
        <v>4599</v>
      </c>
      <c r="J9" s="315" t="s">
        <v>1227</v>
      </c>
      <c r="K9" s="315" t="s">
        <v>30</v>
      </c>
      <c r="L9" s="312" t="s">
        <v>31</v>
      </c>
      <c r="M9" s="315" t="s">
        <v>38</v>
      </c>
      <c r="N9" s="312">
        <v>4599002</v>
      </c>
      <c r="O9" s="315" t="s">
        <v>39</v>
      </c>
      <c r="P9" s="312" t="s">
        <v>31</v>
      </c>
      <c r="Q9" s="316" t="s">
        <v>40</v>
      </c>
      <c r="R9" s="312">
        <v>459900200</v>
      </c>
      <c r="S9" s="316" t="s">
        <v>1124</v>
      </c>
      <c r="T9" s="317" t="s">
        <v>1459</v>
      </c>
      <c r="U9" s="318">
        <v>4</v>
      </c>
      <c r="V9" s="318"/>
      <c r="W9" s="318">
        <f t="shared" ref="W9:W79" si="1">U9+V9</f>
        <v>4</v>
      </c>
      <c r="X9" s="319">
        <v>4</v>
      </c>
      <c r="Y9" s="320">
        <v>2020003630007</v>
      </c>
      <c r="Z9" s="315" t="s">
        <v>41</v>
      </c>
      <c r="AA9" s="321" t="s">
        <v>42</v>
      </c>
      <c r="AB9" s="322"/>
      <c r="AC9" s="322"/>
      <c r="AD9" s="322"/>
      <c r="AE9" s="322"/>
      <c r="AF9" s="322"/>
      <c r="AG9" s="322"/>
      <c r="AH9" s="322"/>
      <c r="AI9" s="322"/>
      <c r="AJ9" s="322"/>
      <c r="AK9" s="322"/>
      <c r="AL9" s="322"/>
      <c r="AM9" s="322"/>
      <c r="AN9" s="322"/>
      <c r="AO9" s="322"/>
      <c r="AP9" s="322"/>
      <c r="AQ9" s="322"/>
      <c r="AR9" s="322"/>
      <c r="AS9" s="322"/>
      <c r="AT9" s="392">
        <f>50000000-6450000+27980000+24280000+50000000</f>
        <v>145810000</v>
      </c>
      <c r="AU9" s="365">
        <v>145700497</v>
      </c>
      <c r="AV9" s="365">
        <v>145700497</v>
      </c>
      <c r="AW9" s="323"/>
      <c r="AX9" s="322"/>
      <c r="AY9" s="322"/>
      <c r="AZ9" s="324"/>
      <c r="BA9" s="322"/>
      <c r="BB9" s="322"/>
      <c r="BC9" s="323"/>
      <c r="BD9" s="322"/>
      <c r="BE9" s="322"/>
      <c r="BF9" s="462">
        <f t="shared" si="0"/>
        <v>145810000</v>
      </c>
      <c r="BG9" s="462">
        <f t="shared" si="0"/>
        <v>145700497</v>
      </c>
      <c r="BH9" s="462">
        <f t="shared" si="0"/>
        <v>145700497</v>
      </c>
      <c r="BI9" s="325" t="s">
        <v>1464</v>
      </c>
      <c r="BK9" s="327"/>
      <c r="BL9" s="328"/>
    </row>
    <row r="10" spans="1:64" s="326" customFormat="1" ht="117" customHeight="1" x14ac:dyDescent="0.2">
      <c r="A10" s="312">
        <v>304</v>
      </c>
      <c r="B10" s="313" t="s">
        <v>1190</v>
      </c>
      <c r="C10" s="312">
        <v>4</v>
      </c>
      <c r="D10" s="314" t="s">
        <v>1191</v>
      </c>
      <c r="E10" s="312">
        <v>45</v>
      </c>
      <c r="F10" s="314" t="s">
        <v>28</v>
      </c>
      <c r="G10" s="312" t="s">
        <v>31</v>
      </c>
      <c r="H10" s="314" t="s">
        <v>1226</v>
      </c>
      <c r="I10" s="312">
        <v>4599</v>
      </c>
      <c r="J10" s="315" t="s">
        <v>1227</v>
      </c>
      <c r="K10" s="315" t="s">
        <v>30</v>
      </c>
      <c r="L10" s="312" t="s">
        <v>31</v>
      </c>
      <c r="M10" s="315" t="s">
        <v>43</v>
      </c>
      <c r="N10" s="312">
        <v>4599023</v>
      </c>
      <c r="O10" s="315" t="s">
        <v>33</v>
      </c>
      <c r="P10" s="312" t="s">
        <v>31</v>
      </c>
      <c r="Q10" s="316" t="s">
        <v>44</v>
      </c>
      <c r="R10" s="312">
        <v>459902301</v>
      </c>
      <c r="S10" s="316" t="s">
        <v>45</v>
      </c>
      <c r="T10" s="317" t="s">
        <v>1459</v>
      </c>
      <c r="U10" s="318">
        <v>1</v>
      </c>
      <c r="V10" s="318"/>
      <c r="W10" s="318">
        <f t="shared" si="1"/>
        <v>1</v>
      </c>
      <c r="X10" s="319">
        <v>1</v>
      </c>
      <c r="Y10" s="320">
        <v>2020003630041</v>
      </c>
      <c r="Z10" s="315" t="s">
        <v>46</v>
      </c>
      <c r="AA10" s="321" t="s">
        <v>1189</v>
      </c>
      <c r="AB10" s="322"/>
      <c r="AC10" s="322"/>
      <c r="AD10" s="322"/>
      <c r="AE10" s="322"/>
      <c r="AF10" s="322"/>
      <c r="AG10" s="322"/>
      <c r="AH10" s="322"/>
      <c r="AI10" s="322"/>
      <c r="AJ10" s="322"/>
      <c r="AK10" s="322"/>
      <c r="AL10" s="322"/>
      <c r="AM10" s="322"/>
      <c r="AN10" s="322"/>
      <c r="AO10" s="322"/>
      <c r="AP10" s="322"/>
      <c r="AQ10" s="322"/>
      <c r="AR10" s="322"/>
      <c r="AS10" s="322"/>
      <c r="AT10" s="392">
        <f>30000000-5260000+6000000</f>
        <v>30740000</v>
      </c>
      <c r="AU10" s="365">
        <v>30700000</v>
      </c>
      <c r="AV10" s="365">
        <v>30700000</v>
      </c>
      <c r="AW10" s="323"/>
      <c r="AX10" s="322"/>
      <c r="AY10" s="322"/>
      <c r="AZ10" s="324"/>
      <c r="BA10" s="322"/>
      <c r="BB10" s="322"/>
      <c r="BC10" s="323"/>
      <c r="BD10" s="322"/>
      <c r="BE10" s="322"/>
      <c r="BF10" s="462">
        <f t="shared" si="0"/>
        <v>30740000</v>
      </c>
      <c r="BG10" s="462">
        <f t="shared" si="0"/>
        <v>30700000</v>
      </c>
      <c r="BH10" s="462">
        <f t="shared" si="0"/>
        <v>30700000</v>
      </c>
      <c r="BI10" s="325" t="s">
        <v>1464</v>
      </c>
      <c r="BK10" s="327"/>
      <c r="BL10" s="328"/>
    </row>
    <row r="11" spans="1:64" s="326" customFormat="1" ht="117" customHeight="1" x14ac:dyDescent="0.2">
      <c r="A11" s="312">
        <v>304</v>
      </c>
      <c r="B11" s="313" t="s">
        <v>1190</v>
      </c>
      <c r="C11" s="312">
        <v>4</v>
      </c>
      <c r="D11" s="314" t="s">
        <v>1191</v>
      </c>
      <c r="E11" s="312">
        <v>45</v>
      </c>
      <c r="F11" s="314" t="s">
        <v>28</v>
      </c>
      <c r="G11" s="312">
        <v>4502</v>
      </c>
      <c r="H11" s="314" t="s">
        <v>1223</v>
      </c>
      <c r="I11" s="312">
        <v>4502</v>
      </c>
      <c r="J11" s="315" t="s">
        <v>1222</v>
      </c>
      <c r="K11" s="315" t="s">
        <v>48</v>
      </c>
      <c r="L11" s="312" t="s">
        <v>31</v>
      </c>
      <c r="M11" s="315" t="s">
        <v>49</v>
      </c>
      <c r="N11" s="312">
        <v>4502033</v>
      </c>
      <c r="O11" s="315" t="s">
        <v>50</v>
      </c>
      <c r="P11" s="312" t="s">
        <v>31</v>
      </c>
      <c r="Q11" s="316" t="s">
        <v>51</v>
      </c>
      <c r="R11" s="329">
        <v>450203300</v>
      </c>
      <c r="S11" s="316" t="s">
        <v>52</v>
      </c>
      <c r="T11" s="317" t="s">
        <v>1459</v>
      </c>
      <c r="U11" s="318">
        <v>1</v>
      </c>
      <c r="V11" s="318"/>
      <c r="W11" s="318">
        <f t="shared" si="1"/>
        <v>1</v>
      </c>
      <c r="X11" s="319">
        <v>1</v>
      </c>
      <c r="Y11" s="320">
        <v>2020003630005</v>
      </c>
      <c r="Z11" s="315" t="s">
        <v>53</v>
      </c>
      <c r="AA11" s="321" t="s">
        <v>54</v>
      </c>
      <c r="AB11" s="322"/>
      <c r="AC11" s="322"/>
      <c r="AD11" s="322"/>
      <c r="AE11" s="322"/>
      <c r="AF11" s="322"/>
      <c r="AG11" s="322"/>
      <c r="AH11" s="322"/>
      <c r="AI11" s="322"/>
      <c r="AJ11" s="322"/>
      <c r="AK11" s="322"/>
      <c r="AL11" s="322"/>
      <c r="AM11" s="322"/>
      <c r="AN11" s="322"/>
      <c r="AO11" s="322"/>
      <c r="AP11" s="322"/>
      <c r="AQ11" s="322"/>
      <c r="AR11" s="322"/>
      <c r="AS11" s="322"/>
      <c r="AT11" s="375">
        <f>40000000+390000+11743158+24740000+2885000-11743158</f>
        <v>68015000</v>
      </c>
      <c r="AU11" s="346">
        <v>67936833</v>
      </c>
      <c r="AV11" s="346">
        <v>67936833</v>
      </c>
      <c r="AW11" s="323"/>
      <c r="AX11" s="322"/>
      <c r="AY11" s="322"/>
      <c r="AZ11" s="324"/>
      <c r="BA11" s="322"/>
      <c r="BB11" s="322"/>
      <c r="BC11" s="323"/>
      <c r="BD11" s="322"/>
      <c r="BE11" s="322"/>
      <c r="BF11" s="462">
        <f t="shared" si="0"/>
        <v>68015000</v>
      </c>
      <c r="BG11" s="462">
        <f t="shared" si="0"/>
        <v>67936833</v>
      </c>
      <c r="BH11" s="462">
        <f t="shared" si="0"/>
        <v>67936833</v>
      </c>
      <c r="BI11" s="325" t="s">
        <v>1464</v>
      </c>
      <c r="BK11" s="327"/>
      <c r="BL11" s="328"/>
    </row>
    <row r="12" spans="1:64" s="326" customFormat="1" ht="117" customHeight="1" x14ac:dyDescent="0.2">
      <c r="A12" s="312">
        <v>304</v>
      </c>
      <c r="B12" s="313" t="s">
        <v>1190</v>
      </c>
      <c r="C12" s="312">
        <v>4</v>
      </c>
      <c r="D12" s="314" t="s">
        <v>1191</v>
      </c>
      <c r="E12" s="312">
        <v>45</v>
      </c>
      <c r="F12" s="314" t="s">
        <v>28</v>
      </c>
      <c r="G12" s="312" t="s">
        <v>31</v>
      </c>
      <c r="H12" s="314" t="s">
        <v>1226</v>
      </c>
      <c r="I12" s="312">
        <v>4599</v>
      </c>
      <c r="J12" s="315" t="s">
        <v>1227</v>
      </c>
      <c r="K12" s="315" t="s">
        <v>30</v>
      </c>
      <c r="L12" s="312" t="s">
        <v>31</v>
      </c>
      <c r="M12" s="315" t="s">
        <v>32</v>
      </c>
      <c r="N12" s="312">
        <v>4599023</v>
      </c>
      <c r="O12" s="315" t="s">
        <v>33</v>
      </c>
      <c r="P12" s="312" t="s">
        <v>31</v>
      </c>
      <c r="Q12" s="316" t="s">
        <v>34</v>
      </c>
      <c r="R12" s="312">
        <v>459902300</v>
      </c>
      <c r="S12" s="316" t="s">
        <v>35</v>
      </c>
      <c r="T12" s="317" t="s">
        <v>1459</v>
      </c>
      <c r="U12" s="318">
        <v>1</v>
      </c>
      <c r="V12" s="318"/>
      <c r="W12" s="318">
        <f>U12+V12</f>
        <v>1</v>
      </c>
      <c r="X12" s="319">
        <v>0</v>
      </c>
      <c r="Y12" s="320">
        <v>2022003630011</v>
      </c>
      <c r="Z12" s="315" t="s">
        <v>1508</v>
      </c>
      <c r="AA12" s="321" t="s">
        <v>1509</v>
      </c>
      <c r="AB12" s="322"/>
      <c r="AC12" s="322"/>
      <c r="AD12" s="322"/>
      <c r="AE12" s="322"/>
      <c r="AF12" s="322"/>
      <c r="AG12" s="322"/>
      <c r="AH12" s="322"/>
      <c r="AI12" s="322"/>
      <c r="AJ12" s="322"/>
      <c r="AK12" s="322"/>
      <c r="AL12" s="322"/>
      <c r="AM12" s="322"/>
      <c r="AN12" s="322"/>
      <c r="AO12" s="322"/>
      <c r="AP12" s="322"/>
      <c r="AQ12" s="322"/>
      <c r="AR12" s="322"/>
      <c r="AS12" s="322"/>
      <c r="AT12" s="330"/>
      <c r="AU12" s="331"/>
      <c r="AV12" s="331"/>
      <c r="AW12" s="323"/>
      <c r="AX12" s="322"/>
      <c r="AY12" s="322"/>
      <c r="AZ12" s="324">
        <v>9400000000</v>
      </c>
      <c r="BA12" s="322"/>
      <c r="BB12" s="322"/>
      <c r="BC12" s="323"/>
      <c r="BD12" s="322"/>
      <c r="BE12" s="322"/>
      <c r="BF12" s="462">
        <f>AB12+AE12+AH12+AK12+AN12+AQ12+AT12+AW12+BC12+AZ12</f>
        <v>9400000000</v>
      </c>
      <c r="BG12" s="462">
        <f>AC12+AF12+AI12+AL12+AO12+AR12+AU12+AX12+BD12+BA12</f>
        <v>0</v>
      </c>
      <c r="BH12" s="462">
        <f>AD12+AG12+AJ12+AM12+AP12+AS12+AV12+AY12+BE12+BB12</f>
        <v>0</v>
      </c>
      <c r="BI12" s="325" t="s">
        <v>1464</v>
      </c>
      <c r="BK12" s="327"/>
      <c r="BL12" s="328"/>
    </row>
    <row r="13" spans="1:64" s="326" customFormat="1" ht="117" customHeight="1" x14ac:dyDescent="0.2">
      <c r="A13" s="312">
        <v>305</v>
      </c>
      <c r="B13" s="314" t="s">
        <v>1192</v>
      </c>
      <c r="C13" s="312">
        <v>4</v>
      </c>
      <c r="D13" s="314" t="s">
        <v>1191</v>
      </c>
      <c r="E13" s="312">
        <v>45</v>
      </c>
      <c r="F13" s="314" t="s">
        <v>28</v>
      </c>
      <c r="G13" s="312">
        <v>4502</v>
      </c>
      <c r="H13" s="314" t="s">
        <v>1223</v>
      </c>
      <c r="I13" s="312">
        <v>4502</v>
      </c>
      <c r="J13" s="315" t="s">
        <v>1222</v>
      </c>
      <c r="K13" s="315" t="s">
        <v>56</v>
      </c>
      <c r="L13" s="312" t="s">
        <v>31</v>
      </c>
      <c r="M13" s="315" t="s">
        <v>57</v>
      </c>
      <c r="N13" s="312">
        <v>4502001</v>
      </c>
      <c r="O13" s="315" t="s">
        <v>58</v>
      </c>
      <c r="P13" s="312" t="s">
        <v>31</v>
      </c>
      <c r="Q13" s="316" t="s">
        <v>59</v>
      </c>
      <c r="R13" s="329">
        <v>450200100</v>
      </c>
      <c r="S13" s="316" t="s">
        <v>60</v>
      </c>
      <c r="T13" s="317" t="s">
        <v>1459</v>
      </c>
      <c r="U13" s="318">
        <v>1</v>
      </c>
      <c r="V13" s="318"/>
      <c r="W13" s="318">
        <f t="shared" si="1"/>
        <v>1</v>
      </c>
      <c r="X13" s="319">
        <v>1</v>
      </c>
      <c r="Y13" s="320">
        <v>2020003630042</v>
      </c>
      <c r="Z13" s="315" t="s">
        <v>61</v>
      </c>
      <c r="AA13" s="321" t="s">
        <v>62</v>
      </c>
      <c r="AB13" s="322"/>
      <c r="AC13" s="322"/>
      <c r="AD13" s="322"/>
      <c r="AE13" s="322"/>
      <c r="AF13" s="322"/>
      <c r="AG13" s="322"/>
      <c r="AH13" s="322"/>
      <c r="AI13" s="322"/>
      <c r="AJ13" s="322"/>
      <c r="AK13" s="322"/>
      <c r="AL13" s="322"/>
      <c r="AM13" s="322"/>
      <c r="AN13" s="322"/>
      <c r="AO13" s="322"/>
      <c r="AP13" s="322"/>
      <c r="AQ13" s="322"/>
      <c r="AR13" s="322"/>
      <c r="AS13" s="322"/>
      <c r="AT13" s="343">
        <f>140000000+5495777+15787082-5495777</f>
        <v>155787082</v>
      </c>
      <c r="AU13" s="342">
        <v>140276273</v>
      </c>
      <c r="AV13" s="342">
        <v>140276273</v>
      </c>
      <c r="AW13" s="323"/>
      <c r="AX13" s="322"/>
      <c r="AY13" s="322"/>
      <c r="AZ13" s="324"/>
      <c r="BA13" s="322"/>
      <c r="BB13" s="322"/>
      <c r="BC13" s="323"/>
      <c r="BD13" s="322"/>
      <c r="BE13" s="322"/>
      <c r="BF13" s="462">
        <f t="shared" ref="BF13:BF26" si="2">AB13+AE13+AH13+AK13+AN13+AQ13+AT13+AW13+BC13</f>
        <v>155787082</v>
      </c>
      <c r="BG13" s="462">
        <f t="shared" ref="BG13:BG26" si="3">AC13+AF13+AI13+AL13+AO13+AR13+AU13+AX13+BD13</f>
        <v>140276273</v>
      </c>
      <c r="BH13" s="462">
        <f t="shared" ref="BH13:BH26" si="4">AD13+AG13+AJ13+AM13+AP13+AS13+AV13+AY13+BE13</f>
        <v>140276273</v>
      </c>
      <c r="BI13" s="332" t="s">
        <v>1465</v>
      </c>
      <c r="BK13" s="327"/>
      <c r="BL13" s="328"/>
    </row>
    <row r="14" spans="1:64" s="326" customFormat="1" ht="117" customHeight="1" x14ac:dyDescent="0.2">
      <c r="A14" s="312">
        <v>305</v>
      </c>
      <c r="B14" s="314" t="s">
        <v>1192</v>
      </c>
      <c r="C14" s="312">
        <v>4</v>
      </c>
      <c r="D14" s="314" t="s">
        <v>1191</v>
      </c>
      <c r="E14" s="312">
        <v>45</v>
      </c>
      <c r="F14" s="314" t="s">
        <v>28</v>
      </c>
      <c r="G14" s="312">
        <v>4502</v>
      </c>
      <c r="H14" s="314" t="s">
        <v>1223</v>
      </c>
      <c r="I14" s="312">
        <v>4502</v>
      </c>
      <c r="J14" s="315" t="s">
        <v>1222</v>
      </c>
      <c r="K14" s="315" t="s">
        <v>48</v>
      </c>
      <c r="L14" s="312" t="s">
        <v>31</v>
      </c>
      <c r="M14" s="333" t="s">
        <v>63</v>
      </c>
      <c r="N14" s="329">
        <v>4502001</v>
      </c>
      <c r="O14" s="333" t="s">
        <v>58</v>
      </c>
      <c r="P14" s="312" t="s">
        <v>31</v>
      </c>
      <c r="Q14" s="316" t="s">
        <v>64</v>
      </c>
      <c r="R14" s="329">
        <v>450200101</v>
      </c>
      <c r="S14" s="316" t="s">
        <v>1125</v>
      </c>
      <c r="T14" s="317" t="s">
        <v>1459</v>
      </c>
      <c r="U14" s="318">
        <v>12</v>
      </c>
      <c r="V14" s="318"/>
      <c r="W14" s="318">
        <f t="shared" si="1"/>
        <v>12</v>
      </c>
      <c r="X14" s="319">
        <v>12</v>
      </c>
      <c r="Y14" s="320">
        <v>2020003630043</v>
      </c>
      <c r="Z14" s="315" t="s">
        <v>1334</v>
      </c>
      <c r="AA14" s="321" t="s">
        <v>66</v>
      </c>
      <c r="AB14" s="322"/>
      <c r="AC14" s="322"/>
      <c r="AD14" s="322"/>
      <c r="AE14" s="322"/>
      <c r="AF14" s="322"/>
      <c r="AG14" s="322"/>
      <c r="AH14" s="322"/>
      <c r="AI14" s="322"/>
      <c r="AJ14" s="322"/>
      <c r="AK14" s="322"/>
      <c r="AL14" s="322"/>
      <c r="AM14" s="322"/>
      <c r="AN14" s="322"/>
      <c r="AO14" s="322"/>
      <c r="AP14" s="322"/>
      <c r="AQ14" s="322"/>
      <c r="AR14" s="322"/>
      <c r="AS14" s="322"/>
      <c r="AT14" s="343">
        <f>35000000-6515833</f>
        <v>28484167</v>
      </c>
      <c r="AU14" s="342">
        <v>28313000</v>
      </c>
      <c r="AV14" s="342">
        <v>28313000</v>
      </c>
      <c r="AW14" s="323"/>
      <c r="AX14" s="322"/>
      <c r="AY14" s="322"/>
      <c r="AZ14" s="324"/>
      <c r="BA14" s="322"/>
      <c r="BB14" s="322"/>
      <c r="BC14" s="323"/>
      <c r="BD14" s="322"/>
      <c r="BE14" s="322"/>
      <c r="BF14" s="462">
        <f t="shared" si="2"/>
        <v>28484167</v>
      </c>
      <c r="BG14" s="462">
        <f t="shared" si="3"/>
        <v>28313000</v>
      </c>
      <c r="BH14" s="462">
        <f t="shared" si="4"/>
        <v>28313000</v>
      </c>
      <c r="BI14" s="332" t="s">
        <v>1465</v>
      </c>
      <c r="BK14" s="327"/>
      <c r="BL14" s="328"/>
    </row>
    <row r="15" spans="1:64" s="326" customFormat="1" ht="117" customHeight="1" x14ac:dyDescent="0.2">
      <c r="A15" s="312">
        <v>305</v>
      </c>
      <c r="B15" s="314" t="s">
        <v>1192</v>
      </c>
      <c r="C15" s="312">
        <v>4</v>
      </c>
      <c r="D15" s="314" t="s">
        <v>1191</v>
      </c>
      <c r="E15" s="312">
        <v>45</v>
      </c>
      <c r="F15" s="314" t="s">
        <v>28</v>
      </c>
      <c r="G15" s="312" t="s">
        <v>31</v>
      </c>
      <c r="H15" s="314" t="s">
        <v>1226</v>
      </c>
      <c r="I15" s="312">
        <v>4599</v>
      </c>
      <c r="J15" s="315" t="s">
        <v>1227</v>
      </c>
      <c r="K15" s="315" t="s">
        <v>30</v>
      </c>
      <c r="L15" s="312" t="s">
        <v>31</v>
      </c>
      <c r="M15" s="315" t="s">
        <v>67</v>
      </c>
      <c r="N15" s="312">
        <v>4599018</v>
      </c>
      <c r="O15" s="315" t="s">
        <v>68</v>
      </c>
      <c r="P15" s="312" t="s">
        <v>31</v>
      </c>
      <c r="Q15" s="315" t="s">
        <v>69</v>
      </c>
      <c r="R15" s="312">
        <v>459901800</v>
      </c>
      <c r="S15" s="316" t="s">
        <v>70</v>
      </c>
      <c r="T15" s="317" t="s">
        <v>1459</v>
      </c>
      <c r="U15" s="320">
        <v>5</v>
      </c>
      <c r="V15" s="320"/>
      <c r="W15" s="318">
        <f t="shared" si="1"/>
        <v>5</v>
      </c>
      <c r="X15" s="312">
        <v>5</v>
      </c>
      <c r="Y15" s="320">
        <v>2020003630044</v>
      </c>
      <c r="Z15" s="315" t="s">
        <v>1335</v>
      </c>
      <c r="AA15" s="321" t="s">
        <v>72</v>
      </c>
      <c r="AB15" s="322"/>
      <c r="AC15" s="322"/>
      <c r="AD15" s="322"/>
      <c r="AE15" s="322"/>
      <c r="AF15" s="322"/>
      <c r="AG15" s="322"/>
      <c r="AH15" s="322"/>
      <c r="AI15" s="322"/>
      <c r="AJ15" s="322"/>
      <c r="AK15" s="322"/>
      <c r="AL15" s="322"/>
      <c r="AM15" s="322"/>
      <c r="AN15" s="322"/>
      <c r="AO15" s="322"/>
      <c r="AP15" s="322"/>
      <c r="AQ15" s="322"/>
      <c r="AR15" s="322"/>
      <c r="AS15" s="322"/>
      <c r="AT15" s="343">
        <f>144000000+71000000+30000000+4339150</f>
        <v>249339150</v>
      </c>
      <c r="AU15" s="342">
        <v>236833968</v>
      </c>
      <c r="AV15" s="342">
        <v>236833968</v>
      </c>
      <c r="AW15" s="323"/>
      <c r="AX15" s="322"/>
      <c r="AY15" s="322"/>
      <c r="AZ15" s="324"/>
      <c r="BA15" s="322"/>
      <c r="BB15" s="322"/>
      <c r="BC15" s="323"/>
      <c r="BD15" s="322"/>
      <c r="BE15" s="322"/>
      <c r="BF15" s="462">
        <f t="shared" si="2"/>
        <v>249339150</v>
      </c>
      <c r="BG15" s="462">
        <f t="shared" si="3"/>
        <v>236833968</v>
      </c>
      <c r="BH15" s="462">
        <f t="shared" si="4"/>
        <v>236833968</v>
      </c>
      <c r="BI15" s="332" t="s">
        <v>1465</v>
      </c>
      <c r="BK15" s="327"/>
      <c r="BL15" s="328"/>
    </row>
    <row r="16" spans="1:64" s="326" customFormat="1" ht="117" customHeight="1" x14ac:dyDescent="0.2">
      <c r="A16" s="312">
        <v>305</v>
      </c>
      <c r="B16" s="314" t="s">
        <v>1192</v>
      </c>
      <c r="C16" s="312">
        <v>4</v>
      </c>
      <c r="D16" s="314" t="s">
        <v>1191</v>
      </c>
      <c r="E16" s="312">
        <v>45</v>
      </c>
      <c r="F16" s="314" t="s">
        <v>28</v>
      </c>
      <c r="G16" s="312" t="s">
        <v>31</v>
      </c>
      <c r="H16" s="314" t="s">
        <v>1226</v>
      </c>
      <c r="I16" s="312">
        <v>4599</v>
      </c>
      <c r="J16" s="315" t="s">
        <v>1227</v>
      </c>
      <c r="K16" s="315" t="s">
        <v>30</v>
      </c>
      <c r="L16" s="312" t="s">
        <v>31</v>
      </c>
      <c r="M16" s="315" t="s">
        <v>73</v>
      </c>
      <c r="N16" s="312">
        <v>4599025</v>
      </c>
      <c r="O16" s="315" t="s">
        <v>74</v>
      </c>
      <c r="P16" s="312" t="s">
        <v>31</v>
      </c>
      <c r="Q16" s="316" t="s">
        <v>75</v>
      </c>
      <c r="R16" s="312">
        <v>459902500</v>
      </c>
      <c r="S16" s="316" t="s">
        <v>76</v>
      </c>
      <c r="T16" s="317" t="s">
        <v>1459</v>
      </c>
      <c r="U16" s="320">
        <v>1</v>
      </c>
      <c r="V16" s="320"/>
      <c r="W16" s="318">
        <f t="shared" si="1"/>
        <v>1</v>
      </c>
      <c r="X16" s="312">
        <v>1</v>
      </c>
      <c r="Y16" s="320">
        <v>2020003630045</v>
      </c>
      <c r="Z16" s="315" t="s">
        <v>1336</v>
      </c>
      <c r="AA16" s="321" t="s">
        <v>78</v>
      </c>
      <c r="AB16" s="322"/>
      <c r="AC16" s="322"/>
      <c r="AD16" s="322"/>
      <c r="AE16" s="322"/>
      <c r="AF16" s="322"/>
      <c r="AG16" s="322"/>
      <c r="AH16" s="322"/>
      <c r="AI16" s="322"/>
      <c r="AJ16" s="322"/>
      <c r="AK16" s="322"/>
      <c r="AL16" s="322"/>
      <c r="AM16" s="322"/>
      <c r="AN16" s="322"/>
      <c r="AO16" s="322"/>
      <c r="AP16" s="322"/>
      <c r="AQ16" s="322"/>
      <c r="AR16" s="322"/>
      <c r="AS16" s="322"/>
      <c r="AT16" s="343">
        <f>76000000+23000000+2308000</f>
        <v>101308000</v>
      </c>
      <c r="AU16" s="342">
        <v>99939465.010000005</v>
      </c>
      <c r="AV16" s="342">
        <v>99544993.640000001</v>
      </c>
      <c r="AW16" s="323"/>
      <c r="AX16" s="322"/>
      <c r="AY16" s="322"/>
      <c r="AZ16" s="324"/>
      <c r="BA16" s="322"/>
      <c r="BB16" s="322"/>
      <c r="BC16" s="323"/>
      <c r="BD16" s="322"/>
      <c r="BE16" s="322"/>
      <c r="BF16" s="462">
        <f t="shared" si="2"/>
        <v>101308000</v>
      </c>
      <c r="BG16" s="462">
        <f t="shared" si="3"/>
        <v>99939465.010000005</v>
      </c>
      <c r="BH16" s="462">
        <f t="shared" si="4"/>
        <v>99544993.640000001</v>
      </c>
      <c r="BI16" s="332" t="s">
        <v>1465</v>
      </c>
      <c r="BK16" s="327"/>
      <c r="BL16" s="328"/>
    </row>
    <row r="17" spans="1:64" s="326" customFormat="1" ht="117" customHeight="1" x14ac:dyDescent="0.2">
      <c r="A17" s="312">
        <v>305</v>
      </c>
      <c r="B17" s="314" t="s">
        <v>1192</v>
      </c>
      <c r="C17" s="312">
        <v>4</v>
      </c>
      <c r="D17" s="314" t="s">
        <v>1191</v>
      </c>
      <c r="E17" s="312">
        <v>45</v>
      </c>
      <c r="F17" s="314" t="s">
        <v>28</v>
      </c>
      <c r="G17" s="312" t="s">
        <v>31</v>
      </c>
      <c r="H17" s="314" t="s">
        <v>1226</v>
      </c>
      <c r="I17" s="312">
        <v>4599</v>
      </c>
      <c r="J17" s="315" t="s">
        <v>1227</v>
      </c>
      <c r="K17" s="315" t="s">
        <v>30</v>
      </c>
      <c r="L17" s="312" t="s">
        <v>31</v>
      </c>
      <c r="M17" s="315" t="s">
        <v>1143</v>
      </c>
      <c r="N17" s="312">
        <v>4599025</v>
      </c>
      <c r="O17" s="315" t="s">
        <v>74</v>
      </c>
      <c r="P17" s="312" t="s">
        <v>31</v>
      </c>
      <c r="Q17" s="316" t="s">
        <v>79</v>
      </c>
      <c r="R17" s="312">
        <v>459902500</v>
      </c>
      <c r="S17" s="316" t="s">
        <v>76</v>
      </c>
      <c r="T17" s="317" t="s">
        <v>1459</v>
      </c>
      <c r="U17" s="320">
        <v>1</v>
      </c>
      <c r="V17" s="320"/>
      <c r="W17" s="318">
        <f t="shared" si="1"/>
        <v>1</v>
      </c>
      <c r="X17" s="312">
        <v>1</v>
      </c>
      <c r="Y17" s="320">
        <v>2020003630046</v>
      </c>
      <c r="Z17" s="315" t="s">
        <v>80</v>
      </c>
      <c r="AA17" s="321" t="s">
        <v>81</v>
      </c>
      <c r="AB17" s="322"/>
      <c r="AC17" s="322"/>
      <c r="AD17" s="322"/>
      <c r="AE17" s="322"/>
      <c r="AF17" s="322"/>
      <c r="AG17" s="322"/>
      <c r="AH17" s="322"/>
      <c r="AI17" s="322"/>
      <c r="AJ17" s="322"/>
      <c r="AK17" s="322"/>
      <c r="AL17" s="322"/>
      <c r="AM17" s="322"/>
      <c r="AN17" s="322"/>
      <c r="AO17" s="322"/>
      <c r="AP17" s="322"/>
      <c r="AQ17" s="322"/>
      <c r="AR17" s="322"/>
      <c r="AS17" s="322"/>
      <c r="AT17" s="343">
        <f>300000000+100000000+10126791+20000000+23452376</f>
        <v>453579167</v>
      </c>
      <c r="AU17" s="342">
        <v>441048543.51999998</v>
      </c>
      <c r="AV17" s="342">
        <v>419417018.19</v>
      </c>
      <c r="AW17" s="323"/>
      <c r="AX17" s="322"/>
      <c r="AY17" s="322"/>
      <c r="AZ17" s="324"/>
      <c r="BA17" s="322"/>
      <c r="BB17" s="322"/>
      <c r="BC17" s="323"/>
      <c r="BD17" s="322"/>
      <c r="BE17" s="322"/>
      <c r="BF17" s="462">
        <f t="shared" si="2"/>
        <v>453579167</v>
      </c>
      <c r="BG17" s="462">
        <f t="shared" si="3"/>
        <v>441048543.51999998</v>
      </c>
      <c r="BH17" s="462">
        <f t="shared" si="4"/>
        <v>419417018.19</v>
      </c>
      <c r="BI17" s="332" t="s">
        <v>1465</v>
      </c>
      <c r="BK17" s="327"/>
      <c r="BL17" s="328"/>
    </row>
    <row r="18" spans="1:64" s="326" customFormat="1" ht="117" customHeight="1" x14ac:dyDescent="0.2">
      <c r="A18" s="312">
        <v>305</v>
      </c>
      <c r="B18" s="314" t="s">
        <v>1192</v>
      </c>
      <c r="C18" s="312">
        <v>4</v>
      </c>
      <c r="D18" s="314" t="s">
        <v>1191</v>
      </c>
      <c r="E18" s="312">
        <v>45</v>
      </c>
      <c r="F18" s="314" t="s">
        <v>28</v>
      </c>
      <c r="G18" s="312" t="s">
        <v>31</v>
      </c>
      <c r="H18" s="314" t="s">
        <v>1226</v>
      </c>
      <c r="I18" s="312">
        <v>4599</v>
      </c>
      <c r="J18" s="315" t="s">
        <v>1227</v>
      </c>
      <c r="K18" s="315" t="s">
        <v>82</v>
      </c>
      <c r="L18" s="312" t="s">
        <v>31</v>
      </c>
      <c r="M18" s="315" t="s">
        <v>83</v>
      </c>
      <c r="N18" s="312">
        <v>4599031</v>
      </c>
      <c r="O18" s="315" t="s">
        <v>84</v>
      </c>
      <c r="P18" s="312" t="s">
        <v>31</v>
      </c>
      <c r="Q18" s="316" t="s">
        <v>85</v>
      </c>
      <c r="R18" s="312">
        <v>459903101</v>
      </c>
      <c r="S18" s="316" t="s">
        <v>86</v>
      </c>
      <c r="T18" s="317" t="s">
        <v>1459</v>
      </c>
      <c r="U18" s="320">
        <v>12</v>
      </c>
      <c r="V18" s="320"/>
      <c r="W18" s="318">
        <f t="shared" si="1"/>
        <v>12</v>
      </c>
      <c r="X18" s="312">
        <v>12</v>
      </c>
      <c r="Y18" s="320">
        <v>2020003630047</v>
      </c>
      <c r="Z18" s="315" t="s">
        <v>87</v>
      </c>
      <c r="AA18" s="321" t="s">
        <v>88</v>
      </c>
      <c r="AB18" s="322"/>
      <c r="AC18" s="322"/>
      <c r="AD18" s="322"/>
      <c r="AE18" s="322"/>
      <c r="AF18" s="322"/>
      <c r="AG18" s="322"/>
      <c r="AH18" s="322"/>
      <c r="AI18" s="322"/>
      <c r="AJ18" s="322"/>
      <c r="AK18" s="322"/>
      <c r="AL18" s="322"/>
      <c r="AM18" s="322"/>
      <c r="AN18" s="322"/>
      <c r="AO18" s="322"/>
      <c r="AP18" s="322"/>
      <c r="AQ18" s="322"/>
      <c r="AR18" s="322"/>
      <c r="AS18" s="322"/>
      <c r="AT18" s="343">
        <f>36000000-200000</f>
        <v>35800000</v>
      </c>
      <c r="AU18" s="342">
        <v>16933333</v>
      </c>
      <c r="AV18" s="342">
        <v>16933333</v>
      </c>
      <c r="AW18" s="323"/>
      <c r="AX18" s="322"/>
      <c r="AY18" s="322"/>
      <c r="AZ18" s="324"/>
      <c r="BA18" s="322"/>
      <c r="BB18" s="322"/>
      <c r="BC18" s="323"/>
      <c r="BD18" s="322"/>
      <c r="BE18" s="322"/>
      <c r="BF18" s="462">
        <f t="shared" si="2"/>
        <v>35800000</v>
      </c>
      <c r="BG18" s="462">
        <f t="shared" si="3"/>
        <v>16933333</v>
      </c>
      <c r="BH18" s="462">
        <f t="shared" si="4"/>
        <v>16933333</v>
      </c>
      <c r="BI18" s="332" t="s">
        <v>1465</v>
      </c>
      <c r="BK18" s="327"/>
      <c r="BL18" s="328"/>
    </row>
    <row r="19" spans="1:64" s="326" customFormat="1" ht="117" customHeight="1" x14ac:dyDescent="0.2">
      <c r="A19" s="312">
        <v>305</v>
      </c>
      <c r="B19" s="314" t="s">
        <v>1192</v>
      </c>
      <c r="C19" s="312">
        <v>4</v>
      </c>
      <c r="D19" s="314" t="s">
        <v>1191</v>
      </c>
      <c r="E19" s="312">
        <v>45</v>
      </c>
      <c r="F19" s="314" t="s">
        <v>28</v>
      </c>
      <c r="G19" s="312" t="s">
        <v>31</v>
      </c>
      <c r="H19" s="314" t="s">
        <v>1226</v>
      </c>
      <c r="I19" s="312">
        <v>4599</v>
      </c>
      <c r="J19" s="315" t="s">
        <v>1227</v>
      </c>
      <c r="K19" s="315" t="s">
        <v>82</v>
      </c>
      <c r="L19" s="312" t="s">
        <v>31</v>
      </c>
      <c r="M19" s="315" t="s">
        <v>89</v>
      </c>
      <c r="N19" s="312">
        <v>4599031</v>
      </c>
      <c r="O19" s="315" t="s">
        <v>84</v>
      </c>
      <c r="P19" s="312" t="s">
        <v>31</v>
      </c>
      <c r="Q19" s="316" t="s">
        <v>90</v>
      </c>
      <c r="R19" s="312">
        <v>459903101</v>
      </c>
      <c r="S19" s="316" t="s">
        <v>86</v>
      </c>
      <c r="T19" s="317" t="s">
        <v>1459</v>
      </c>
      <c r="U19" s="320">
        <v>12</v>
      </c>
      <c r="V19" s="320"/>
      <c r="W19" s="318">
        <f t="shared" si="1"/>
        <v>12</v>
      </c>
      <c r="X19" s="312">
        <v>12</v>
      </c>
      <c r="Y19" s="320">
        <v>2020003630047</v>
      </c>
      <c r="Z19" s="315" t="s">
        <v>87</v>
      </c>
      <c r="AA19" s="321" t="s">
        <v>88</v>
      </c>
      <c r="AB19" s="322"/>
      <c r="AC19" s="322"/>
      <c r="AD19" s="322"/>
      <c r="AE19" s="322"/>
      <c r="AF19" s="322"/>
      <c r="AG19" s="322"/>
      <c r="AH19" s="322"/>
      <c r="AI19" s="322"/>
      <c r="AJ19" s="322"/>
      <c r="AK19" s="322"/>
      <c r="AL19" s="322"/>
      <c r="AM19" s="322"/>
      <c r="AN19" s="322"/>
      <c r="AO19" s="322"/>
      <c r="AP19" s="322"/>
      <c r="AQ19" s="322"/>
      <c r="AR19" s="322"/>
      <c r="AS19" s="322"/>
      <c r="AT19" s="343">
        <f>36000000-6390000</f>
        <v>29610000</v>
      </c>
      <c r="AU19" s="342">
        <v>28710000</v>
      </c>
      <c r="AV19" s="342">
        <v>28710000</v>
      </c>
      <c r="AW19" s="323"/>
      <c r="AX19" s="322"/>
      <c r="AY19" s="322"/>
      <c r="AZ19" s="324"/>
      <c r="BA19" s="322"/>
      <c r="BB19" s="322"/>
      <c r="BC19" s="323"/>
      <c r="BD19" s="322"/>
      <c r="BE19" s="322"/>
      <c r="BF19" s="462">
        <f t="shared" si="2"/>
        <v>29610000</v>
      </c>
      <c r="BG19" s="462">
        <f t="shared" si="3"/>
        <v>28710000</v>
      </c>
      <c r="BH19" s="462">
        <f t="shared" si="4"/>
        <v>28710000</v>
      </c>
      <c r="BI19" s="332" t="s">
        <v>1465</v>
      </c>
      <c r="BK19" s="327"/>
      <c r="BL19" s="328"/>
    </row>
    <row r="20" spans="1:64" s="326" customFormat="1" ht="117" customHeight="1" x14ac:dyDescent="0.2">
      <c r="A20" s="312">
        <v>305</v>
      </c>
      <c r="B20" s="314" t="s">
        <v>1192</v>
      </c>
      <c r="C20" s="312">
        <v>4</v>
      </c>
      <c r="D20" s="314" t="s">
        <v>1191</v>
      </c>
      <c r="E20" s="312">
        <v>45</v>
      </c>
      <c r="F20" s="314" t="s">
        <v>28</v>
      </c>
      <c r="G20" s="312" t="s">
        <v>31</v>
      </c>
      <c r="H20" s="314" t="s">
        <v>1226</v>
      </c>
      <c r="I20" s="312">
        <v>4599</v>
      </c>
      <c r="J20" s="315" t="s">
        <v>1227</v>
      </c>
      <c r="K20" s="315" t="s">
        <v>82</v>
      </c>
      <c r="L20" s="312" t="s">
        <v>31</v>
      </c>
      <c r="M20" s="315" t="s">
        <v>91</v>
      </c>
      <c r="N20" s="312">
        <v>4599031</v>
      </c>
      <c r="O20" s="315" t="s">
        <v>84</v>
      </c>
      <c r="P20" s="312" t="s">
        <v>31</v>
      </c>
      <c r="Q20" s="316" t="s">
        <v>92</v>
      </c>
      <c r="R20" s="312">
        <v>459903101</v>
      </c>
      <c r="S20" s="316" t="s">
        <v>86</v>
      </c>
      <c r="T20" s="317" t="s">
        <v>1459</v>
      </c>
      <c r="U20" s="320">
        <v>12</v>
      </c>
      <c r="V20" s="320"/>
      <c r="W20" s="318">
        <f t="shared" si="1"/>
        <v>12</v>
      </c>
      <c r="X20" s="312">
        <v>12</v>
      </c>
      <c r="Y20" s="320">
        <v>2020003630047</v>
      </c>
      <c r="Z20" s="315" t="s">
        <v>87</v>
      </c>
      <c r="AA20" s="321" t="s">
        <v>88</v>
      </c>
      <c r="AB20" s="322"/>
      <c r="AC20" s="322"/>
      <c r="AD20" s="322"/>
      <c r="AE20" s="322"/>
      <c r="AF20" s="322"/>
      <c r="AG20" s="322"/>
      <c r="AH20" s="322"/>
      <c r="AI20" s="322"/>
      <c r="AJ20" s="322"/>
      <c r="AK20" s="322"/>
      <c r="AL20" s="322"/>
      <c r="AM20" s="322"/>
      <c r="AN20" s="322"/>
      <c r="AO20" s="322"/>
      <c r="AP20" s="322"/>
      <c r="AQ20" s="322"/>
      <c r="AR20" s="322"/>
      <c r="AS20" s="322"/>
      <c r="AT20" s="343">
        <f>36000000+36000000+200000-6647150</f>
        <v>65552850</v>
      </c>
      <c r="AU20" s="342">
        <f>'[1]F-PLA-47 PLANEACION'!$W$28+'[1]F-PLA-47 PLANEACION'!$W$29</f>
        <v>62659000</v>
      </c>
      <c r="AV20" s="342">
        <v>62659000</v>
      </c>
      <c r="AW20" s="323"/>
      <c r="AX20" s="322"/>
      <c r="AY20" s="322"/>
      <c r="AZ20" s="324"/>
      <c r="BA20" s="322"/>
      <c r="BB20" s="322"/>
      <c r="BC20" s="323"/>
      <c r="BD20" s="322"/>
      <c r="BE20" s="322"/>
      <c r="BF20" s="462">
        <f t="shared" si="2"/>
        <v>65552850</v>
      </c>
      <c r="BG20" s="462">
        <f t="shared" si="3"/>
        <v>62659000</v>
      </c>
      <c r="BH20" s="462">
        <f t="shared" si="4"/>
        <v>62659000</v>
      </c>
      <c r="BI20" s="332" t="s">
        <v>1465</v>
      </c>
      <c r="BK20" s="327"/>
      <c r="BL20" s="328"/>
    </row>
    <row r="21" spans="1:64" s="326" customFormat="1" ht="117" customHeight="1" x14ac:dyDescent="0.2">
      <c r="A21" s="312">
        <v>305</v>
      </c>
      <c r="B21" s="314" t="s">
        <v>1192</v>
      </c>
      <c r="C21" s="312">
        <v>4</v>
      </c>
      <c r="D21" s="314" t="s">
        <v>1191</v>
      </c>
      <c r="E21" s="312">
        <v>45</v>
      </c>
      <c r="F21" s="314" t="s">
        <v>28</v>
      </c>
      <c r="G21" s="312" t="s">
        <v>31</v>
      </c>
      <c r="H21" s="314" t="s">
        <v>1226</v>
      </c>
      <c r="I21" s="312">
        <v>4599</v>
      </c>
      <c r="J21" s="315" t="s">
        <v>1227</v>
      </c>
      <c r="K21" s="315" t="s">
        <v>82</v>
      </c>
      <c r="L21" s="312" t="s">
        <v>31</v>
      </c>
      <c r="M21" s="315" t="s">
        <v>93</v>
      </c>
      <c r="N21" s="312">
        <v>4599031</v>
      </c>
      <c r="O21" s="315" t="s">
        <v>84</v>
      </c>
      <c r="P21" s="312" t="s">
        <v>31</v>
      </c>
      <c r="Q21" s="316" t="s">
        <v>92</v>
      </c>
      <c r="R21" s="312">
        <v>459903101</v>
      </c>
      <c r="S21" s="316" t="s">
        <v>86</v>
      </c>
      <c r="T21" s="317" t="s">
        <v>1459</v>
      </c>
      <c r="U21" s="320">
        <v>12</v>
      </c>
      <c r="V21" s="320"/>
      <c r="W21" s="318">
        <f t="shared" si="1"/>
        <v>12</v>
      </c>
      <c r="X21" s="312">
        <v>12</v>
      </c>
      <c r="Y21" s="320">
        <v>2020003630047</v>
      </c>
      <c r="Z21" s="315" t="s">
        <v>87</v>
      </c>
      <c r="AA21" s="321" t="s">
        <v>88</v>
      </c>
      <c r="AB21" s="322"/>
      <c r="AC21" s="322"/>
      <c r="AD21" s="322"/>
      <c r="AE21" s="322"/>
      <c r="AF21" s="322"/>
      <c r="AG21" s="322"/>
      <c r="AH21" s="322"/>
      <c r="AI21" s="322"/>
      <c r="AJ21" s="322"/>
      <c r="AK21" s="322"/>
      <c r="AL21" s="322"/>
      <c r="AM21" s="322"/>
      <c r="AN21" s="322"/>
      <c r="AO21" s="322"/>
      <c r="AP21" s="322"/>
      <c r="AQ21" s="322"/>
      <c r="AR21" s="322"/>
      <c r="AS21" s="322"/>
      <c r="AT21" s="343">
        <f>36000000-4490000</f>
        <v>31510000</v>
      </c>
      <c r="AU21" s="342">
        <v>31310000</v>
      </c>
      <c r="AV21" s="342">
        <v>31310000</v>
      </c>
      <c r="AW21" s="323"/>
      <c r="AX21" s="322"/>
      <c r="AY21" s="322"/>
      <c r="AZ21" s="324"/>
      <c r="BA21" s="322"/>
      <c r="BB21" s="322"/>
      <c r="BC21" s="323"/>
      <c r="BD21" s="322"/>
      <c r="BE21" s="322"/>
      <c r="BF21" s="462">
        <f t="shared" si="2"/>
        <v>31510000</v>
      </c>
      <c r="BG21" s="462">
        <f t="shared" si="3"/>
        <v>31310000</v>
      </c>
      <c r="BH21" s="462">
        <f t="shared" si="4"/>
        <v>31310000</v>
      </c>
      <c r="BI21" s="332" t="s">
        <v>1465</v>
      </c>
      <c r="BK21" s="327"/>
      <c r="BL21" s="328"/>
    </row>
    <row r="22" spans="1:64" s="326" customFormat="1" ht="117" customHeight="1" x14ac:dyDescent="0.2">
      <c r="A22" s="312">
        <v>305</v>
      </c>
      <c r="B22" s="314" t="s">
        <v>1192</v>
      </c>
      <c r="C22" s="312">
        <v>4</v>
      </c>
      <c r="D22" s="314" t="s">
        <v>1191</v>
      </c>
      <c r="E22" s="312">
        <v>45</v>
      </c>
      <c r="F22" s="314" t="s">
        <v>28</v>
      </c>
      <c r="G22" s="312" t="s">
        <v>31</v>
      </c>
      <c r="H22" s="314" t="s">
        <v>1226</v>
      </c>
      <c r="I22" s="312">
        <v>4599</v>
      </c>
      <c r="J22" s="315" t="s">
        <v>1227</v>
      </c>
      <c r="K22" s="315" t="s">
        <v>82</v>
      </c>
      <c r="L22" s="312" t="s">
        <v>31</v>
      </c>
      <c r="M22" s="315" t="s">
        <v>94</v>
      </c>
      <c r="N22" s="312">
        <v>4599031</v>
      </c>
      <c r="O22" s="315" t="s">
        <v>84</v>
      </c>
      <c r="P22" s="312" t="s">
        <v>31</v>
      </c>
      <c r="Q22" s="316" t="s">
        <v>92</v>
      </c>
      <c r="R22" s="312">
        <v>459903101</v>
      </c>
      <c r="S22" s="316" t="s">
        <v>86</v>
      </c>
      <c r="T22" s="317" t="s">
        <v>1459</v>
      </c>
      <c r="U22" s="320">
        <v>12</v>
      </c>
      <c r="V22" s="320"/>
      <c r="W22" s="318">
        <f t="shared" si="1"/>
        <v>12</v>
      </c>
      <c r="X22" s="312">
        <v>12</v>
      </c>
      <c r="Y22" s="320">
        <v>2020003630047</v>
      </c>
      <c r="Z22" s="315" t="s">
        <v>87</v>
      </c>
      <c r="AA22" s="321" t="s">
        <v>88</v>
      </c>
      <c r="AB22" s="322"/>
      <c r="AC22" s="322"/>
      <c r="AD22" s="322"/>
      <c r="AE22" s="322"/>
      <c r="AF22" s="322"/>
      <c r="AG22" s="322"/>
      <c r="AH22" s="322"/>
      <c r="AI22" s="322"/>
      <c r="AJ22" s="322"/>
      <c r="AK22" s="322"/>
      <c r="AL22" s="322"/>
      <c r="AM22" s="322"/>
      <c r="AN22" s="322"/>
      <c r="AO22" s="322"/>
      <c r="AP22" s="322"/>
      <c r="AQ22" s="322"/>
      <c r="AR22" s="322"/>
      <c r="AS22" s="322"/>
      <c r="AT22" s="343">
        <f>36000000-3610958-3499042</f>
        <v>28890000</v>
      </c>
      <c r="AU22" s="342">
        <v>28890000</v>
      </c>
      <c r="AV22" s="342">
        <v>28890000</v>
      </c>
      <c r="AW22" s="323"/>
      <c r="AX22" s="322"/>
      <c r="AY22" s="322"/>
      <c r="AZ22" s="324"/>
      <c r="BA22" s="322"/>
      <c r="BB22" s="322"/>
      <c r="BC22" s="323"/>
      <c r="BD22" s="322"/>
      <c r="BE22" s="322"/>
      <c r="BF22" s="462">
        <f t="shared" si="2"/>
        <v>28890000</v>
      </c>
      <c r="BG22" s="462">
        <f t="shared" si="3"/>
        <v>28890000</v>
      </c>
      <c r="BH22" s="462">
        <f t="shared" si="4"/>
        <v>28890000</v>
      </c>
      <c r="BI22" s="332" t="s">
        <v>1465</v>
      </c>
      <c r="BK22" s="327"/>
      <c r="BL22" s="328"/>
    </row>
    <row r="23" spans="1:64" s="326" customFormat="1" ht="117" customHeight="1" x14ac:dyDescent="0.2">
      <c r="A23" s="312">
        <v>305</v>
      </c>
      <c r="B23" s="314" t="s">
        <v>1192</v>
      </c>
      <c r="C23" s="312">
        <v>4</v>
      </c>
      <c r="D23" s="314" t="s">
        <v>1191</v>
      </c>
      <c r="E23" s="312">
        <v>45</v>
      </c>
      <c r="F23" s="314" t="s">
        <v>28</v>
      </c>
      <c r="G23" s="312" t="s">
        <v>31</v>
      </c>
      <c r="H23" s="314" t="s">
        <v>1226</v>
      </c>
      <c r="I23" s="312">
        <v>4599</v>
      </c>
      <c r="J23" s="315" t="s">
        <v>1227</v>
      </c>
      <c r="K23" s="315" t="s">
        <v>82</v>
      </c>
      <c r="L23" s="312" t="s">
        <v>31</v>
      </c>
      <c r="M23" s="315" t="s">
        <v>95</v>
      </c>
      <c r="N23" s="312">
        <v>4599031</v>
      </c>
      <c r="O23" s="315" t="s">
        <v>84</v>
      </c>
      <c r="P23" s="312" t="s">
        <v>31</v>
      </c>
      <c r="Q23" s="316" t="s">
        <v>92</v>
      </c>
      <c r="R23" s="312">
        <v>459903101</v>
      </c>
      <c r="S23" s="316" t="s">
        <v>86</v>
      </c>
      <c r="T23" s="317" t="s">
        <v>1459</v>
      </c>
      <c r="U23" s="320">
        <v>12</v>
      </c>
      <c r="V23" s="320"/>
      <c r="W23" s="318">
        <f t="shared" si="1"/>
        <v>12</v>
      </c>
      <c r="X23" s="312">
        <v>12</v>
      </c>
      <c r="Y23" s="320">
        <v>2020003630047</v>
      </c>
      <c r="Z23" s="315" t="s">
        <v>87</v>
      </c>
      <c r="AA23" s="321" t="s">
        <v>88</v>
      </c>
      <c r="AB23" s="322"/>
      <c r="AC23" s="322"/>
      <c r="AD23" s="322"/>
      <c r="AE23" s="322"/>
      <c r="AF23" s="322"/>
      <c r="AG23" s="322"/>
      <c r="AH23" s="322"/>
      <c r="AI23" s="322"/>
      <c r="AJ23" s="322"/>
      <c r="AK23" s="322"/>
      <c r="AL23" s="322"/>
      <c r="AM23" s="322"/>
      <c r="AN23" s="322"/>
      <c r="AO23" s="322"/>
      <c r="AP23" s="322"/>
      <c r="AQ23" s="322"/>
      <c r="AR23" s="322"/>
      <c r="AS23" s="322"/>
      <c r="AT23" s="343">
        <f>36000000-9073334</f>
        <v>26926666</v>
      </c>
      <c r="AU23" s="342">
        <v>26926666</v>
      </c>
      <c r="AV23" s="342">
        <v>26926666</v>
      </c>
      <c r="AW23" s="323"/>
      <c r="AX23" s="322"/>
      <c r="AY23" s="322"/>
      <c r="AZ23" s="324"/>
      <c r="BA23" s="322"/>
      <c r="BB23" s="322"/>
      <c r="BC23" s="323"/>
      <c r="BD23" s="322"/>
      <c r="BE23" s="322"/>
      <c r="BF23" s="462">
        <f t="shared" si="2"/>
        <v>26926666</v>
      </c>
      <c r="BG23" s="462">
        <f t="shared" si="3"/>
        <v>26926666</v>
      </c>
      <c r="BH23" s="462">
        <f t="shared" si="4"/>
        <v>26926666</v>
      </c>
      <c r="BI23" s="332" t="s">
        <v>1465</v>
      </c>
      <c r="BK23" s="327"/>
      <c r="BL23" s="328"/>
    </row>
    <row r="24" spans="1:64" s="326" customFormat="1" ht="117" customHeight="1" x14ac:dyDescent="0.2">
      <c r="A24" s="312">
        <v>305</v>
      </c>
      <c r="B24" s="314" t="s">
        <v>1192</v>
      </c>
      <c r="C24" s="312">
        <v>4</v>
      </c>
      <c r="D24" s="314" t="s">
        <v>1191</v>
      </c>
      <c r="E24" s="312">
        <v>45</v>
      </c>
      <c r="F24" s="314" t="s">
        <v>28</v>
      </c>
      <c r="G24" s="312" t="s">
        <v>31</v>
      </c>
      <c r="H24" s="314" t="s">
        <v>1226</v>
      </c>
      <c r="I24" s="312">
        <v>4599</v>
      </c>
      <c r="J24" s="315" t="s">
        <v>1227</v>
      </c>
      <c r="K24" s="315" t="s">
        <v>30</v>
      </c>
      <c r="L24" s="312" t="s">
        <v>31</v>
      </c>
      <c r="M24" s="315" t="s">
        <v>32</v>
      </c>
      <c r="N24" s="312">
        <v>4599023</v>
      </c>
      <c r="O24" s="315" t="s">
        <v>96</v>
      </c>
      <c r="P24" s="312" t="s">
        <v>31</v>
      </c>
      <c r="Q24" s="316" t="s">
        <v>97</v>
      </c>
      <c r="R24" s="312">
        <v>459902300</v>
      </c>
      <c r="S24" s="316" t="s">
        <v>35</v>
      </c>
      <c r="T24" s="317" t="s">
        <v>1459</v>
      </c>
      <c r="U24" s="320">
        <v>18</v>
      </c>
      <c r="V24" s="320"/>
      <c r="W24" s="318">
        <f t="shared" si="1"/>
        <v>18</v>
      </c>
      <c r="X24" s="312">
        <v>18</v>
      </c>
      <c r="Y24" s="320">
        <v>2020003630008</v>
      </c>
      <c r="Z24" s="315" t="s">
        <v>1337</v>
      </c>
      <c r="AA24" s="321" t="s">
        <v>99</v>
      </c>
      <c r="AB24" s="334"/>
      <c r="AC24" s="334"/>
      <c r="AD24" s="334"/>
      <c r="AE24" s="334"/>
      <c r="AF24" s="334"/>
      <c r="AG24" s="334"/>
      <c r="AH24" s="334"/>
      <c r="AI24" s="334"/>
      <c r="AJ24" s="334"/>
      <c r="AK24" s="334"/>
      <c r="AL24" s="334"/>
      <c r="AM24" s="334"/>
      <c r="AN24" s="334"/>
      <c r="AO24" s="334"/>
      <c r="AP24" s="334"/>
      <c r="AQ24" s="334"/>
      <c r="AR24" s="334"/>
      <c r="AS24" s="334"/>
      <c r="AT24" s="343">
        <v>72000000</v>
      </c>
      <c r="AU24" s="342">
        <v>70290000</v>
      </c>
      <c r="AV24" s="342">
        <v>70290000</v>
      </c>
      <c r="AW24" s="335"/>
      <c r="AX24" s="334"/>
      <c r="AY24" s="334"/>
      <c r="AZ24" s="336"/>
      <c r="BA24" s="334"/>
      <c r="BB24" s="334"/>
      <c r="BC24" s="335"/>
      <c r="BD24" s="334"/>
      <c r="BE24" s="334"/>
      <c r="BF24" s="462">
        <f t="shared" si="2"/>
        <v>72000000</v>
      </c>
      <c r="BG24" s="462">
        <f t="shared" si="3"/>
        <v>70290000</v>
      </c>
      <c r="BH24" s="462">
        <f t="shared" si="4"/>
        <v>70290000</v>
      </c>
      <c r="BI24" s="332" t="s">
        <v>1465</v>
      </c>
      <c r="BK24" s="327"/>
      <c r="BL24" s="328"/>
    </row>
    <row r="25" spans="1:64" s="326" customFormat="1" ht="117" customHeight="1" x14ac:dyDescent="0.2">
      <c r="A25" s="312">
        <v>307</v>
      </c>
      <c r="B25" s="314" t="s">
        <v>1193</v>
      </c>
      <c r="C25" s="312">
        <v>4</v>
      </c>
      <c r="D25" s="314" t="s">
        <v>1191</v>
      </c>
      <c r="E25" s="312">
        <v>45</v>
      </c>
      <c r="F25" s="314" t="s">
        <v>28</v>
      </c>
      <c r="G25" s="312" t="s">
        <v>31</v>
      </c>
      <c r="H25" s="314" t="s">
        <v>1226</v>
      </c>
      <c r="I25" s="312">
        <v>4599</v>
      </c>
      <c r="J25" s="315" t="s">
        <v>1227</v>
      </c>
      <c r="K25" s="315" t="s">
        <v>100</v>
      </c>
      <c r="L25" s="312" t="s">
        <v>31</v>
      </c>
      <c r="M25" s="337" t="s">
        <v>101</v>
      </c>
      <c r="N25" s="312">
        <v>4599002</v>
      </c>
      <c r="O25" s="337" t="s">
        <v>39</v>
      </c>
      <c r="P25" s="312" t="s">
        <v>31</v>
      </c>
      <c r="Q25" s="316" t="s">
        <v>102</v>
      </c>
      <c r="R25" s="312">
        <v>459900201</v>
      </c>
      <c r="S25" s="316" t="s">
        <v>103</v>
      </c>
      <c r="T25" s="317" t="s">
        <v>1459</v>
      </c>
      <c r="U25" s="338">
        <v>1</v>
      </c>
      <c r="V25" s="338"/>
      <c r="W25" s="318">
        <f t="shared" si="1"/>
        <v>1</v>
      </c>
      <c r="X25" s="339">
        <v>1</v>
      </c>
      <c r="Y25" s="320">
        <v>2020003630048</v>
      </c>
      <c r="Z25" s="315" t="s">
        <v>104</v>
      </c>
      <c r="AA25" s="321" t="s">
        <v>105</v>
      </c>
      <c r="AB25" s="340"/>
      <c r="AC25" s="340"/>
      <c r="AD25" s="340"/>
      <c r="AE25" s="340"/>
      <c r="AF25" s="340"/>
      <c r="AG25" s="340"/>
      <c r="AH25" s="340"/>
      <c r="AI25" s="340"/>
      <c r="AJ25" s="340"/>
      <c r="AK25" s="340"/>
      <c r="AL25" s="340"/>
      <c r="AM25" s="340"/>
      <c r="AN25" s="340"/>
      <c r="AO25" s="340"/>
      <c r="AP25" s="340"/>
      <c r="AQ25" s="340"/>
      <c r="AR25" s="340"/>
      <c r="AS25" s="340"/>
      <c r="AT25" s="343">
        <f>1570000000-189210826-280789174+280789174+435650586+1000000000-40000000-163000000</f>
        <v>2613439760</v>
      </c>
      <c r="AU25" s="342">
        <v>2578116422.73</v>
      </c>
      <c r="AV25" s="342">
        <v>2277093298.1800003</v>
      </c>
      <c r="AW25" s="341"/>
      <c r="AX25" s="342"/>
      <c r="AY25" s="342"/>
      <c r="AZ25" s="343"/>
      <c r="BA25" s="342"/>
      <c r="BB25" s="342"/>
      <c r="BC25" s="463">
        <f>250000000+138533774.16+228382640-25000000</f>
        <v>591916414.15999997</v>
      </c>
      <c r="BD25" s="464">
        <v>487406882</v>
      </c>
      <c r="BE25" s="464">
        <v>485758161</v>
      </c>
      <c r="BF25" s="462">
        <f t="shared" si="2"/>
        <v>3205356174.1599998</v>
      </c>
      <c r="BG25" s="462">
        <f t="shared" si="3"/>
        <v>3065523304.73</v>
      </c>
      <c r="BH25" s="462">
        <f t="shared" si="4"/>
        <v>2762851459.1800003</v>
      </c>
      <c r="BI25" s="315" t="s">
        <v>1467</v>
      </c>
      <c r="BK25" s="327"/>
      <c r="BL25" s="328"/>
    </row>
    <row r="26" spans="1:64" s="326" customFormat="1" ht="117" customHeight="1" x14ac:dyDescent="0.2">
      <c r="A26" s="312">
        <v>307</v>
      </c>
      <c r="B26" s="314" t="s">
        <v>1193</v>
      </c>
      <c r="C26" s="312">
        <v>4</v>
      </c>
      <c r="D26" s="314" t="s">
        <v>1191</v>
      </c>
      <c r="E26" s="312">
        <v>45</v>
      </c>
      <c r="F26" s="314" t="s">
        <v>28</v>
      </c>
      <c r="G26" s="312" t="s">
        <v>31</v>
      </c>
      <c r="H26" s="314" t="s">
        <v>1226</v>
      </c>
      <c r="I26" s="312">
        <v>4599</v>
      </c>
      <c r="J26" s="315" t="s">
        <v>1227</v>
      </c>
      <c r="K26" s="315" t="s">
        <v>100</v>
      </c>
      <c r="L26" s="312" t="s">
        <v>31</v>
      </c>
      <c r="M26" s="337" t="s">
        <v>106</v>
      </c>
      <c r="N26" s="312">
        <v>4599002</v>
      </c>
      <c r="O26" s="337" t="s">
        <v>107</v>
      </c>
      <c r="P26" s="312" t="s">
        <v>31</v>
      </c>
      <c r="Q26" s="316" t="s">
        <v>108</v>
      </c>
      <c r="R26" s="312">
        <v>459900200</v>
      </c>
      <c r="S26" s="316" t="s">
        <v>1126</v>
      </c>
      <c r="T26" s="317" t="s">
        <v>1459</v>
      </c>
      <c r="U26" s="338">
        <v>1</v>
      </c>
      <c r="V26" s="338"/>
      <c r="W26" s="318">
        <f t="shared" si="1"/>
        <v>1</v>
      </c>
      <c r="X26" s="339">
        <v>1</v>
      </c>
      <c r="Y26" s="320">
        <v>2020003630049</v>
      </c>
      <c r="Z26" s="315" t="s">
        <v>109</v>
      </c>
      <c r="AA26" s="321" t="s">
        <v>110</v>
      </c>
      <c r="AB26" s="322"/>
      <c r="AC26" s="322"/>
      <c r="AD26" s="322"/>
      <c r="AE26" s="322"/>
      <c r="AF26" s="322"/>
      <c r="AG26" s="322"/>
      <c r="AH26" s="322"/>
      <c r="AI26" s="322"/>
      <c r="AJ26" s="322"/>
      <c r="AK26" s="322"/>
      <c r="AL26" s="322"/>
      <c r="AM26" s="322"/>
      <c r="AN26" s="322"/>
      <c r="AO26" s="322"/>
      <c r="AP26" s="322"/>
      <c r="AQ26" s="322"/>
      <c r="AR26" s="322"/>
      <c r="AS26" s="322"/>
      <c r="AT26" s="343">
        <f>270000000-40000000+300000000+40000000+63000000+39692432.08+20000000</f>
        <v>692692432.08000004</v>
      </c>
      <c r="AU26" s="342">
        <v>661771565</v>
      </c>
      <c r="AV26" s="342">
        <v>661771565</v>
      </c>
      <c r="AW26" s="323"/>
      <c r="AX26" s="322"/>
      <c r="AY26" s="322"/>
      <c r="AZ26" s="324"/>
      <c r="BA26" s="322"/>
      <c r="BB26" s="322"/>
      <c r="BC26" s="323"/>
      <c r="BD26" s="322"/>
      <c r="BE26" s="322"/>
      <c r="BF26" s="462">
        <f t="shared" si="2"/>
        <v>692692432.08000004</v>
      </c>
      <c r="BG26" s="462">
        <f t="shared" si="3"/>
        <v>661771565</v>
      </c>
      <c r="BH26" s="462">
        <f t="shared" si="4"/>
        <v>661771565</v>
      </c>
      <c r="BI26" s="315" t="s">
        <v>1467</v>
      </c>
      <c r="BK26" s="327"/>
      <c r="BL26" s="328"/>
    </row>
    <row r="27" spans="1:64" s="326" customFormat="1" ht="117" customHeight="1" x14ac:dyDescent="0.2">
      <c r="A27" s="312">
        <v>308</v>
      </c>
      <c r="B27" s="314" t="s">
        <v>1194</v>
      </c>
      <c r="C27" s="312">
        <v>1</v>
      </c>
      <c r="D27" s="314" t="s">
        <v>1195</v>
      </c>
      <c r="E27" s="312">
        <v>12</v>
      </c>
      <c r="F27" s="314" t="s">
        <v>113</v>
      </c>
      <c r="G27" s="312">
        <v>1202</v>
      </c>
      <c r="H27" s="314" t="s">
        <v>114</v>
      </c>
      <c r="I27" s="312">
        <v>1202</v>
      </c>
      <c r="J27" s="315" t="s">
        <v>1229</v>
      </c>
      <c r="K27" s="321" t="s">
        <v>115</v>
      </c>
      <c r="L27" s="312" t="s">
        <v>31</v>
      </c>
      <c r="M27" s="344" t="s">
        <v>116</v>
      </c>
      <c r="N27" s="312">
        <v>1202019</v>
      </c>
      <c r="O27" s="344" t="s">
        <v>117</v>
      </c>
      <c r="P27" s="312" t="s">
        <v>31</v>
      </c>
      <c r="Q27" s="344" t="s">
        <v>118</v>
      </c>
      <c r="R27" s="319">
        <v>120201900</v>
      </c>
      <c r="S27" s="344" t="s">
        <v>119</v>
      </c>
      <c r="T27" s="317" t="s">
        <v>1460</v>
      </c>
      <c r="U27" s="345">
        <v>4</v>
      </c>
      <c r="V27" s="345"/>
      <c r="W27" s="318">
        <f t="shared" si="1"/>
        <v>4</v>
      </c>
      <c r="X27" s="329">
        <v>2</v>
      </c>
      <c r="Y27" s="320">
        <v>2020003630017</v>
      </c>
      <c r="Z27" s="315" t="s">
        <v>120</v>
      </c>
      <c r="AA27" s="321" t="s">
        <v>121</v>
      </c>
      <c r="AB27" s="346"/>
      <c r="AC27" s="346"/>
      <c r="AD27" s="346"/>
      <c r="AE27" s="322"/>
      <c r="AF27" s="322"/>
      <c r="AG27" s="322"/>
      <c r="AH27" s="322"/>
      <c r="AI27" s="322"/>
      <c r="AJ27" s="322"/>
      <c r="AK27" s="322"/>
      <c r="AL27" s="322"/>
      <c r="AM27" s="322"/>
      <c r="AN27" s="322"/>
      <c r="AO27" s="322"/>
      <c r="AP27" s="322"/>
      <c r="AQ27" s="322"/>
      <c r="AR27" s="322"/>
      <c r="AS27" s="322"/>
      <c r="AT27" s="343">
        <f>23750000+20500000+20000000</f>
        <v>64250000</v>
      </c>
      <c r="AU27" s="342">
        <v>59013333</v>
      </c>
      <c r="AV27" s="342">
        <v>59013333</v>
      </c>
      <c r="AW27" s="323"/>
      <c r="AX27" s="322"/>
      <c r="AY27" s="322"/>
      <c r="AZ27" s="324"/>
      <c r="BA27" s="322"/>
      <c r="BB27" s="322"/>
      <c r="BC27" s="335"/>
      <c r="BD27" s="334"/>
      <c r="BE27" s="334"/>
      <c r="BF27" s="462">
        <f t="shared" ref="BF27:BF53" si="5">AB27+AE27+AH27+AK27+AN27+AQ27+AT27+AW27+BC27+AZ27</f>
        <v>64250000</v>
      </c>
      <c r="BG27" s="462">
        <f t="shared" ref="BG27:BG53" si="6">AC27+AF27+AI27+AL27+AO27+AR27+AU27+AX27+BD27+BA27</f>
        <v>59013333</v>
      </c>
      <c r="BH27" s="462">
        <f t="shared" ref="BH27:BH53" si="7">AD27+AG27+AJ27+AM27+AP27+AS27+AV27+AY27+BE27+BB27</f>
        <v>59013333</v>
      </c>
      <c r="BI27" s="315" t="s">
        <v>1474</v>
      </c>
      <c r="BK27" s="327"/>
      <c r="BL27" s="328"/>
    </row>
    <row r="28" spans="1:64" s="326" customFormat="1" ht="117" customHeight="1" x14ac:dyDescent="0.2">
      <c r="A28" s="312">
        <v>308</v>
      </c>
      <c r="B28" s="347" t="s">
        <v>1194</v>
      </c>
      <c r="C28" s="348">
        <v>1</v>
      </c>
      <c r="D28" s="349" t="s">
        <v>1195</v>
      </c>
      <c r="E28" s="348">
        <v>19</v>
      </c>
      <c r="F28" s="350" t="s">
        <v>122</v>
      </c>
      <c r="G28" s="312">
        <v>1906</v>
      </c>
      <c r="H28" s="314" t="s">
        <v>1215</v>
      </c>
      <c r="I28" s="312">
        <v>1906</v>
      </c>
      <c r="J28" s="315" t="s">
        <v>1216</v>
      </c>
      <c r="K28" s="351" t="s">
        <v>1387</v>
      </c>
      <c r="L28" s="352" t="s">
        <v>31</v>
      </c>
      <c r="M28" s="353" t="s">
        <v>1388</v>
      </c>
      <c r="N28" s="352">
        <v>1906015</v>
      </c>
      <c r="O28" s="353" t="s">
        <v>1389</v>
      </c>
      <c r="P28" s="352" t="s">
        <v>31</v>
      </c>
      <c r="Q28" s="354" t="s">
        <v>1390</v>
      </c>
      <c r="R28" s="355">
        <v>190601500</v>
      </c>
      <c r="S28" s="354" t="s">
        <v>1389</v>
      </c>
      <c r="T28" s="317" t="s">
        <v>1462</v>
      </c>
      <c r="U28" s="356">
        <v>1</v>
      </c>
      <c r="V28" s="356"/>
      <c r="W28" s="318">
        <f t="shared" si="1"/>
        <v>1</v>
      </c>
      <c r="X28" s="357">
        <v>1</v>
      </c>
      <c r="Y28" s="358">
        <v>2020003630018</v>
      </c>
      <c r="Z28" s="315" t="s">
        <v>1391</v>
      </c>
      <c r="AA28" s="359" t="s">
        <v>1392</v>
      </c>
      <c r="AB28" s="346"/>
      <c r="AC28" s="346"/>
      <c r="AD28" s="346"/>
      <c r="AE28" s="322"/>
      <c r="AF28" s="322"/>
      <c r="AG28" s="322"/>
      <c r="AH28" s="322"/>
      <c r="AI28" s="322"/>
      <c r="AJ28" s="322"/>
      <c r="AK28" s="322"/>
      <c r="AL28" s="322"/>
      <c r="AM28" s="322"/>
      <c r="AN28" s="322"/>
      <c r="AO28" s="322"/>
      <c r="AP28" s="322"/>
      <c r="AQ28" s="322"/>
      <c r="AR28" s="322"/>
      <c r="AS28" s="322"/>
      <c r="AT28" s="343">
        <f>391811948+100000000+25000000</f>
        <v>516811948</v>
      </c>
      <c r="AU28" s="342">
        <v>516811948</v>
      </c>
      <c r="AV28" s="342">
        <v>147543584</v>
      </c>
      <c r="AW28" s="323"/>
      <c r="AX28" s="322"/>
      <c r="AY28" s="322"/>
      <c r="AZ28" s="324"/>
      <c r="BA28" s="322"/>
      <c r="BB28" s="322"/>
      <c r="BC28" s="335"/>
      <c r="BD28" s="334"/>
      <c r="BE28" s="334"/>
      <c r="BF28" s="462">
        <f t="shared" si="5"/>
        <v>516811948</v>
      </c>
      <c r="BG28" s="462">
        <f t="shared" si="6"/>
        <v>516811948</v>
      </c>
      <c r="BH28" s="462">
        <f t="shared" si="7"/>
        <v>147543584</v>
      </c>
      <c r="BI28" s="315" t="s">
        <v>1474</v>
      </c>
      <c r="BK28" s="327"/>
      <c r="BL28" s="328"/>
    </row>
    <row r="29" spans="1:64" s="326" customFormat="1" ht="117" customHeight="1" x14ac:dyDescent="0.2">
      <c r="A29" s="312">
        <v>308</v>
      </c>
      <c r="B29" s="314" t="s">
        <v>1194</v>
      </c>
      <c r="C29" s="312">
        <v>1</v>
      </c>
      <c r="D29" s="314" t="s">
        <v>1195</v>
      </c>
      <c r="E29" s="312">
        <v>22</v>
      </c>
      <c r="F29" s="314" t="s">
        <v>124</v>
      </c>
      <c r="G29" s="312">
        <v>2201</v>
      </c>
      <c r="H29" s="314" t="s">
        <v>125</v>
      </c>
      <c r="I29" s="312">
        <v>2201</v>
      </c>
      <c r="J29" s="315" t="s">
        <v>1241</v>
      </c>
      <c r="K29" s="315" t="s">
        <v>126</v>
      </c>
      <c r="L29" s="312" t="s">
        <v>31</v>
      </c>
      <c r="M29" s="315" t="s">
        <v>127</v>
      </c>
      <c r="N29" s="312">
        <v>2201062</v>
      </c>
      <c r="O29" s="315" t="s">
        <v>128</v>
      </c>
      <c r="P29" s="312" t="s">
        <v>31</v>
      </c>
      <c r="Q29" s="316" t="s">
        <v>129</v>
      </c>
      <c r="R29" s="312">
        <v>220106200</v>
      </c>
      <c r="S29" s="316" t="s">
        <v>130</v>
      </c>
      <c r="T29" s="317" t="s">
        <v>1460</v>
      </c>
      <c r="U29" s="345">
        <v>15</v>
      </c>
      <c r="V29" s="345">
        <v>6</v>
      </c>
      <c r="W29" s="318">
        <f t="shared" si="1"/>
        <v>21</v>
      </c>
      <c r="X29" s="329">
        <v>8</v>
      </c>
      <c r="Y29" s="320">
        <v>2020003630050</v>
      </c>
      <c r="Z29" s="315" t="s">
        <v>1338</v>
      </c>
      <c r="AA29" s="321" t="s">
        <v>131</v>
      </c>
      <c r="AB29" s="346">
        <f>1500000000+1160848790.23+150000000+1091428109.65</f>
        <v>3902276899.8800001</v>
      </c>
      <c r="AC29" s="346">
        <v>3389805295</v>
      </c>
      <c r="AD29" s="346">
        <v>1108899000</v>
      </c>
      <c r="AE29" s="322"/>
      <c r="AF29" s="322"/>
      <c r="AG29" s="322"/>
      <c r="AH29" s="322"/>
      <c r="AI29" s="322"/>
      <c r="AJ29" s="322"/>
      <c r="AK29" s="322"/>
      <c r="AL29" s="322"/>
      <c r="AM29" s="322"/>
      <c r="AN29" s="322"/>
      <c r="AO29" s="322"/>
      <c r="AP29" s="322"/>
      <c r="AQ29" s="322"/>
      <c r="AR29" s="322"/>
      <c r="AS29" s="322"/>
      <c r="AT29" s="343">
        <v>21000000</v>
      </c>
      <c r="AU29" s="342">
        <v>14879167</v>
      </c>
      <c r="AV29" s="342">
        <v>14879167</v>
      </c>
      <c r="AW29" s="323"/>
      <c r="AX29" s="322"/>
      <c r="AY29" s="322"/>
      <c r="AZ29" s="324"/>
      <c r="BA29" s="322"/>
      <c r="BB29" s="322"/>
      <c r="BC29" s="335"/>
      <c r="BD29" s="334"/>
      <c r="BE29" s="334"/>
      <c r="BF29" s="462">
        <f t="shared" si="5"/>
        <v>3923276899.8800001</v>
      </c>
      <c r="BG29" s="462">
        <f t="shared" si="6"/>
        <v>3404684462</v>
      </c>
      <c r="BH29" s="462">
        <f t="shared" si="7"/>
        <v>1123778167</v>
      </c>
      <c r="BI29" s="315" t="s">
        <v>1474</v>
      </c>
      <c r="BK29" s="327"/>
      <c r="BL29" s="328"/>
    </row>
    <row r="30" spans="1:64" s="326" customFormat="1" ht="117" customHeight="1" x14ac:dyDescent="0.2">
      <c r="A30" s="312">
        <v>308</v>
      </c>
      <c r="B30" s="314" t="s">
        <v>1194</v>
      </c>
      <c r="C30" s="312">
        <v>1</v>
      </c>
      <c r="D30" s="314" t="s">
        <v>1195</v>
      </c>
      <c r="E30" s="312">
        <v>33</v>
      </c>
      <c r="F30" s="314" t="s">
        <v>132</v>
      </c>
      <c r="G30" s="312">
        <v>3301</v>
      </c>
      <c r="H30" s="314" t="s">
        <v>133</v>
      </c>
      <c r="I30" s="312">
        <v>3301</v>
      </c>
      <c r="J30" s="315" t="s">
        <v>1250</v>
      </c>
      <c r="K30" s="315" t="s">
        <v>134</v>
      </c>
      <c r="L30" s="312" t="s">
        <v>135</v>
      </c>
      <c r="M30" s="315" t="s">
        <v>136</v>
      </c>
      <c r="N30" s="312" t="s">
        <v>135</v>
      </c>
      <c r="O30" s="315" t="s">
        <v>136</v>
      </c>
      <c r="P30" s="319" t="s">
        <v>137</v>
      </c>
      <c r="Q30" s="344" t="s">
        <v>138</v>
      </c>
      <c r="R30" s="319">
        <v>330106800</v>
      </c>
      <c r="S30" s="344" t="s">
        <v>138</v>
      </c>
      <c r="T30" s="317" t="s">
        <v>1460</v>
      </c>
      <c r="U30" s="345">
        <v>4</v>
      </c>
      <c r="V30" s="345"/>
      <c r="W30" s="318">
        <f t="shared" si="1"/>
        <v>4</v>
      </c>
      <c r="X30" s="329">
        <v>2</v>
      </c>
      <c r="Y30" s="360">
        <v>2021003630001</v>
      </c>
      <c r="Z30" s="315" t="s">
        <v>1339</v>
      </c>
      <c r="AA30" s="321" t="s">
        <v>140</v>
      </c>
      <c r="AB30" s="322"/>
      <c r="AC30" s="322"/>
      <c r="AD30" s="322"/>
      <c r="AE30" s="322"/>
      <c r="AF30" s="322"/>
      <c r="AG30" s="322"/>
      <c r="AH30" s="322"/>
      <c r="AI30" s="322"/>
      <c r="AJ30" s="322"/>
      <c r="AK30" s="322"/>
      <c r="AL30" s="322"/>
      <c r="AM30" s="322"/>
      <c r="AN30" s="322"/>
      <c r="AO30" s="322"/>
      <c r="AP30" s="322"/>
      <c r="AQ30" s="322"/>
      <c r="AR30" s="322"/>
      <c r="AS30" s="322"/>
      <c r="AT30" s="370">
        <f>50000000+17500000</f>
        <v>67500000</v>
      </c>
      <c r="AU30" s="371">
        <v>62221898</v>
      </c>
      <c r="AV30" s="371">
        <v>26500000</v>
      </c>
      <c r="AW30" s="323"/>
      <c r="AX30" s="322"/>
      <c r="AY30" s="322"/>
      <c r="AZ30" s="324"/>
      <c r="BA30" s="322"/>
      <c r="BB30" s="322"/>
      <c r="BC30" s="323"/>
      <c r="BD30" s="322"/>
      <c r="BE30" s="322"/>
      <c r="BF30" s="462">
        <f t="shared" si="5"/>
        <v>67500000</v>
      </c>
      <c r="BG30" s="462">
        <f t="shared" si="6"/>
        <v>62221898</v>
      </c>
      <c r="BH30" s="462">
        <f t="shared" si="7"/>
        <v>26500000</v>
      </c>
      <c r="BI30" s="315" t="s">
        <v>1474</v>
      </c>
      <c r="BK30" s="327"/>
      <c r="BL30" s="328"/>
    </row>
    <row r="31" spans="1:64" s="326" customFormat="1" ht="117" customHeight="1" x14ac:dyDescent="0.2">
      <c r="A31" s="312">
        <v>308</v>
      </c>
      <c r="B31" s="314" t="s">
        <v>1194</v>
      </c>
      <c r="C31" s="312">
        <v>1</v>
      </c>
      <c r="D31" s="314" t="s">
        <v>1195</v>
      </c>
      <c r="E31" s="312">
        <v>41</v>
      </c>
      <c r="F31" s="314" t="s">
        <v>1145</v>
      </c>
      <c r="G31" s="312">
        <v>4104</v>
      </c>
      <c r="H31" s="314" t="s">
        <v>1146</v>
      </c>
      <c r="I31" s="312">
        <v>4104</v>
      </c>
      <c r="J31" s="315" t="s">
        <v>1259</v>
      </c>
      <c r="K31" s="315" t="s">
        <v>1147</v>
      </c>
      <c r="L31" s="361">
        <v>4104036</v>
      </c>
      <c r="M31" s="316" t="s">
        <v>1148</v>
      </c>
      <c r="N31" s="361">
        <v>4104036</v>
      </c>
      <c r="O31" s="315" t="s">
        <v>1149</v>
      </c>
      <c r="P31" s="329">
        <v>410403600</v>
      </c>
      <c r="Q31" s="316" t="s">
        <v>1150</v>
      </c>
      <c r="R31" s="329">
        <v>410403600</v>
      </c>
      <c r="S31" s="344" t="s">
        <v>1151</v>
      </c>
      <c r="T31" s="317" t="s">
        <v>1460</v>
      </c>
      <c r="U31" s="362">
        <v>0.6</v>
      </c>
      <c r="V31" s="362"/>
      <c r="W31" s="363">
        <f t="shared" si="1"/>
        <v>0.6</v>
      </c>
      <c r="X31" s="329">
        <v>0</v>
      </c>
      <c r="Y31" s="320">
        <v>2021003630017</v>
      </c>
      <c r="Z31" s="315" t="s">
        <v>1281</v>
      </c>
      <c r="AA31" s="321" t="s">
        <v>1284</v>
      </c>
      <c r="AB31" s="322"/>
      <c r="AC31" s="322"/>
      <c r="AD31" s="322"/>
      <c r="AE31" s="322"/>
      <c r="AF31" s="322"/>
      <c r="AG31" s="322"/>
      <c r="AH31" s="322"/>
      <c r="AI31" s="322"/>
      <c r="AJ31" s="322"/>
      <c r="AK31" s="322"/>
      <c r="AL31" s="322"/>
      <c r="AM31" s="322"/>
      <c r="AN31" s="322"/>
      <c r="AO31" s="322"/>
      <c r="AP31" s="322"/>
      <c r="AQ31" s="322"/>
      <c r="AR31" s="322"/>
      <c r="AS31" s="322"/>
      <c r="AT31" s="343">
        <f>50000000-10000000+10000000</f>
        <v>50000000</v>
      </c>
      <c r="AU31" s="342">
        <v>0</v>
      </c>
      <c r="AV31" s="342">
        <v>0</v>
      </c>
      <c r="AW31" s="323"/>
      <c r="AX31" s="322"/>
      <c r="AY31" s="322"/>
      <c r="AZ31" s="324"/>
      <c r="BA31" s="322"/>
      <c r="BB31" s="322"/>
      <c r="BC31" s="323"/>
      <c r="BD31" s="322"/>
      <c r="BE31" s="322"/>
      <c r="BF31" s="462">
        <f t="shared" si="5"/>
        <v>50000000</v>
      </c>
      <c r="BG31" s="462">
        <f t="shared" si="6"/>
        <v>0</v>
      </c>
      <c r="BH31" s="462">
        <f t="shared" si="7"/>
        <v>0</v>
      </c>
      <c r="BI31" s="315" t="s">
        <v>1474</v>
      </c>
      <c r="BK31" s="327"/>
      <c r="BL31" s="328"/>
    </row>
    <row r="32" spans="1:64" s="326" customFormat="1" ht="117" customHeight="1" x14ac:dyDescent="0.2">
      <c r="A32" s="312">
        <v>308</v>
      </c>
      <c r="B32" s="314" t="s">
        <v>1194</v>
      </c>
      <c r="C32" s="312">
        <v>1</v>
      </c>
      <c r="D32" s="314" t="s">
        <v>1195</v>
      </c>
      <c r="E32" s="312">
        <v>41</v>
      </c>
      <c r="F32" s="314" t="s">
        <v>1145</v>
      </c>
      <c r="G32" s="312">
        <v>4104</v>
      </c>
      <c r="H32" s="314" t="s">
        <v>1146</v>
      </c>
      <c r="I32" s="312">
        <v>4104</v>
      </c>
      <c r="J32" s="315" t="s">
        <v>1259</v>
      </c>
      <c r="K32" s="315" t="s">
        <v>1147</v>
      </c>
      <c r="L32" s="361">
        <v>4104036</v>
      </c>
      <c r="M32" s="316" t="s">
        <v>1148</v>
      </c>
      <c r="N32" s="361">
        <v>4104036</v>
      </c>
      <c r="O32" s="315" t="s">
        <v>1149</v>
      </c>
      <c r="P32" s="329">
        <v>410403600</v>
      </c>
      <c r="Q32" s="316" t="s">
        <v>1150</v>
      </c>
      <c r="R32" s="329">
        <v>410403600</v>
      </c>
      <c r="S32" s="344" t="s">
        <v>1151</v>
      </c>
      <c r="T32" s="317" t="s">
        <v>1460</v>
      </c>
      <c r="U32" s="362">
        <v>0.6</v>
      </c>
      <c r="V32" s="362"/>
      <c r="W32" s="363">
        <f>U32+V32</f>
        <v>0.6</v>
      </c>
      <c r="X32" s="329">
        <v>0</v>
      </c>
      <c r="Y32" s="320">
        <v>2022003630007</v>
      </c>
      <c r="Z32" s="315" t="s">
        <v>1510</v>
      </c>
      <c r="AA32" s="321" t="s">
        <v>1511</v>
      </c>
      <c r="AB32" s="322"/>
      <c r="AC32" s="322"/>
      <c r="AD32" s="322"/>
      <c r="AE32" s="322"/>
      <c r="AF32" s="322"/>
      <c r="AG32" s="322"/>
      <c r="AH32" s="322"/>
      <c r="AI32" s="322"/>
      <c r="AJ32" s="322"/>
      <c r="AK32" s="322"/>
      <c r="AL32" s="322"/>
      <c r="AM32" s="322"/>
      <c r="AN32" s="322"/>
      <c r="AO32" s="322"/>
      <c r="AP32" s="322"/>
      <c r="AQ32" s="322"/>
      <c r="AR32" s="322"/>
      <c r="AS32" s="322"/>
      <c r="AT32" s="343"/>
      <c r="AU32" s="342"/>
      <c r="AV32" s="342"/>
      <c r="AW32" s="323"/>
      <c r="AX32" s="322"/>
      <c r="AY32" s="322"/>
      <c r="AZ32" s="324">
        <v>3179932867.1700001</v>
      </c>
      <c r="BA32" s="322"/>
      <c r="BB32" s="322"/>
      <c r="BC32" s="323"/>
      <c r="BD32" s="322"/>
      <c r="BE32" s="322"/>
      <c r="BF32" s="462">
        <f t="shared" si="5"/>
        <v>3179932867.1700001</v>
      </c>
      <c r="BG32" s="462">
        <f t="shared" si="6"/>
        <v>0</v>
      </c>
      <c r="BH32" s="462">
        <f t="shared" si="7"/>
        <v>0</v>
      </c>
      <c r="BI32" s="315" t="s">
        <v>1474</v>
      </c>
      <c r="BK32" s="327"/>
      <c r="BL32" s="328"/>
    </row>
    <row r="33" spans="1:67" s="326" customFormat="1" ht="117" customHeight="1" x14ac:dyDescent="0.2">
      <c r="A33" s="312">
        <v>308</v>
      </c>
      <c r="B33" s="314" t="s">
        <v>1194</v>
      </c>
      <c r="C33" s="312">
        <v>1</v>
      </c>
      <c r="D33" s="314" t="s">
        <v>1195</v>
      </c>
      <c r="E33" s="312">
        <v>43</v>
      </c>
      <c r="F33" s="314" t="s">
        <v>141</v>
      </c>
      <c r="G33" s="312">
        <v>4301</v>
      </c>
      <c r="H33" s="314" t="s">
        <v>1361</v>
      </c>
      <c r="I33" s="312">
        <v>4301</v>
      </c>
      <c r="J33" s="315" t="s">
        <v>1261</v>
      </c>
      <c r="K33" s="321" t="s">
        <v>143</v>
      </c>
      <c r="L33" s="312" t="s">
        <v>31</v>
      </c>
      <c r="M33" s="344" t="s">
        <v>144</v>
      </c>
      <c r="N33" s="312">
        <v>4301004</v>
      </c>
      <c r="O33" s="344" t="s">
        <v>145</v>
      </c>
      <c r="P33" s="312" t="s">
        <v>31</v>
      </c>
      <c r="Q33" s="344" t="s">
        <v>146</v>
      </c>
      <c r="R33" s="312">
        <v>430100401</v>
      </c>
      <c r="S33" s="344" t="s">
        <v>147</v>
      </c>
      <c r="T33" s="317" t="s">
        <v>1460</v>
      </c>
      <c r="U33" s="345">
        <v>3</v>
      </c>
      <c r="V33" s="345"/>
      <c r="W33" s="318">
        <f t="shared" si="1"/>
        <v>3</v>
      </c>
      <c r="X33" s="329">
        <v>6</v>
      </c>
      <c r="Y33" s="320">
        <v>2020003630052</v>
      </c>
      <c r="Z33" s="315" t="s">
        <v>148</v>
      </c>
      <c r="AA33" s="321" t="s">
        <v>149</v>
      </c>
      <c r="AB33" s="365">
        <f>768349952+1664967+130000000+3034000000+1941559801.96</f>
        <v>5875574720.96</v>
      </c>
      <c r="AC33" s="365">
        <v>1977617743.0900002</v>
      </c>
      <c r="AD33" s="365">
        <v>1202382611.0900002</v>
      </c>
      <c r="AE33" s="322"/>
      <c r="AF33" s="322"/>
      <c r="AG33" s="322"/>
      <c r="AH33" s="322"/>
      <c r="AI33" s="322"/>
      <c r="AJ33" s="322"/>
      <c r="AK33" s="322"/>
      <c r="AL33" s="322"/>
      <c r="AM33" s="322"/>
      <c r="AN33" s="322"/>
      <c r="AO33" s="322"/>
      <c r="AP33" s="322"/>
      <c r="AQ33" s="322"/>
      <c r="AR33" s="322"/>
      <c r="AS33" s="322"/>
      <c r="AT33" s="343">
        <v>32000000</v>
      </c>
      <c r="AU33" s="342">
        <v>24914166</v>
      </c>
      <c r="AV33" s="342">
        <v>24914166</v>
      </c>
      <c r="AW33" s="323"/>
      <c r="AX33" s="322"/>
      <c r="AY33" s="322"/>
      <c r="AZ33" s="324"/>
      <c r="BA33" s="322"/>
      <c r="BB33" s="322"/>
      <c r="BC33" s="323"/>
      <c r="BD33" s="322"/>
      <c r="BE33" s="322"/>
      <c r="BF33" s="462">
        <f t="shared" si="5"/>
        <v>5907574720.96</v>
      </c>
      <c r="BG33" s="462">
        <f t="shared" si="6"/>
        <v>2002531909.0900002</v>
      </c>
      <c r="BH33" s="462">
        <f t="shared" si="7"/>
        <v>1227296777.0900002</v>
      </c>
      <c r="BI33" s="315" t="s">
        <v>1474</v>
      </c>
      <c r="BK33" s="327"/>
      <c r="BL33" s="328"/>
    </row>
    <row r="34" spans="1:67" s="326" customFormat="1" ht="117" customHeight="1" x14ac:dyDescent="0.2">
      <c r="A34" s="312">
        <v>308</v>
      </c>
      <c r="B34" s="314" t="s">
        <v>1194</v>
      </c>
      <c r="C34" s="312">
        <v>2</v>
      </c>
      <c r="D34" s="314" t="s">
        <v>1196</v>
      </c>
      <c r="E34" s="312">
        <v>17</v>
      </c>
      <c r="F34" s="314" t="s">
        <v>375</v>
      </c>
      <c r="G34" s="312">
        <v>1709</v>
      </c>
      <c r="H34" s="314" t="s">
        <v>450</v>
      </c>
      <c r="I34" s="312">
        <v>1709</v>
      </c>
      <c r="J34" s="315" t="s">
        <v>1238</v>
      </c>
      <c r="K34" s="364" t="s">
        <v>377</v>
      </c>
      <c r="L34" s="361">
        <v>1709065</v>
      </c>
      <c r="M34" s="364" t="s">
        <v>1152</v>
      </c>
      <c r="N34" s="361">
        <v>1709065</v>
      </c>
      <c r="O34" s="364" t="s">
        <v>1152</v>
      </c>
      <c r="P34" s="361">
        <v>170906500</v>
      </c>
      <c r="Q34" s="364" t="s">
        <v>1152</v>
      </c>
      <c r="R34" s="361">
        <v>170906500</v>
      </c>
      <c r="S34" s="364" t="s">
        <v>1154</v>
      </c>
      <c r="T34" s="317" t="s">
        <v>1459</v>
      </c>
      <c r="U34" s="320">
        <v>1</v>
      </c>
      <c r="V34" s="320"/>
      <c r="W34" s="318">
        <f t="shared" si="1"/>
        <v>1</v>
      </c>
      <c r="X34" s="312">
        <v>0</v>
      </c>
      <c r="Y34" s="320">
        <v>2021003630018</v>
      </c>
      <c r="Z34" s="364" t="s">
        <v>1282</v>
      </c>
      <c r="AA34" s="321" t="s">
        <v>1288</v>
      </c>
      <c r="AB34" s="365"/>
      <c r="AC34" s="365"/>
      <c r="AD34" s="365"/>
      <c r="AE34" s="366"/>
      <c r="AF34" s="366"/>
      <c r="AG34" s="366"/>
      <c r="AH34" s="366"/>
      <c r="AI34" s="366"/>
      <c r="AJ34" s="366"/>
      <c r="AK34" s="366"/>
      <c r="AL34" s="366"/>
      <c r="AM34" s="366"/>
      <c r="AN34" s="366"/>
      <c r="AO34" s="366"/>
      <c r="AP34" s="366"/>
      <c r="AQ34" s="366"/>
      <c r="AR34" s="366"/>
      <c r="AS34" s="366"/>
      <c r="AT34" s="343">
        <f>50000000-10000000-36600000</f>
        <v>3400000</v>
      </c>
      <c r="AU34" s="342">
        <v>3400000</v>
      </c>
      <c r="AV34" s="342">
        <v>3400000</v>
      </c>
      <c r="AW34" s="367"/>
      <c r="AX34" s="366"/>
      <c r="AY34" s="366"/>
      <c r="AZ34" s="368"/>
      <c r="BA34" s="366"/>
      <c r="BB34" s="366"/>
      <c r="BC34" s="367"/>
      <c r="BD34" s="366"/>
      <c r="BE34" s="366"/>
      <c r="BF34" s="462">
        <f t="shared" si="5"/>
        <v>3400000</v>
      </c>
      <c r="BG34" s="462">
        <f t="shared" si="6"/>
        <v>3400000</v>
      </c>
      <c r="BH34" s="462">
        <f t="shared" si="7"/>
        <v>3400000</v>
      </c>
      <c r="BI34" s="315" t="s">
        <v>1474</v>
      </c>
      <c r="BK34" s="327"/>
      <c r="BL34" s="328"/>
    </row>
    <row r="35" spans="1:67" s="326" customFormat="1" ht="117" customHeight="1" x14ac:dyDescent="0.2">
      <c r="A35" s="312">
        <v>308</v>
      </c>
      <c r="B35" s="314" t="s">
        <v>1194</v>
      </c>
      <c r="C35" s="312">
        <v>2</v>
      </c>
      <c r="D35" s="314" t="s">
        <v>1196</v>
      </c>
      <c r="E35" s="312">
        <v>17</v>
      </c>
      <c r="F35" s="314" t="s">
        <v>375</v>
      </c>
      <c r="G35" s="312">
        <v>1709</v>
      </c>
      <c r="H35" s="314" t="s">
        <v>450</v>
      </c>
      <c r="I35" s="312">
        <v>1709</v>
      </c>
      <c r="J35" s="315" t="s">
        <v>1238</v>
      </c>
      <c r="K35" s="364" t="s">
        <v>377</v>
      </c>
      <c r="L35" s="361">
        <v>1709078</v>
      </c>
      <c r="M35" s="364" t="s">
        <v>1153</v>
      </c>
      <c r="N35" s="361">
        <v>1709078</v>
      </c>
      <c r="O35" s="364" t="s">
        <v>1153</v>
      </c>
      <c r="P35" s="361">
        <v>170907800</v>
      </c>
      <c r="Q35" s="364" t="s">
        <v>1153</v>
      </c>
      <c r="R35" s="361">
        <v>170907800</v>
      </c>
      <c r="S35" s="364" t="s">
        <v>1153</v>
      </c>
      <c r="T35" s="317" t="s">
        <v>1459</v>
      </c>
      <c r="U35" s="320">
        <v>1</v>
      </c>
      <c r="V35" s="320"/>
      <c r="W35" s="318">
        <f t="shared" si="1"/>
        <v>1</v>
      </c>
      <c r="X35" s="312">
        <v>0</v>
      </c>
      <c r="Y35" s="320">
        <v>2021003630019</v>
      </c>
      <c r="Z35" s="364" t="s">
        <v>1283</v>
      </c>
      <c r="AA35" s="321" t="s">
        <v>1289</v>
      </c>
      <c r="AB35" s="365"/>
      <c r="AC35" s="365"/>
      <c r="AD35" s="365"/>
      <c r="AE35" s="366"/>
      <c r="AF35" s="366"/>
      <c r="AG35" s="366"/>
      <c r="AH35" s="366"/>
      <c r="AI35" s="366"/>
      <c r="AJ35" s="366"/>
      <c r="AK35" s="366"/>
      <c r="AL35" s="366"/>
      <c r="AM35" s="366"/>
      <c r="AN35" s="366"/>
      <c r="AO35" s="366"/>
      <c r="AP35" s="366"/>
      <c r="AQ35" s="366"/>
      <c r="AR35" s="366"/>
      <c r="AS35" s="366"/>
      <c r="AT35" s="343">
        <f>50000000-10000000</f>
        <v>40000000</v>
      </c>
      <c r="AU35" s="342">
        <v>34400000</v>
      </c>
      <c r="AV35" s="342">
        <v>34247566</v>
      </c>
      <c r="AW35" s="367"/>
      <c r="AX35" s="366"/>
      <c r="AY35" s="366"/>
      <c r="AZ35" s="368"/>
      <c r="BA35" s="366"/>
      <c r="BB35" s="366"/>
      <c r="BC35" s="367"/>
      <c r="BD35" s="366"/>
      <c r="BE35" s="366"/>
      <c r="BF35" s="462">
        <f t="shared" si="5"/>
        <v>40000000</v>
      </c>
      <c r="BG35" s="462">
        <f t="shared" si="6"/>
        <v>34400000</v>
      </c>
      <c r="BH35" s="462">
        <f t="shared" si="7"/>
        <v>34247566</v>
      </c>
      <c r="BI35" s="315" t="s">
        <v>1474</v>
      </c>
      <c r="BK35" s="327"/>
      <c r="BL35" s="328"/>
    </row>
    <row r="36" spans="1:67" s="326" customFormat="1" ht="117" customHeight="1" x14ac:dyDescent="0.2">
      <c r="A36" s="312">
        <v>308</v>
      </c>
      <c r="B36" s="314" t="s">
        <v>1194</v>
      </c>
      <c r="C36" s="312">
        <v>3</v>
      </c>
      <c r="D36" s="314" t="s">
        <v>1197</v>
      </c>
      <c r="E36" s="312">
        <v>24</v>
      </c>
      <c r="F36" s="314" t="s">
        <v>151</v>
      </c>
      <c r="G36" s="312">
        <v>2402</v>
      </c>
      <c r="H36" s="314" t="s">
        <v>152</v>
      </c>
      <c r="I36" s="312">
        <v>2402</v>
      </c>
      <c r="J36" s="315" t="s">
        <v>1243</v>
      </c>
      <c r="K36" s="315" t="s">
        <v>153</v>
      </c>
      <c r="L36" s="312" t="s">
        <v>31</v>
      </c>
      <c r="M36" s="344" t="s">
        <v>154</v>
      </c>
      <c r="N36" s="312">
        <v>2402022</v>
      </c>
      <c r="O36" s="344" t="s">
        <v>155</v>
      </c>
      <c r="P36" s="312" t="s">
        <v>31</v>
      </c>
      <c r="Q36" s="344" t="s">
        <v>156</v>
      </c>
      <c r="R36" s="312">
        <v>240202200</v>
      </c>
      <c r="S36" s="344" t="s">
        <v>157</v>
      </c>
      <c r="T36" s="317" t="s">
        <v>1459</v>
      </c>
      <c r="U36" s="369">
        <v>1</v>
      </c>
      <c r="V36" s="369"/>
      <c r="W36" s="318">
        <f t="shared" si="1"/>
        <v>1</v>
      </c>
      <c r="X36" s="361">
        <v>0</v>
      </c>
      <c r="Y36" s="320">
        <v>2020003630053</v>
      </c>
      <c r="Z36" s="315" t="s">
        <v>158</v>
      </c>
      <c r="AA36" s="321" t="s">
        <v>159</v>
      </c>
      <c r="AB36" s="322"/>
      <c r="AC36" s="322"/>
      <c r="AD36" s="322"/>
      <c r="AE36" s="322"/>
      <c r="AF36" s="322"/>
      <c r="AG36" s="322"/>
      <c r="AH36" s="322"/>
      <c r="AI36" s="322"/>
      <c r="AJ36" s="322"/>
      <c r="AK36" s="322"/>
      <c r="AL36" s="322"/>
      <c r="AM36" s="322"/>
      <c r="AN36" s="322"/>
      <c r="AO36" s="322"/>
      <c r="AP36" s="322"/>
      <c r="AQ36" s="322"/>
      <c r="AR36" s="322"/>
      <c r="AS36" s="322"/>
      <c r="AT36" s="343">
        <f>50000000-40000000</f>
        <v>10000000</v>
      </c>
      <c r="AU36" s="342">
        <v>10000000</v>
      </c>
      <c r="AV36" s="342">
        <v>10000000</v>
      </c>
      <c r="AW36" s="377">
        <f>50000000+50000000</f>
        <v>100000000</v>
      </c>
      <c r="AX36" s="371">
        <v>0</v>
      </c>
      <c r="AY36" s="371">
        <v>0</v>
      </c>
      <c r="AZ36" s="370"/>
      <c r="BA36" s="371"/>
      <c r="BB36" s="371"/>
      <c r="BC36" s="323"/>
      <c r="BD36" s="322"/>
      <c r="BE36" s="322"/>
      <c r="BF36" s="462">
        <f t="shared" si="5"/>
        <v>110000000</v>
      </c>
      <c r="BG36" s="462">
        <f t="shared" si="6"/>
        <v>10000000</v>
      </c>
      <c r="BH36" s="462">
        <f t="shared" si="7"/>
        <v>10000000</v>
      </c>
      <c r="BI36" s="315" t="s">
        <v>1474</v>
      </c>
      <c r="BK36" s="327"/>
      <c r="BL36" s="328"/>
    </row>
    <row r="37" spans="1:67" s="326" customFormat="1" ht="117" customHeight="1" x14ac:dyDescent="0.2">
      <c r="A37" s="312">
        <v>308</v>
      </c>
      <c r="B37" s="314" t="s">
        <v>1194</v>
      </c>
      <c r="C37" s="312">
        <v>3</v>
      </c>
      <c r="D37" s="314" t="s">
        <v>1197</v>
      </c>
      <c r="E37" s="312">
        <v>24</v>
      </c>
      <c r="F37" s="314" t="s">
        <v>151</v>
      </c>
      <c r="G37" s="312">
        <v>2402</v>
      </c>
      <c r="H37" s="314" t="s">
        <v>152</v>
      </c>
      <c r="I37" s="312">
        <v>2402</v>
      </c>
      <c r="J37" s="315" t="s">
        <v>1243</v>
      </c>
      <c r="K37" s="344" t="s">
        <v>153</v>
      </c>
      <c r="L37" s="312" t="s">
        <v>31</v>
      </c>
      <c r="M37" s="344" t="s">
        <v>160</v>
      </c>
      <c r="N37" s="372">
        <v>2402041</v>
      </c>
      <c r="O37" s="344" t="s">
        <v>161</v>
      </c>
      <c r="P37" s="312" t="s">
        <v>31</v>
      </c>
      <c r="Q37" s="344" t="s">
        <v>162</v>
      </c>
      <c r="R37" s="319">
        <v>240204100</v>
      </c>
      <c r="S37" s="344" t="s">
        <v>163</v>
      </c>
      <c r="T37" s="317" t="s">
        <v>1459</v>
      </c>
      <c r="U37" s="373">
        <v>70.379000000000005</v>
      </c>
      <c r="V37" s="373"/>
      <c r="W37" s="374">
        <f t="shared" si="1"/>
        <v>70.379000000000005</v>
      </c>
      <c r="X37" s="361">
        <v>303.5</v>
      </c>
      <c r="Y37" s="320">
        <v>2020003630053</v>
      </c>
      <c r="Z37" s="315" t="s">
        <v>158</v>
      </c>
      <c r="AA37" s="321" t="s">
        <v>159</v>
      </c>
      <c r="AB37" s="322"/>
      <c r="AC37" s="322"/>
      <c r="AD37" s="322"/>
      <c r="AE37" s="322"/>
      <c r="AF37" s="322"/>
      <c r="AG37" s="322"/>
      <c r="AH37" s="322"/>
      <c r="AI37" s="322"/>
      <c r="AJ37" s="322"/>
      <c r="AK37" s="322"/>
      <c r="AL37" s="322"/>
      <c r="AM37" s="322"/>
      <c r="AN37" s="322"/>
      <c r="AO37" s="322"/>
      <c r="AP37" s="322"/>
      <c r="AQ37" s="322"/>
      <c r="AR37" s="322"/>
      <c r="AS37" s="322"/>
      <c r="AT37" s="343">
        <f>300000000-250000000+7297411+210829+20000000+40000000+75268333.67-721.23</f>
        <v>192775852.44000003</v>
      </c>
      <c r="AU37" s="342">
        <v>180890518.68000001</v>
      </c>
      <c r="AV37" s="342">
        <v>175890518.68000001</v>
      </c>
      <c r="AW37" s="465">
        <f>1495430273-50000000-426000000</f>
        <v>1019430273</v>
      </c>
      <c r="AX37" s="346">
        <v>785500000</v>
      </c>
      <c r="AY37" s="346">
        <v>766909256.14999998</v>
      </c>
      <c r="AZ37" s="375"/>
      <c r="BA37" s="346"/>
      <c r="BB37" s="346"/>
      <c r="BC37" s="323">
        <f>1609419084+1945093560+401080689+13798323517+19788720416</f>
        <v>37542637266</v>
      </c>
      <c r="BD37" s="322">
        <v>8427138756</v>
      </c>
      <c r="BE37" s="322">
        <v>3877292443.75</v>
      </c>
      <c r="BF37" s="462">
        <f t="shared" si="5"/>
        <v>38754843391.440002</v>
      </c>
      <c r="BG37" s="462">
        <f t="shared" si="6"/>
        <v>9393529274.6800003</v>
      </c>
      <c r="BH37" s="462">
        <f t="shared" si="7"/>
        <v>4820092218.5799999</v>
      </c>
      <c r="BI37" s="315" t="s">
        <v>1474</v>
      </c>
      <c r="BK37" s="327"/>
      <c r="BL37" s="376"/>
      <c r="BM37" s="376"/>
      <c r="BN37" s="376"/>
      <c r="BO37" s="376"/>
    </row>
    <row r="38" spans="1:67" s="326" customFormat="1" ht="117" customHeight="1" x14ac:dyDescent="0.2">
      <c r="A38" s="312">
        <v>308</v>
      </c>
      <c r="B38" s="314" t="s">
        <v>1194</v>
      </c>
      <c r="C38" s="312">
        <v>3</v>
      </c>
      <c r="D38" s="314" t="s">
        <v>1197</v>
      </c>
      <c r="E38" s="312">
        <v>24</v>
      </c>
      <c r="F38" s="314" t="s">
        <v>151</v>
      </c>
      <c r="G38" s="312">
        <v>2402</v>
      </c>
      <c r="H38" s="314" t="s">
        <v>152</v>
      </c>
      <c r="I38" s="312">
        <v>2402</v>
      </c>
      <c r="J38" s="315" t="s">
        <v>1243</v>
      </c>
      <c r="K38" s="344" t="s">
        <v>153</v>
      </c>
      <c r="L38" s="312" t="s">
        <v>31</v>
      </c>
      <c r="M38" s="315" t="s">
        <v>164</v>
      </c>
      <c r="N38" s="312">
        <v>2402118</v>
      </c>
      <c r="O38" s="315" t="s">
        <v>165</v>
      </c>
      <c r="P38" s="312" t="s">
        <v>31</v>
      </c>
      <c r="Q38" s="316" t="s">
        <v>166</v>
      </c>
      <c r="R38" s="312">
        <v>240211800</v>
      </c>
      <c r="S38" s="316" t="s">
        <v>167</v>
      </c>
      <c r="T38" s="317" t="s">
        <v>1460</v>
      </c>
      <c r="U38" s="345">
        <v>1</v>
      </c>
      <c r="V38" s="345">
        <v>4</v>
      </c>
      <c r="W38" s="318">
        <f t="shared" si="1"/>
        <v>5</v>
      </c>
      <c r="X38" s="329">
        <v>2</v>
      </c>
      <c r="Y38" s="320">
        <v>2020003630054</v>
      </c>
      <c r="Z38" s="316" t="s">
        <v>1340</v>
      </c>
      <c r="AA38" s="321" t="s">
        <v>169</v>
      </c>
      <c r="AB38" s="322"/>
      <c r="AC38" s="322"/>
      <c r="AD38" s="322"/>
      <c r="AE38" s="322"/>
      <c r="AF38" s="322"/>
      <c r="AG38" s="322"/>
      <c r="AH38" s="322"/>
      <c r="AI38" s="322"/>
      <c r="AJ38" s="322"/>
      <c r="AK38" s="322"/>
      <c r="AL38" s="322"/>
      <c r="AM38" s="322"/>
      <c r="AN38" s="322"/>
      <c r="AO38" s="322"/>
      <c r="AP38" s="322"/>
      <c r="AQ38" s="322"/>
      <c r="AR38" s="322"/>
      <c r="AS38" s="322"/>
      <c r="AT38" s="343">
        <f>50000000-10000000+115000000</f>
        <v>155000000</v>
      </c>
      <c r="AU38" s="342">
        <v>155000000</v>
      </c>
      <c r="AV38" s="342">
        <v>0</v>
      </c>
      <c r="AW38" s="377">
        <f>150000000-150000000</f>
        <v>0</v>
      </c>
      <c r="AX38" s="371"/>
      <c r="AY38" s="371"/>
      <c r="AZ38" s="370"/>
      <c r="BA38" s="371"/>
      <c r="BB38" s="371"/>
      <c r="BC38" s="323"/>
      <c r="BD38" s="322"/>
      <c r="BE38" s="322"/>
      <c r="BF38" s="462">
        <f t="shared" si="5"/>
        <v>155000000</v>
      </c>
      <c r="BG38" s="462">
        <f t="shared" si="6"/>
        <v>155000000</v>
      </c>
      <c r="BH38" s="462">
        <f t="shared" si="7"/>
        <v>0</v>
      </c>
      <c r="BI38" s="315" t="s">
        <v>1474</v>
      </c>
      <c r="BK38" s="327"/>
      <c r="BL38" s="328"/>
    </row>
    <row r="39" spans="1:67" s="326" customFormat="1" ht="117" customHeight="1" x14ac:dyDescent="0.2">
      <c r="A39" s="312">
        <v>308</v>
      </c>
      <c r="B39" s="314" t="s">
        <v>1194</v>
      </c>
      <c r="C39" s="312">
        <v>3</v>
      </c>
      <c r="D39" s="314" t="s">
        <v>1197</v>
      </c>
      <c r="E39" s="312">
        <v>24</v>
      </c>
      <c r="F39" s="314" t="s">
        <v>151</v>
      </c>
      <c r="G39" s="312">
        <v>2402</v>
      </c>
      <c r="H39" s="314" t="s">
        <v>152</v>
      </c>
      <c r="I39" s="312">
        <v>2402</v>
      </c>
      <c r="J39" s="315" t="s">
        <v>1243</v>
      </c>
      <c r="K39" s="344" t="s">
        <v>1512</v>
      </c>
      <c r="L39" s="312" t="s">
        <v>31</v>
      </c>
      <c r="M39" s="315" t="s">
        <v>160</v>
      </c>
      <c r="N39" s="312">
        <v>2402006</v>
      </c>
      <c r="O39" s="315" t="s">
        <v>1513</v>
      </c>
      <c r="P39" s="312" t="s">
        <v>31</v>
      </c>
      <c r="Q39" s="316" t="s">
        <v>1514</v>
      </c>
      <c r="R39" s="312">
        <v>240200606</v>
      </c>
      <c r="S39" s="316" t="s">
        <v>1515</v>
      </c>
      <c r="T39" s="317" t="s">
        <v>1460</v>
      </c>
      <c r="U39" s="362">
        <v>1.02</v>
      </c>
      <c r="V39" s="345"/>
      <c r="W39" s="378">
        <f t="shared" si="1"/>
        <v>1.02</v>
      </c>
      <c r="X39" s="329">
        <v>0</v>
      </c>
      <c r="Y39" s="320">
        <v>2018000040059</v>
      </c>
      <c r="Z39" s="316" t="s">
        <v>1516</v>
      </c>
      <c r="AA39" s="321" t="s">
        <v>1517</v>
      </c>
      <c r="AB39" s="322"/>
      <c r="AC39" s="322"/>
      <c r="AD39" s="322"/>
      <c r="AE39" s="322"/>
      <c r="AF39" s="322"/>
      <c r="AG39" s="322"/>
      <c r="AH39" s="322"/>
      <c r="AI39" s="322"/>
      <c r="AJ39" s="322"/>
      <c r="AK39" s="322"/>
      <c r="AL39" s="322"/>
      <c r="AM39" s="322"/>
      <c r="AN39" s="322"/>
      <c r="AO39" s="322"/>
      <c r="AP39" s="322"/>
      <c r="AQ39" s="322"/>
      <c r="AR39" s="322"/>
      <c r="AS39" s="322"/>
      <c r="AT39" s="343"/>
      <c r="AU39" s="342"/>
      <c r="AV39" s="342"/>
      <c r="AW39" s="377"/>
      <c r="AX39" s="371"/>
      <c r="AY39" s="371"/>
      <c r="AZ39" s="370">
        <v>6536661612</v>
      </c>
      <c r="BA39" s="371"/>
      <c r="BB39" s="371"/>
      <c r="BC39" s="323"/>
      <c r="BD39" s="322"/>
      <c r="BE39" s="322"/>
      <c r="BF39" s="462">
        <f t="shared" si="5"/>
        <v>6536661612</v>
      </c>
      <c r="BG39" s="462">
        <f t="shared" si="6"/>
        <v>0</v>
      </c>
      <c r="BH39" s="462">
        <f t="shared" si="7"/>
        <v>0</v>
      </c>
      <c r="BI39" s="315"/>
      <c r="BK39" s="327"/>
      <c r="BL39" s="328"/>
    </row>
    <row r="40" spans="1:67" s="326" customFormat="1" ht="117" customHeight="1" x14ac:dyDescent="0.2">
      <c r="A40" s="312">
        <v>308</v>
      </c>
      <c r="B40" s="314" t="s">
        <v>1194</v>
      </c>
      <c r="C40" s="312">
        <v>3</v>
      </c>
      <c r="D40" s="314" t="s">
        <v>1197</v>
      </c>
      <c r="E40" s="312">
        <v>24</v>
      </c>
      <c r="F40" s="314" t="s">
        <v>151</v>
      </c>
      <c r="G40" s="312">
        <v>2402</v>
      </c>
      <c r="H40" s="314" t="s">
        <v>152</v>
      </c>
      <c r="I40" s="312">
        <v>2402</v>
      </c>
      <c r="J40" s="315" t="s">
        <v>1243</v>
      </c>
      <c r="K40" s="344" t="s">
        <v>1512</v>
      </c>
      <c r="L40" s="312" t="s">
        <v>31</v>
      </c>
      <c r="M40" s="315" t="s">
        <v>160</v>
      </c>
      <c r="N40" s="312">
        <v>2402006</v>
      </c>
      <c r="O40" s="315" t="s">
        <v>1513</v>
      </c>
      <c r="P40" s="312" t="s">
        <v>31</v>
      </c>
      <c r="Q40" s="316" t="s">
        <v>1514</v>
      </c>
      <c r="R40" s="312">
        <v>240200606</v>
      </c>
      <c r="S40" s="316" t="s">
        <v>1515</v>
      </c>
      <c r="T40" s="317" t="s">
        <v>1460</v>
      </c>
      <c r="U40" s="362">
        <v>1.02</v>
      </c>
      <c r="V40" s="345"/>
      <c r="W40" s="318">
        <f t="shared" si="1"/>
        <v>1.02</v>
      </c>
      <c r="X40" s="329">
        <v>0</v>
      </c>
      <c r="Y40" s="320">
        <v>2022003630010</v>
      </c>
      <c r="Z40" s="316" t="s">
        <v>1518</v>
      </c>
      <c r="AA40" s="321" t="s">
        <v>1519</v>
      </c>
      <c r="AB40" s="322"/>
      <c r="AC40" s="322"/>
      <c r="AD40" s="322"/>
      <c r="AE40" s="322"/>
      <c r="AF40" s="322"/>
      <c r="AG40" s="322"/>
      <c r="AH40" s="322"/>
      <c r="AI40" s="322"/>
      <c r="AJ40" s="322"/>
      <c r="AK40" s="322"/>
      <c r="AL40" s="322"/>
      <c r="AM40" s="322"/>
      <c r="AN40" s="322"/>
      <c r="AO40" s="322"/>
      <c r="AP40" s="322"/>
      <c r="AQ40" s="322"/>
      <c r="AR40" s="322"/>
      <c r="AS40" s="322"/>
      <c r="AT40" s="343"/>
      <c r="AU40" s="342"/>
      <c r="AV40" s="342"/>
      <c r="AW40" s="377"/>
      <c r="AX40" s="371"/>
      <c r="AY40" s="371"/>
      <c r="AZ40" s="370">
        <v>9133426135</v>
      </c>
      <c r="BA40" s="371"/>
      <c r="BB40" s="371"/>
      <c r="BC40" s="323"/>
      <c r="BD40" s="322"/>
      <c r="BE40" s="322"/>
      <c r="BF40" s="462">
        <f t="shared" si="5"/>
        <v>9133426135</v>
      </c>
      <c r="BG40" s="462">
        <f t="shared" si="6"/>
        <v>0</v>
      </c>
      <c r="BH40" s="462">
        <f t="shared" si="7"/>
        <v>0</v>
      </c>
      <c r="BI40" s="315"/>
      <c r="BK40" s="327"/>
      <c r="BL40" s="328"/>
    </row>
    <row r="41" spans="1:67" s="326" customFormat="1" ht="117" customHeight="1" x14ac:dyDescent="0.2">
      <c r="A41" s="312">
        <v>308</v>
      </c>
      <c r="B41" s="314" t="s">
        <v>1194</v>
      </c>
      <c r="C41" s="312">
        <v>3</v>
      </c>
      <c r="D41" s="314" t="s">
        <v>1197</v>
      </c>
      <c r="E41" s="312">
        <v>32</v>
      </c>
      <c r="F41" s="314" t="s">
        <v>170</v>
      </c>
      <c r="G41" s="312">
        <v>3205</v>
      </c>
      <c r="H41" s="314" t="s">
        <v>171</v>
      </c>
      <c r="I41" s="312">
        <v>3205</v>
      </c>
      <c r="J41" s="315" t="s">
        <v>1248</v>
      </c>
      <c r="K41" s="315" t="s">
        <v>172</v>
      </c>
      <c r="L41" s="319">
        <v>3205010</v>
      </c>
      <c r="M41" s="315" t="s">
        <v>173</v>
      </c>
      <c r="N41" s="319">
        <v>3205010</v>
      </c>
      <c r="O41" s="315" t="s">
        <v>173</v>
      </c>
      <c r="P41" s="319" t="s">
        <v>174</v>
      </c>
      <c r="Q41" s="316" t="s">
        <v>175</v>
      </c>
      <c r="R41" s="319">
        <v>320501000</v>
      </c>
      <c r="S41" s="316" t="s">
        <v>175</v>
      </c>
      <c r="T41" s="317" t="s">
        <v>1460</v>
      </c>
      <c r="U41" s="345">
        <v>3</v>
      </c>
      <c r="V41" s="345">
        <v>1</v>
      </c>
      <c r="W41" s="318">
        <f t="shared" si="1"/>
        <v>4</v>
      </c>
      <c r="X41" s="329">
        <v>1</v>
      </c>
      <c r="Y41" s="379">
        <v>2021003630004</v>
      </c>
      <c r="Z41" s="316" t="s">
        <v>176</v>
      </c>
      <c r="AA41" s="321" t="s">
        <v>177</v>
      </c>
      <c r="AB41" s="322"/>
      <c r="AC41" s="322"/>
      <c r="AD41" s="322"/>
      <c r="AE41" s="322"/>
      <c r="AF41" s="322"/>
      <c r="AG41" s="322"/>
      <c r="AH41" s="322"/>
      <c r="AI41" s="322"/>
      <c r="AJ41" s="322"/>
      <c r="AK41" s="322"/>
      <c r="AL41" s="322"/>
      <c r="AM41" s="322"/>
      <c r="AN41" s="322"/>
      <c r="AO41" s="322"/>
      <c r="AP41" s="322"/>
      <c r="AQ41" s="322"/>
      <c r="AR41" s="322"/>
      <c r="AS41" s="322"/>
      <c r="AT41" s="343">
        <f>60000000+980696869.44+373588130.56-200000000-5894.18</f>
        <v>1214279105.8199999</v>
      </c>
      <c r="AU41" s="342">
        <v>1040690975.26</v>
      </c>
      <c r="AV41" s="342">
        <v>1040690975.26</v>
      </c>
      <c r="AW41" s="377">
        <f>1000000000-400000000+500000000</f>
        <v>1100000000</v>
      </c>
      <c r="AX41" s="371">
        <v>209900000</v>
      </c>
      <c r="AY41" s="371">
        <v>9900000</v>
      </c>
      <c r="AZ41" s="370"/>
      <c r="BA41" s="371"/>
      <c r="BB41" s="371"/>
      <c r="BC41" s="323"/>
      <c r="BD41" s="322"/>
      <c r="BE41" s="322"/>
      <c r="BF41" s="462">
        <f t="shared" si="5"/>
        <v>2314279105.8199997</v>
      </c>
      <c r="BG41" s="462">
        <f t="shared" si="6"/>
        <v>1250590975.26</v>
      </c>
      <c r="BH41" s="462">
        <f t="shared" si="7"/>
        <v>1050590975.26</v>
      </c>
      <c r="BI41" s="315" t="s">
        <v>1474</v>
      </c>
      <c r="BK41" s="327"/>
      <c r="BL41" s="328"/>
    </row>
    <row r="42" spans="1:67" s="326" customFormat="1" ht="117" customHeight="1" x14ac:dyDescent="0.2">
      <c r="A42" s="312">
        <v>308</v>
      </c>
      <c r="B42" s="314" t="s">
        <v>1194</v>
      </c>
      <c r="C42" s="312">
        <v>3</v>
      </c>
      <c r="D42" s="314" t="s">
        <v>1197</v>
      </c>
      <c r="E42" s="312">
        <v>32</v>
      </c>
      <c r="F42" s="314" t="s">
        <v>170</v>
      </c>
      <c r="G42" s="312">
        <v>3205</v>
      </c>
      <c r="H42" s="314" t="s">
        <v>171</v>
      </c>
      <c r="I42" s="312">
        <v>3205</v>
      </c>
      <c r="J42" s="315" t="s">
        <v>1248</v>
      </c>
      <c r="K42" s="315" t="s">
        <v>1144</v>
      </c>
      <c r="L42" s="319">
        <v>3205021</v>
      </c>
      <c r="M42" s="315" t="s">
        <v>178</v>
      </c>
      <c r="N42" s="319">
        <v>3205021</v>
      </c>
      <c r="O42" s="315" t="s">
        <v>178</v>
      </c>
      <c r="P42" s="319">
        <v>320502100</v>
      </c>
      <c r="Q42" s="316" t="s">
        <v>179</v>
      </c>
      <c r="R42" s="319">
        <v>320502100</v>
      </c>
      <c r="S42" s="316" t="s">
        <v>179</v>
      </c>
      <c r="T42" s="317" t="s">
        <v>1460</v>
      </c>
      <c r="U42" s="345">
        <v>3</v>
      </c>
      <c r="V42" s="345">
        <v>1</v>
      </c>
      <c r="W42" s="318">
        <f t="shared" si="1"/>
        <v>4</v>
      </c>
      <c r="X42" s="329">
        <v>2</v>
      </c>
      <c r="Y42" s="379">
        <v>2021003630002</v>
      </c>
      <c r="Z42" s="316" t="s">
        <v>1341</v>
      </c>
      <c r="AA42" s="321" t="s">
        <v>181</v>
      </c>
      <c r="AB42" s="322"/>
      <c r="AC42" s="322"/>
      <c r="AD42" s="322"/>
      <c r="AE42" s="322"/>
      <c r="AF42" s="322"/>
      <c r="AG42" s="322"/>
      <c r="AH42" s="322"/>
      <c r="AI42" s="322"/>
      <c r="AJ42" s="322"/>
      <c r="AK42" s="322"/>
      <c r="AL42" s="322"/>
      <c r="AM42" s="322"/>
      <c r="AN42" s="322"/>
      <c r="AO42" s="322"/>
      <c r="AP42" s="322"/>
      <c r="AQ42" s="322"/>
      <c r="AR42" s="322"/>
      <c r="AS42" s="322"/>
      <c r="AT42" s="343">
        <f>100000000+58000000+5000000+788472133.72-200000000</f>
        <v>751472133.72000003</v>
      </c>
      <c r="AU42" s="342">
        <v>154418648</v>
      </c>
      <c r="AV42" s="342">
        <v>144418648</v>
      </c>
      <c r="AW42" s="377">
        <f>300000000+330000000</f>
        <v>630000000</v>
      </c>
      <c r="AX42" s="371">
        <v>167158639.75</v>
      </c>
      <c r="AY42" s="371">
        <v>135731025.75</v>
      </c>
      <c r="AZ42" s="370"/>
      <c r="BA42" s="371"/>
      <c r="BB42" s="371"/>
      <c r="BC42" s="323"/>
      <c r="BD42" s="322"/>
      <c r="BE42" s="322"/>
      <c r="BF42" s="462">
        <f t="shared" si="5"/>
        <v>1381472133.72</v>
      </c>
      <c r="BG42" s="462">
        <f t="shared" si="6"/>
        <v>321577287.75</v>
      </c>
      <c r="BH42" s="462">
        <f t="shared" si="7"/>
        <v>280149673.75</v>
      </c>
      <c r="BI42" s="315" t="s">
        <v>1474</v>
      </c>
      <c r="BK42" s="327"/>
      <c r="BL42" s="328"/>
    </row>
    <row r="43" spans="1:67" s="326" customFormat="1" ht="117" customHeight="1" x14ac:dyDescent="0.2">
      <c r="A43" s="312">
        <v>308</v>
      </c>
      <c r="B43" s="314" t="s">
        <v>1194</v>
      </c>
      <c r="C43" s="312">
        <v>3</v>
      </c>
      <c r="D43" s="314" t="s">
        <v>1197</v>
      </c>
      <c r="E43" s="312">
        <v>40</v>
      </c>
      <c r="F43" s="314" t="s">
        <v>1214</v>
      </c>
      <c r="G43" s="312">
        <v>4001</v>
      </c>
      <c r="H43" s="314" t="s">
        <v>183</v>
      </c>
      <c r="I43" s="312">
        <v>4001</v>
      </c>
      <c r="J43" s="315" t="s">
        <v>1255</v>
      </c>
      <c r="K43" s="315" t="s">
        <v>184</v>
      </c>
      <c r="L43" s="372">
        <v>4001015</v>
      </c>
      <c r="M43" s="315" t="s">
        <v>185</v>
      </c>
      <c r="N43" s="372">
        <v>4001015</v>
      </c>
      <c r="O43" s="315" t="s">
        <v>185</v>
      </c>
      <c r="P43" s="329" t="s">
        <v>186</v>
      </c>
      <c r="Q43" s="316" t="s">
        <v>187</v>
      </c>
      <c r="R43" s="329">
        <v>400101500</v>
      </c>
      <c r="S43" s="316" t="s">
        <v>187</v>
      </c>
      <c r="T43" s="317" t="s">
        <v>1460</v>
      </c>
      <c r="U43" s="345">
        <v>120</v>
      </c>
      <c r="V43" s="345">
        <v>46</v>
      </c>
      <c r="W43" s="318">
        <f t="shared" si="1"/>
        <v>166</v>
      </c>
      <c r="X43" s="329">
        <v>0</v>
      </c>
      <c r="Y43" s="320">
        <v>2020003630057</v>
      </c>
      <c r="Z43" s="316" t="s">
        <v>188</v>
      </c>
      <c r="AA43" s="321" t="s">
        <v>189</v>
      </c>
      <c r="AB43" s="322">
        <v>360000000</v>
      </c>
      <c r="AC43" s="322">
        <v>0</v>
      </c>
      <c r="AD43" s="322">
        <v>0</v>
      </c>
      <c r="AE43" s="322"/>
      <c r="AF43" s="322"/>
      <c r="AG43" s="322"/>
      <c r="AH43" s="322"/>
      <c r="AI43" s="322"/>
      <c r="AJ43" s="322"/>
      <c r="AK43" s="322"/>
      <c r="AL43" s="322"/>
      <c r="AM43" s="322"/>
      <c r="AN43" s="322"/>
      <c r="AO43" s="322"/>
      <c r="AP43" s="322"/>
      <c r="AQ43" s="322"/>
      <c r="AR43" s="322"/>
      <c r="AS43" s="322"/>
      <c r="AT43" s="343">
        <v>20000000</v>
      </c>
      <c r="AU43" s="342">
        <v>0</v>
      </c>
      <c r="AV43" s="342">
        <v>0</v>
      </c>
      <c r="AW43" s="377"/>
      <c r="AX43" s="371"/>
      <c r="AY43" s="371"/>
      <c r="AZ43" s="370"/>
      <c r="BA43" s="371"/>
      <c r="BB43" s="371"/>
      <c r="BC43" s="323"/>
      <c r="BD43" s="322"/>
      <c r="BE43" s="322"/>
      <c r="BF43" s="462">
        <f t="shared" si="5"/>
        <v>380000000</v>
      </c>
      <c r="BG43" s="462">
        <f t="shared" si="6"/>
        <v>0</v>
      </c>
      <c r="BH43" s="462">
        <f t="shared" si="7"/>
        <v>0</v>
      </c>
      <c r="BI43" s="315" t="s">
        <v>1474</v>
      </c>
      <c r="BK43" s="327"/>
      <c r="BL43" s="328"/>
    </row>
    <row r="44" spans="1:67" s="326" customFormat="1" ht="117" customHeight="1" x14ac:dyDescent="0.2">
      <c r="A44" s="312">
        <v>308</v>
      </c>
      <c r="B44" s="314" t="s">
        <v>1194</v>
      </c>
      <c r="C44" s="312">
        <v>3</v>
      </c>
      <c r="D44" s="314" t="s">
        <v>1197</v>
      </c>
      <c r="E44" s="312">
        <v>40</v>
      </c>
      <c r="F44" s="314" t="s">
        <v>1214</v>
      </c>
      <c r="G44" s="312">
        <v>4003</v>
      </c>
      <c r="H44" s="314" t="s">
        <v>190</v>
      </c>
      <c r="I44" s="312">
        <v>4003</v>
      </c>
      <c r="J44" s="315" t="s">
        <v>1256</v>
      </c>
      <c r="K44" s="344" t="s">
        <v>191</v>
      </c>
      <c r="L44" s="319" t="s">
        <v>31</v>
      </c>
      <c r="M44" s="315" t="s">
        <v>192</v>
      </c>
      <c r="N44" s="312">
        <v>4003006</v>
      </c>
      <c r="O44" s="315" t="s">
        <v>193</v>
      </c>
      <c r="P44" s="319" t="s">
        <v>31</v>
      </c>
      <c r="Q44" s="316" t="s">
        <v>194</v>
      </c>
      <c r="R44" s="312">
        <v>400300600</v>
      </c>
      <c r="S44" s="316" t="s">
        <v>195</v>
      </c>
      <c r="T44" s="317" t="s">
        <v>1459</v>
      </c>
      <c r="U44" s="369">
        <v>0</v>
      </c>
      <c r="V44" s="369">
        <v>1</v>
      </c>
      <c r="W44" s="318">
        <f>V44</f>
        <v>1</v>
      </c>
      <c r="X44" s="361">
        <v>0</v>
      </c>
      <c r="Y44" s="320">
        <v>2020003630014</v>
      </c>
      <c r="Z44" s="316" t="s">
        <v>1166</v>
      </c>
      <c r="AA44" s="321" t="s">
        <v>196</v>
      </c>
      <c r="AB44" s="322"/>
      <c r="AC44" s="322"/>
      <c r="AD44" s="322"/>
      <c r="AE44" s="322"/>
      <c r="AF44" s="322"/>
      <c r="AG44" s="322"/>
      <c r="AH44" s="322"/>
      <c r="AI44" s="322"/>
      <c r="AJ44" s="322"/>
      <c r="AK44" s="322"/>
      <c r="AL44" s="322"/>
      <c r="AM44" s="322"/>
      <c r="AN44" s="322"/>
      <c r="AO44" s="322"/>
      <c r="AP44" s="322"/>
      <c r="AQ44" s="322">
        <v>100000000</v>
      </c>
      <c r="AR44" s="322">
        <v>100000000</v>
      </c>
      <c r="AS44" s="322">
        <v>100000000</v>
      </c>
      <c r="AT44" s="343"/>
      <c r="AU44" s="342"/>
      <c r="AV44" s="342"/>
      <c r="AW44" s="377"/>
      <c r="AX44" s="371"/>
      <c r="AY44" s="371"/>
      <c r="AZ44" s="370"/>
      <c r="BA44" s="371"/>
      <c r="BB44" s="371"/>
      <c r="BC44" s="323"/>
      <c r="BD44" s="322"/>
      <c r="BE44" s="322"/>
      <c r="BF44" s="462">
        <f t="shared" si="5"/>
        <v>100000000</v>
      </c>
      <c r="BG44" s="462">
        <f t="shared" si="6"/>
        <v>100000000</v>
      </c>
      <c r="BH44" s="462">
        <f t="shared" si="7"/>
        <v>100000000</v>
      </c>
      <c r="BI44" s="315" t="s">
        <v>1474</v>
      </c>
      <c r="BK44" s="327"/>
      <c r="BL44" s="328"/>
    </row>
    <row r="45" spans="1:67" s="326" customFormat="1" ht="117" customHeight="1" x14ac:dyDescent="0.2">
      <c r="A45" s="312">
        <v>308</v>
      </c>
      <c r="B45" s="314" t="s">
        <v>1194</v>
      </c>
      <c r="C45" s="312">
        <v>3</v>
      </c>
      <c r="D45" s="314" t="s">
        <v>1197</v>
      </c>
      <c r="E45" s="312">
        <v>40</v>
      </c>
      <c r="F45" s="314" t="s">
        <v>1214</v>
      </c>
      <c r="G45" s="312">
        <v>4003</v>
      </c>
      <c r="H45" s="314" t="s">
        <v>190</v>
      </c>
      <c r="I45" s="312">
        <v>4003</v>
      </c>
      <c r="J45" s="315" t="s">
        <v>1256</v>
      </c>
      <c r="K45" s="344" t="s">
        <v>197</v>
      </c>
      <c r="L45" s="319">
        <v>4003018</v>
      </c>
      <c r="M45" s="344" t="s">
        <v>198</v>
      </c>
      <c r="N45" s="319">
        <v>4003018</v>
      </c>
      <c r="O45" s="344" t="s">
        <v>198</v>
      </c>
      <c r="P45" s="319">
        <v>400301802</v>
      </c>
      <c r="Q45" s="316" t="s">
        <v>199</v>
      </c>
      <c r="R45" s="319">
        <v>400301802</v>
      </c>
      <c r="S45" s="316" t="s">
        <v>199</v>
      </c>
      <c r="T45" s="317" t="s">
        <v>1460</v>
      </c>
      <c r="U45" s="369">
        <v>0</v>
      </c>
      <c r="V45" s="369">
        <v>1</v>
      </c>
      <c r="W45" s="318">
        <f>U45+V45</f>
        <v>1</v>
      </c>
      <c r="X45" s="361">
        <v>1</v>
      </c>
      <c r="Y45" s="320">
        <v>2020003630014</v>
      </c>
      <c r="Z45" s="316" t="s">
        <v>1166</v>
      </c>
      <c r="AA45" s="321" t="s">
        <v>196</v>
      </c>
      <c r="AB45" s="322"/>
      <c r="AC45" s="322"/>
      <c r="AD45" s="322"/>
      <c r="AE45" s="322"/>
      <c r="AF45" s="322"/>
      <c r="AG45" s="322"/>
      <c r="AH45" s="322"/>
      <c r="AI45" s="322"/>
      <c r="AJ45" s="322"/>
      <c r="AK45" s="322"/>
      <c r="AL45" s="322"/>
      <c r="AM45" s="322"/>
      <c r="AN45" s="322"/>
      <c r="AO45" s="322"/>
      <c r="AP45" s="322"/>
      <c r="AQ45" s="322">
        <f>514799289+311522</f>
        <v>515110811</v>
      </c>
      <c r="AR45" s="322">
        <v>515110811</v>
      </c>
      <c r="AS45" s="322">
        <v>515110811</v>
      </c>
      <c r="AT45" s="343"/>
      <c r="AU45" s="342"/>
      <c r="AV45" s="342"/>
      <c r="AW45" s="377"/>
      <c r="AX45" s="371"/>
      <c r="AY45" s="371"/>
      <c r="AZ45" s="370"/>
      <c r="BA45" s="371"/>
      <c r="BB45" s="371"/>
      <c r="BC45" s="323"/>
      <c r="BD45" s="322"/>
      <c r="BE45" s="322"/>
      <c r="BF45" s="462">
        <f t="shared" si="5"/>
        <v>515110811</v>
      </c>
      <c r="BG45" s="462">
        <f t="shared" si="6"/>
        <v>515110811</v>
      </c>
      <c r="BH45" s="462">
        <f t="shared" si="7"/>
        <v>515110811</v>
      </c>
      <c r="BI45" s="315" t="s">
        <v>1474</v>
      </c>
      <c r="BK45" s="327"/>
      <c r="BL45" s="328"/>
    </row>
    <row r="46" spans="1:67" s="326" customFormat="1" ht="117" customHeight="1" x14ac:dyDescent="0.2">
      <c r="A46" s="312">
        <v>308</v>
      </c>
      <c r="B46" s="314" t="s">
        <v>1194</v>
      </c>
      <c r="C46" s="312">
        <v>3</v>
      </c>
      <c r="D46" s="314" t="s">
        <v>1197</v>
      </c>
      <c r="E46" s="312">
        <v>40</v>
      </c>
      <c r="F46" s="314" t="s">
        <v>1214</v>
      </c>
      <c r="G46" s="312">
        <v>4003</v>
      </c>
      <c r="H46" s="314" t="s">
        <v>190</v>
      </c>
      <c r="I46" s="312">
        <v>4003</v>
      </c>
      <c r="J46" s="315" t="s">
        <v>1256</v>
      </c>
      <c r="K46" s="344" t="s">
        <v>191</v>
      </c>
      <c r="L46" s="319">
        <v>4003025</v>
      </c>
      <c r="M46" s="344" t="s">
        <v>200</v>
      </c>
      <c r="N46" s="319">
        <v>4003025</v>
      </c>
      <c r="O46" s="344" t="s">
        <v>200</v>
      </c>
      <c r="P46" s="361">
        <v>400302500</v>
      </c>
      <c r="Q46" s="364" t="s">
        <v>201</v>
      </c>
      <c r="R46" s="361">
        <v>400302500</v>
      </c>
      <c r="S46" s="364" t="s">
        <v>201</v>
      </c>
      <c r="T46" s="317" t="s">
        <v>1460</v>
      </c>
      <c r="U46" s="369">
        <v>4</v>
      </c>
      <c r="V46" s="369">
        <v>2</v>
      </c>
      <c r="W46" s="318">
        <f t="shared" si="1"/>
        <v>6</v>
      </c>
      <c r="X46" s="361">
        <v>6</v>
      </c>
      <c r="Y46" s="320">
        <v>2020003630014</v>
      </c>
      <c r="Z46" s="316" t="s">
        <v>1166</v>
      </c>
      <c r="AA46" s="321" t="s">
        <v>196</v>
      </c>
      <c r="AB46" s="322">
        <f>900000000+443419128</f>
        <v>1343419128</v>
      </c>
      <c r="AC46" s="322">
        <v>1066564560.86</v>
      </c>
      <c r="AD46" s="322">
        <v>1066564560.86</v>
      </c>
      <c r="AE46" s="322"/>
      <c r="AF46" s="322"/>
      <c r="AG46" s="322"/>
      <c r="AH46" s="322"/>
      <c r="AI46" s="322"/>
      <c r="AJ46" s="322"/>
      <c r="AK46" s="322"/>
      <c r="AL46" s="322"/>
      <c r="AM46" s="322"/>
      <c r="AN46" s="322"/>
      <c r="AO46" s="322"/>
      <c r="AP46" s="322"/>
      <c r="AQ46" s="322">
        <f>300000000+664789.8</f>
        <v>300664789.80000001</v>
      </c>
      <c r="AR46" s="322">
        <v>300000000</v>
      </c>
      <c r="AS46" s="322">
        <v>300000000</v>
      </c>
      <c r="AT46" s="343"/>
      <c r="AU46" s="342"/>
      <c r="AV46" s="342"/>
      <c r="AW46" s="377"/>
      <c r="AX46" s="371"/>
      <c r="AY46" s="371"/>
      <c r="AZ46" s="370"/>
      <c r="BA46" s="371"/>
      <c r="BB46" s="371"/>
      <c r="BC46" s="323"/>
      <c r="BD46" s="322"/>
      <c r="BE46" s="322"/>
      <c r="BF46" s="462">
        <f t="shared" si="5"/>
        <v>1644083917.8</v>
      </c>
      <c r="BG46" s="462">
        <f t="shared" si="6"/>
        <v>1366564560.8600001</v>
      </c>
      <c r="BH46" s="462">
        <f t="shared" si="7"/>
        <v>1366564560.8600001</v>
      </c>
      <c r="BI46" s="315" t="s">
        <v>1474</v>
      </c>
      <c r="BK46" s="327"/>
      <c r="BL46" s="328"/>
    </row>
    <row r="47" spans="1:67" s="326" customFormat="1" ht="117" customHeight="1" x14ac:dyDescent="0.2">
      <c r="A47" s="312">
        <v>308</v>
      </c>
      <c r="B47" s="314" t="s">
        <v>1194</v>
      </c>
      <c r="C47" s="312">
        <v>3</v>
      </c>
      <c r="D47" s="314" t="s">
        <v>1197</v>
      </c>
      <c r="E47" s="312">
        <v>40</v>
      </c>
      <c r="F47" s="314" t="s">
        <v>1214</v>
      </c>
      <c r="G47" s="312">
        <v>4003</v>
      </c>
      <c r="H47" s="314" t="s">
        <v>190</v>
      </c>
      <c r="I47" s="312">
        <v>4003</v>
      </c>
      <c r="J47" s="315" t="s">
        <v>1256</v>
      </c>
      <c r="K47" s="344" t="s">
        <v>191</v>
      </c>
      <c r="L47" s="319">
        <v>4003028</v>
      </c>
      <c r="M47" s="344" t="s">
        <v>202</v>
      </c>
      <c r="N47" s="319">
        <v>4003028</v>
      </c>
      <c r="O47" s="344" t="s">
        <v>202</v>
      </c>
      <c r="P47" s="319">
        <v>400302801</v>
      </c>
      <c r="Q47" s="316" t="s">
        <v>203</v>
      </c>
      <c r="R47" s="319">
        <v>400302801</v>
      </c>
      <c r="S47" s="316" t="s">
        <v>203</v>
      </c>
      <c r="T47" s="317" t="s">
        <v>1459</v>
      </c>
      <c r="U47" s="369">
        <v>4</v>
      </c>
      <c r="V47" s="369"/>
      <c r="W47" s="318">
        <f t="shared" si="1"/>
        <v>4</v>
      </c>
      <c r="X47" s="361">
        <v>4</v>
      </c>
      <c r="Y47" s="320">
        <v>2020003630014</v>
      </c>
      <c r="Z47" s="316" t="s">
        <v>1166</v>
      </c>
      <c r="AA47" s="321" t="s">
        <v>196</v>
      </c>
      <c r="AB47" s="322"/>
      <c r="AC47" s="322"/>
      <c r="AD47" s="322"/>
      <c r="AE47" s="322"/>
      <c r="AF47" s="322"/>
      <c r="AG47" s="322"/>
      <c r="AH47" s="322"/>
      <c r="AI47" s="322"/>
      <c r="AJ47" s="322"/>
      <c r="AK47" s="322"/>
      <c r="AL47" s="322"/>
      <c r="AM47" s="322"/>
      <c r="AN47" s="322"/>
      <c r="AO47" s="322"/>
      <c r="AP47" s="322"/>
      <c r="AQ47" s="322">
        <v>185000000</v>
      </c>
      <c r="AR47" s="322">
        <v>185000000</v>
      </c>
      <c r="AS47" s="322">
        <v>185000000</v>
      </c>
      <c r="AT47" s="343"/>
      <c r="AU47" s="342"/>
      <c r="AV47" s="342"/>
      <c r="AW47" s="377"/>
      <c r="AX47" s="371"/>
      <c r="AY47" s="371"/>
      <c r="AZ47" s="370"/>
      <c r="BA47" s="371"/>
      <c r="BB47" s="371"/>
      <c r="BC47" s="323"/>
      <c r="BD47" s="322"/>
      <c r="BE47" s="322"/>
      <c r="BF47" s="462">
        <f t="shared" si="5"/>
        <v>185000000</v>
      </c>
      <c r="BG47" s="462">
        <f t="shared" si="6"/>
        <v>185000000</v>
      </c>
      <c r="BH47" s="462">
        <f t="shared" si="7"/>
        <v>185000000</v>
      </c>
      <c r="BI47" s="315" t="s">
        <v>1474</v>
      </c>
      <c r="BK47" s="327"/>
      <c r="BL47" s="328"/>
    </row>
    <row r="48" spans="1:67" s="326" customFormat="1" ht="117" customHeight="1" x14ac:dyDescent="0.2">
      <c r="A48" s="312">
        <v>308</v>
      </c>
      <c r="B48" s="314" t="s">
        <v>1194</v>
      </c>
      <c r="C48" s="312">
        <v>3</v>
      </c>
      <c r="D48" s="314" t="s">
        <v>1197</v>
      </c>
      <c r="E48" s="312">
        <v>40</v>
      </c>
      <c r="F48" s="314" t="s">
        <v>1214</v>
      </c>
      <c r="G48" s="312">
        <v>4003</v>
      </c>
      <c r="H48" s="314" t="s">
        <v>190</v>
      </c>
      <c r="I48" s="312">
        <v>4003</v>
      </c>
      <c r="J48" s="315" t="s">
        <v>1256</v>
      </c>
      <c r="K48" s="344" t="s">
        <v>191</v>
      </c>
      <c r="L48" s="319">
        <v>4003042</v>
      </c>
      <c r="M48" s="344" t="s">
        <v>204</v>
      </c>
      <c r="N48" s="319">
        <v>4003042</v>
      </c>
      <c r="O48" s="344" t="s">
        <v>204</v>
      </c>
      <c r="P48" s="319">
        <v>400304200</v>
      </c>
      <c r="Q48" s="316" t="s">
        <v>205</v>
      </c>
      <c r="R48" s="319">
        <v>400304200</v>
      </c>
      <c r="S48" s="380" t="s">
        <v>205</v>
      </c>
      <c r="T48" s="317" t="s">
        <v>1460</v>
      </c>
      <c r="U48" s="369">
        <v>2</v>
      </c>
      <c r="V48" s="369"/>
      <c r="W48" s="318">
        <f t="shared" si="1"/>
        <v>2</v>
      </c>
      <c r="X48" s="361">
        <v>2</v>
      </c>
      <c r="Y48" s="320">
        <v>2020003630014</v>
      </c>
      <c r="Z48" s="316" t="s">
        <v>1166</v>
      </c>
      <c r="AA48" s="321" t="s">
        <v>196</v>
      </c>
      <c r="AB48" s="322"/>
      <c r="AC48" s="322"/>
      <c r="AD48" s="322"/>
      <c r="AE48" s="322"/>
      <c r="AF48" s="322"/>
      <c r="AG48" s="322"/>
      <c r="AH48" s="322"/>
      <c r="AI48" s="322"/>
      <c r="AJ48" s="322"/>
      <c r="AK48" s="322"/>
      <c r="AL48" s="322"/>
      <c r="AM48" s="322"/>
      <c r="AN48" s="322"/>
      <c r="AO48" s="322"/>
      <c r="AP48" s="322"/>
      <c r="AQ48" s="322">
        <v>650000000</v>
      </c>
      <c r="AR48" s="322">
        <v>650000000</v>
      </c>
      <c r="AS48" s="322">
        <v>650000000</v>
      </c>
      <c r="AT48" s="343"/>
      <c r="AU48" s="342"/>
      <c r="AV48" s="342"/>
      <c r="AW48" s="377"/>
      <c r="AX48" s="371"/>
      <c r="AY48" s="371"/>
      <c r="AZ48" s="370"/>
      <c r="BA48" s="371"/>
      <c r="BB48" s="371"/>
      <c r="BC48" s="323"/>
      <c r="BD48" s="322"/>
      <c r="BE48" s="322"/>
      <c r="BF48" s="462">
        <f t="shared" si="5"/>
        <v>650000000</v>
      </c>
      <c r="BG48" s="462">
        <f t="shared" si="6"/>
        <v>650000000</v>
      </c>
      <c r="BH48" s="462">
        <f t="shared" si="7"/>
        <v>650000000</v>
      </c>
      <c r="BI48" s="315" t="s">
        <v>1474</v>
      </c>
      <c r="BK48" s="327"/>
      <c r="BL48" s="328"/>
    </row>
    <row r="49" spans="1:64" s="326" customFormat="1" ht="117" customHeight="1" x14ac:dyDescent="0.2">
      <c r="A49" s="312">
        <v>308</v>
      </c>
      <c r="B49" s="314" t="s">
        <v>1194</v>
      </c>
      <c r="C49" s="312">
        <v>3</v>
      </c>
      <c r="D49" s="314" t="s">
        <v>1197</v>
      </c>
      <c r="E49" s="312">
        <v>40</v>
      </c>
      <c r="F49" s="314" t="s">
        <v>1214</v>
      </c>
      <c r="G49" s="312">
        <v>4003</v>
      </c>
      <c r="H49" s="314" t="s">
        <v>190</v>
      </c>
      <c r="I49" s="312">
        <v>4003</v>
      </c>
      <c r="J49" s="315" t="s">
        <v>1256</v>
      </c>
      <c r="K49" s="344" t="s">
        <v>191</v>
      </c>
      <c r="L49" s="319" t="s">
        <v>206</v>
      </c>
      <c r="M49" s="344" t="s">
        <v>207</v>
      </c>
      <c r="N49" s="319" t="s">
        <v>206</v>
      </c>
      <c r="O49" s="344" t="s">
        <v>207</v>
      </c>
      <c r="P49" s="361">
        <v>400302600</v>
      </c>
      <c r="Q49" s="364" t="s">
        <v>208</v>
      </c>
      <c r="R49" s="361">
        <v>400302600</v>
      </c>
      <c r="S49" s="364" t="s">
        <v>208</v>
      </c>
      <c r="T49" s="317" t="s">
        <v>1460</v>
      </c>
      <c r="U49" s="381">
        <v>0.5</v>
      </c>
      <c r="V49" s="382"/>
      <c r="W49" s="363">
        <f t="shared" si="1"/>
        <v>0.5</v>
      </c>
      <c r="X49" s="361">
        <v>0.5</v>
      </c>
      <c r="Y49" s="320">
        <v>2020003630014</v>
      </c>
      <c r="Z49" s="316" t="s">
        <v>1166</v>
      </c>
      <c r="AA49" s="321" t="s">
        <v>1365</v>
      </c>
      <c r="AB49" s="322"/>
      <c r="AC49" s="322"/>
      <c r="AD49" s="322"/>
      <c r="AE49" s="322"/>
      <c r="AF49" s="322"/>
      <c r="AG49" s="322"/>
      <c r="AH49" s="322"/>
      <c r="AI49" s="322"/>
      <c r="AJ49" s="322"/>
      <c r="AK49" s="322"/>
      <c r="AL49" s="322"/>
      <c r="AM49" s="322"/>
      <c r="AN49" s="322"/>
      <c r="AO49" s="322"/>
      <c r="AP49" s="322"/>
      <c r="AQ49" s="322">
        <f>1242000000-125187203</f>
        <v>1116812797</v>
      </c>
      <c r="AR49" s="322">
        <v>1116812797</v>
      </c>
      <c r="AS49" s="322">
        <v>1116812797</v>
      </c>
      <c r="AT49" s="343"/>
      <c r="AU49" s="342"/>
      <c r="AV49" s="342"/>
      <c r="AW49" s="377"/>
      <c r="AX49" s="371"/>
      <c r="AY49" s="371"/>
      <c r="AZ49" s="370"/>
      <c r="BA49" s="371"/>
      <c r="BB49" s="371"/>
      <c r="BC49" s="323"/>
      <c r="BD49" s="322"/>
      <c r="BE49" s="322"/>
      <c r="BF49" s="462">
        <f t="shared" si="5"/>
        <v>1116812797</v>
      </c>
      <c r="BG49" s="462">
        <f t="shared" si="6"/>
        <v>1116812797</v>
      </c>
      <c r="BH49" s="462">
        <f t="shared" si="7"/>
        <v>1116812797</v>
      </c>
      <c r="BI49" s="315" t="s">
        <v>1474</v>
      </c>
      <c r="BK49" s="327"/>
      <c r="BL49" s="328"/>
    </row>
    <row r="50" spans="1:64" s="326" customFormat="1" ht="117" customHeight="1" x14ac:dyDescent="0.2">
      <c r="A50" s="312">
        <v>308</v>
      </c>
      <c r="B50" s="314" t="s">
        <v>1194</v>
      </c>
      <c r="C50" s="312">
        <v>4</v>
      </c>
      <c r="D50" s="314" t="s">
        <v>1191</v>
      </c>
      <c r="E50" s="312">
        <v>45</v>
      </c>
      <c r="F50" s="314" t="s">
        <v>28</v>
      </c>
      <c r="G50" s="312" t="s">
        <v>31</v>
      </c>
      <c r="H50" s="314" t="s">
        <v>1226</v>
      </c>
      <c r="I50" s="312">
        <v>4599</v>
      </c>
      <c r="J50" s="315" t="s">
        <v>1227</v>
      </c>
      <c r="K50" s="315" t="s">
        <v>30</v>
      </c>
      <c r="L50" s="312" t="s">
        <v>31</v>
      </c>
      <c r="M50" s="315" t="s">
        <v>209</v>
      </c>
      <c r="N50" s="319" t="s">
        <v>210</v>
      </c>
      <c r="O50" s="315" t="s">
        <v>130</v>
      </c>
      <c r="P50" s="312" t="s">
        <v>31</v>
      </c>
      <c r="Q50" s="316" t="s">
        <v>211</v>
      </c>
      <c r="R50" s="319">
        <v>459901600</v>
      </c>
      <c r="S50" s="315" t="s">
        <v>130</v>
      </c>
      <c r="T50" s="317" t="s">
        <v>1459</v>
      </c>
      <c r="U50" s="345">
        <v>4</v>
      </c>
      <c r="V50" s="345"/>
      <c r="W50" s="318">
        <f t="shared" si="1"/>
        <v>4</v>
      </c>
      <c r="X50" s="329">
        <v>4</v>
      </c>
      <c r="Y50" s="383">
        <v>2021003630003</v>
      </c>
      <c r="Z50" s="316" t="s">
        <v>1127</v>
      </c>
      <c r="AA50" s="384" t="s">
        <v>212</v>
      </c>
      <c r="AB50" s="365"/>
      <c r="AC50" s="365"/>
      <c r="AD50" s="365"/>
      <c r="AE50" s="322"/>
      <c r="AF50" s="322"/>
      <c r="AG50" s="322"/>
      <c r="AH50" s="322"/>
      <c r="AI50" s="322"/>
      <c r="AJ50" s="322"/>
      <c r="AK50" s="322"/>
      <c r="AL50" s="322"/>
      <c r="AM50" s="322"/>
      <c r="AN50" s="322"/>
      <c r="AO50" s="322"/>
      <c r="AP50" s="322"/>
      <c r="AQ50" s="322"/>
      <c r="AR50" s="322"/>
      <c r="AS50" s="322"/>
      <c r="AT50" s="343">
        <f>40000000+10000000+16000000+60660648+263170671</f>
        <v>389831319</v>
      </c>
      <c r="AU50" s="342">
        <v>63186667</v>
      </c>
      <c r="AV50" s="342">
        <v>63186667</v>
      </c>
      <c r="AW50" s="323"/>
      <c r="AX50" s="322"/>
      <c r="AY50" s="322"/>
      <c r="AZ50" s="324"/>
      <c r="BA50" s="322"/>
      <c r="BB50" s="322"/>
      <c r="BC50" s="323"/>
      <c r="BD50" s="322"/>
      <c r="BE50" s="322"/>
      <c r="BF50" s="462">
        <f t="shared" si="5"/>
        <v>389831319</v>
      </c>
      <c r="BG50" s="462">
        <f t="shared" si="6"/>
        <v>63186667</v>
      </c>
      <c r="BH50" s="462">
        <f t="shared" si="7"/>
        <v>63186667</v>
      </c>
      <c r="BI50" s="315" t="s">
        <v>1474</v>
      </c>
      <c r="BK50" s="327"/>
      <c r="BL50" s="328"/>
    </row>
    <row r="51" spans="1:64" s="326" customFormat="1" ht="117" customHeight="1" x14ac:dyDescent="0.2">
      <c r="A51" s="312">
        <v>308</v>
      </c>
      <c r="B51" s="314" t="s">
        <v>1194</v>
      </c>
      <c r="C51" s="312">
        <v>4</v>
      </c>
      <c r="D51" s="314" t="s">
        <v>1191</v>
      </c>
      <c r="E51" s="312">
        <v>45</v>
      </c>
      <c r="F51" s="314" t="s">
        <v>28</v>
      </c>
      <c r="G51" s="312" t="s">
        <v>31</v>
      </c>
      <c r="H51" s="314" t="s">
        <v>1226</v>
      </c>
      <c r="I51" s="312">
        <v>4599</v>
      </c>
      <c r="J51" s="315" t="s">
        <v>1227</v>
      </c>
      <c r="K51" s="315" t="s">
        <v>30</v>
      </c>
      <c r="L51" s="312" t="s">
        <v>31</v>
      </c>
      <c r="M51" s="315" t="s">
        <v>209</v>
      </c>
      <c r="N51" s="319" t="s">
        <v>210</v>
      </c>
      <c r="O51" s="315" t="s">
        <v>130</v>
      </c>
      <c r="P51" s="312" t="s">
        <v>31</v>
      </c>
      <c r="Q51" s="316" t="s">
        <v>211</v>
      </c>
      <c r="R51" s="319">
        <v>459901600</v>
      </c>
      <c r="S51" s="315" t="s">
        <v>130</v>
      </c>
      <c r="T51" s="317" t="s">
        <v>1462</v>
      </c>
      <c r="U51" s="345">
        <v>1</v>
      </c>
      <c r="V51" s="345"/>
      <c r="W51" s="318">
        <f>U51</f>
        <v>1</v>
      </c>
      <c r="X51" s="329">
        <v>0</v>
      </c>
      <c r="Y51" s="383">
        <v>2022003630008</v>
      </c>
      <c r="Z51" s="316" t="s">
        <v>1520</v>
      </c>
      <c r="AA51" s="384" t="s">
        <v>1521</v>
      </c>
      <c r="AB51" s="365"/>
      <c r="AC51" s="365"/>
      <c r="AD51" s="365"/>
      <c r="AE51" s="322"/>
      <c r="AF51" s="322"/>
      <c r="AG51" s="322"/>
      <c r="AH51" s="322"/>
      <c r="AI51" s="322"/>
      <c r="AJ51" s="322"/>
      <c r="AK51" s="322"/>
      <c r="AL51" s="322"/>
      <c r="AM51" s="322"/>
      <c r="AN51" s="322"/>
      <c r="AO51" s="322"/>
      <c r="AP51" s="322"/>
      <c r="AQ51" s="322"/>
      <c r="AR51" s="322"/>
      <c r="AS51" s="322"/>
      <c r="AT51" s="343"/>
      <c r="AU51" s="342"/>
      <c r="AV51" s="342"/>
      <c r="AW51" s="323"/>
      <c r="AX51" s="322"/>
      <c r="AY51" s="322"/>
      <c r="AZ51" s="324">
        <v>499979385.82999998</v>
      </c>
      <c r="BA51" s="322"/>
      <c r="BB51" s="322"/>
      <c r="BC51" s="323"/>
      <c r="BD51" s="322"/>
      <c r="BE51" s="322"/>
      <c r="BF51" s="462">
        <f t="shared" si="5"/>
        <v>499979385.82999998</v>
      </c>
      <c r="BG51" s="462">
        <f t="shared" si="6"/>
        <v>0</v>
      </c>
      <c r="BH51" s="462">
        <f t="shared" si="7"/>
        <v>0</v>
      </c>
      <c r="BI51" s="315" t="s">
        <v>1474</v>
      </c>
      <c r="BK51" s="327"/>
      <c r="BL51" s="328"/>
    </row>
    <row r="52" spans="1:64" s="326" customFormat="1" ht="75" customHeight="1" x14ac:dyDescent="0.2">
      <c r="A52" s="312">
        <v>308</v>
      </c>
      <c r="B52" s="314" t="s">
        <v>1194</v>
      </c>
      <c r="C52" s="312">
        <v>4</v>
      </c>
      <c r="D52" s="314" t="s">
        <v>1191</v>
      </c>
      <c r="E52" s="312">
        <v>45</v>
      </c>
      <c r="F52" s="314" t="s">
        <v>28</v>
      </c>
      <c r="G52" s="312">
        <v>4502</v>
      </c>
      <c r="H52" s="314" t="s">
        <v>1223</v>
      </c>
      <c r="I52" s="312">
        <v>4502</v>
      </c>
      <c r="J52" s="315" t="s">
        <v>1222</v>
      </c>
      <c r="K52" s="315" t="s">
        <v>56</v>
      </c>
      <c r="L52" s="319">
        <v>4502003</v>
      </c>
      <c r="M52" s="344" t="s">
        <v>213</v>
      </c>
      <c r="N52" s="319">
        <v>4502003</v>
      </c>
      <c r="O52" s="344" t="s">
        <v>214</v>
      </c>
      <c r="P52" s="319">
        <v>450200300</v>
      </c>
      <c r="Q52" s="316" t="s">
        <v>213</v>
      </c>
      <c r="R52" s="319">
        <v>450200300</v>
      </c>
      <c r="S52" s="316" t="s">
        <v>213</v>
      </c>
      <c r="T52" s="317" t="s">
        <v>1460</v>
      </c>
      <c r="U52" s="345">
        <v>2</v>
      </c>
      <c r="V52" s="345"/>
      <c r="W52" s="318">
        <f t="shared" si="1"/>
        <v>2</v>
      </c>
      <c r="X52" s="329">
        <v>7</v>
      </c>
      <c r="Y52" s="379">
        <v>2021003630006</v>
      </c>
      <c r="Z52" s="316" t="s">
        <v>215</v>
      </c>
      <c r="AA52" s="384" t="s">
        <v>216</v>
      </c>
      <c r="AB52" s="365"/>
      <c r="AC52" s="365"/>
      <c r="AD52" s="365"/>
      <c r="AE52" s="322"/>
      <c r="AF52" s="322"/>
      <c r="AG52" s="322"/>
      <c r="AH52" s="322"/>
      <c r="AI52" s="322"/>
      <c r="AJ52" s="322"/>
      <c r="AK52" s="322"/>
      <c r="AL52" s="322"/>
      <c r="AM52" s="322"/>
      <c r="AN52" s="322"/>
      <c r="AO52" s="322"/>
      <c r="AP52" s="322"/>
      <c r="AQ52" s="322"/>
      <c r="AR52" s="322"/>
      <c r="AS52" s="322"/>
      <c r="AT52" s="343">
        <f>38000000</f>
        <v>38000000</v>
      </c>
      <c r="AU52" s="342">
        <v>33753333</v>
      </c>
      <c r="AV52" s="342">
        <v>33753333</v>
      </c>
      <c r="AW52" s="323"/>
      <c r="AX52" s="322"/>
      <c r="AY52" s="322"/>
      <c r="AZ52" s="324"/>
      <c r="BA52" s="322"/>
      <c r="BB52" s="322"/>
      <c r="BC52" s="323"/>
      <c r="BD52" s="322"/>
      <c r="BE52" s="322"/>
      <c r="BF52" s="462">
        <f t="shared" si="5"/>
        <v>38000000</v>
      </c>
      <c r="BG52" s="462">
        <f t="shared" si="6"/>
        <v>33753333</v>
      </c>
      <c r="BH52" s="462">
        <f t="shared" si="7"/>
        <v>33753333</v>
      </c>
      <c r="BI52" s="315" t="s">
        <v>1524</v>
      </c>
      <c r="BK52" s="327"/>
      <c r="BL52" s="328"/>
    </row>
    <row r="53" spans="1:64" s="326" customFormat="1" ht="91.5" customHeight="1" x14ac:dyDescent="0.2">
      <c r="A53" s="312">
        <v>308</v>
      </c>
      <c r="B53" s="314" t="s">
        <v>1194</v>
      </c>
      <c r="C53" s="312">
        <v>1</v>
      </c>
      <c r="D53" s="314" t="s">
        <v>1195</v>
      </c>
      <c r="E53" s="312">
        <v>19</v>
      </c>
      <c r="F53" s="314" t="s">
        <v>122</v>
      </c>
      <c r="G53" s="312" t="s">
        <v>31</v>
      </c>
      <c r="H53" s="314" t="s">
        <v>1226</v>
      </c>
      <c r="I53" s="312">
        <v>1903</v>
      </c>
      <c r="J53" s="315" t="s">
        <v>1239</v>
      </c>
      <c r="K53" s="315" t="s">
        <v>1387</v>
      </c>
      <c r="L53" s="319" t="s">
        <v>31</v>
      </c>
      <c r="M53" s="344" t="s">
        <v>209</v>
      </c>
      <c r="N53" s="319">
        <v>1903043</v>
      </c>
      <c r="O53" s="344" t="s">
        <v>1534</v>
      </c>
      <c r="P53" s="312" t="s">
        <v>31</v>
      </c>
      <c r="Q53" s="316" t="s">
        <v>211</v>
      </c>
      <c r="R53" s="319">
        <v>190304300</v>
      </c>
      <c r="S53" s="316" t="s">
        <v>1536</v>
      </c>
      <c r="T53" s="317" t="s">
        <v>1459</v>
      </c>
      <c r="U53" s="345">
        <v>1</v>
      </c>
      <c r="V53" s="345"/>
      <c r="W53" s="318">
        <f>U53+V53</f>
        <v>1</v>
      </c>
      <c r="X53" s="329">
        <v>0</v>
      </c>
      <c r="Y53" s="379">
        <v>2022000040007</v>
      </c>
      <c r="Z53" s="316" t="s">
        <v>1522</v>
      </c>
      <c r="AA53" s="384" t="s">
        <v>1523</v>
      </c>
      <c r="AB53" s="365"/>
      <c r="AC53" s="365"/>
      <c r="AD53" s="365"/>
      <c r="AE53" s="322"/>
      <c r="AF53" s="322"/>
      <c r="AG53" s="322"/>
      <c r="AH53" s="322"/>
      <c r="AI53" s="322"/>
      <c r="AJ53" s="322"/>
      <c r="AK53" s="322"/>
      <c r="AL53" s="322"/>
      <c r="AM53" s="322"/>
      <c r="AN53" s="322"/>
      <c r="AO53" s="322"/>
      <c r="AP53" s="322"/>
      <c r="AQ53" s="322"/>
      <c r="AR53" s="322"/>
      <c r="AS53" s="322"/>
      <c r="AT53" s="343"/>
      <c r="AU53" s="342"/>
      <c r="AV53" s="342"/>
      <c r="AW53" s="323"/>
      <c r="AX53" s="322"/>
      <c r="AY53" s="322"/>
      <c r="AZ53" s="324">
        <v>1030042846.76</v>
      </c>
      <c r="BA53" s="322"/>
      <c r="BB53" s="322"/>
      <c r="BC53" s="323">
        <v>15612200000</v>
      </c>
      <c r="BD53" s="322"/>
      <c r="BE53" s="322"/>
      <c r="BF53" s="462">
        <f t="shared" si="5"/>
        <v>16642242846.76</v>
      </c>
      <c r="BG53" s="462">
        <f t="shared" si="6"/>
        <v>0</v>
      </c>
      <c r="BH53" s="462">
        <f t="shared" si="7"/>
        <v>0</v>
      </c>
      <c r="BI53" s="315" t="s">
        <v>1525</v>
      </c>
      <c r="BK53" s="327"/>
      <c r="BL53" s="328"/>
    </row>
    <row r="54" spans="1:64" s="326" customFormat="1" ht="91.5" customHeight="1" x14ac:dyDescent="0.2">
      <c r="A54" s="312">
        <v>308</v>
      </c>
      <c r="B54" s="314" t="s">
        <v>1194</v>
      </c>
      <c r="C54" s="312">
        <v>1</v>
      </c>
      <c r="D54" s="314" t="s">
        <v>1195</v>
      </c>
      <c r="E54" s="312">
        <v>19</v>
      </c>
      <c r="F54" s="314" t="s">
        <v>122</v>
      </c>
      <c r="G54" s="312" t="s">
        <v>31</v>
      </c>
      <c r="H54" s="314" t="s">
        <v>1226</v>
      </c>
      <c r="I54" s="312">
        <v>1903</v>
      </c>
      <c r="J54" s="315" t="s">
        <v>1239</v>
      </c>
      <c r="K54" s="315" t="s">
        <v>1387</v>
      </c>
      <c r="L54" s="319" t="s">
        <v>31</v>
      </c>
      <c r="M54" s="344" t="s">
        <v>209</v>
      </c>
      <c r="N54" s="319">
        <v>1903043</v>
      </c>
      <c r="O54" s="344" t="s">
        <v>1534</v>
      </c>
      <c r="P54" s="312" t="s">
        <v>31</v>
      </c>
      <c r="Q54" s="316" t="s">
        <v>211</v>
      </c>
      <c r="R54" s="319">
        <v>190304301</v>
      </c>
      <c r="S54" s="316" t="s">
        <v>1535</v>
      </c>
      <c r="T54" s="317" t="s">
        <v>1459</v>
      </c>
      <c r="U54" s="345">
        <v>1</v>
      </c>
      <c r="V54" s="345"/>
      <c r="W54" s="318">
        <f>U54+V54</f>
        <v>1</v>
      </c>
      <c r="X54" s="329">
        <v>0</v>
      </c>
      <c r="Y54" s="379">
        <v>2022000040007</v>
      </c>
      <c r="Z54" s="316" t="s">
        <v>1522</v>
      </c>
      <c r="AA54" s="384" t="s">
        <v>1523</v>
      </c>
      <c r="AB54" s="365"/>
      <c r="AC54" s="365"/>
      <c r="AD54" s="365"/>
      <c r="AE54" s="322"/>
      <c r="AF54" s="322"/>
      <c r="AG54" s="322"/>
      <c r="AH54" s="322"/>
      <c r="AI54" s="322"/>
      <c r="AJ54" s="322"/>
      <c r="AK54" s="322"/>
      <c r="AL54" s="322"/>
      <c r="AM54" s="322"/>
      <c r="AN54" s="322"/>
      <c r="AO54" s="322"/>
      <c r="AP54" s="322"/>
      <c r="AQ54" s="322"/>
      <c r="AR54" s="322"/>
      <c r="AS54" s="322"/>
      <c r="AT54" s="343"/>
      <c r="AU54" s="342"/>
      <c r="AV54" s="342"/>
      <c r="AW54" s="323"/>
      <c r="AX54" s="322"/>
      <c r="AY54" s="322"/>
      <c r="AZ54" s="324">
        <v>4969957153.2399998</v>
      </c>
      <c r="BA54" s="322"/>
      <c r="BB54" s="322"/>
      <c r="BC54" s="323"/>
      <c r="BD54" s="322"/>
      <c r="BE54" s="322"/>
      <c r="BF54" s="462">
        <f t="shared" ref="BF54" si="8">AB54+AE54+AH54+AK54+AN54+AQ54+AT54+AW54+BC54+AZ54</f>
        <v>4969957153.2399998</v>
      </c>
      <c r="BG54" s="462">
        <f t="shared" ref="BG54" si="9">AC54+AF54+AI54+AL54+AO54+AR54+AU54+AX54+BD54+BA54</f>
        <v>0</v>
      </c>
      <c r="BH54" s="462">
        <f t="shared" ref="BH54" si="10">AD54+AG54+AJ54+AM54+AP54+AS54+AV54+AY54+BE54+BB54</f>
        <v>0</v>
      </c>
      <c r="BI54" s="315" t="s">
        <v>1525</v>
      </c>
      <c r="BK54" s="327"/>
      <c r="BL54" s="328"/>
    </row>
    <row r="55" spans="1:64" s="326" customFormat="1" ht="174" customHeight="1" x14ac:dyDescent="0.2">
      <c r="A55" s="312">
        <v>309</v>
      </c>
      <c r="B55" s="314" t="s">
        <v>1198</v>
      </c>
      <c r="C55" s="312">
        <v>1</v>
      </c>
      <c r="D55" s="314" t="s">
        <v>1195</v>
      </c>
      <c r="E55" s="312">
        <v>12</v>
      </c>
      <c r="F55" s="314" t="s">
        <v>113</v>
      </c>
      <c r="G55" s="312">
        <v>1202</v>
      </c>
      <c r="H55" s="314" t="s">
        <v>114</v>
      </c>
      <c r="I55" s="312">
        <v>1202</v>
      </c>
      <c r="J55" s="315" t="s">
        <v>1229</v>
      </c>
      <c r="K55" s="321" t="s">
        <v>115</v>
      </c>
      <c r="L55" s="312">
        <v>1202004</v>
      </c>
      <c r="M55" s="315" t="s">
        <v>218</v>
      </c>
      <c r="N55" s="312">
        <v>1202004</v>
      </c>
      <c r="O55" s="315" t="s">
        <v>218</v>
      </c>
      <c r="P55" s="319">
        <v>120200400</v>
      </c>
      <c r="Q55" s="316" t="s">
        <v>86</v>
      </c>
      <c r="R55" s="319">
        <v>120200400</v>
      </c>
      <c r="S55" s="316" t="s">
        <v>86</v>
      </c>
      <c r="T55" s="317" t="s">
        <v>1459</v>
      </c>
      <c r="U55" s="345">
        <v>12</v>
      </c>
      <c r="V55" s="345"/>
      <c r="W55" s="318">
        <f t="shared" si="1"/>
        <v>12</v>
      </c>
      <c r="X55" s="385">
        <v>12</v>
      </c>
      <c r="Y55" s="320">
        <v>2020003630060</v>
      </c>
      <c r="Z55" s="316" t="s">
        <v>1342</v>
      </c>
      <c r="AA55" s="384" t="s">
        <v>219</v>
      </c>
      <c r="AB55" s="322"/>
      <c r="AC55" s="322"/>
      <c r="AD55" s="322"/>
      <c r="AE55" s="322"/>
      <c r="AF55" s="322"/>
      <c r="AG55" s="322"/>
      <c r="AH55" s="322"/>
      <c r="AI55" s="322"/>
      <c r="AJ55" s="322"/>
      <c r="AK55" s="322"/>
      <c r="AL55" s="322"/>
      <c r="AM55" s="322"/>
      <c r="AN55" s="322"/>
      <c r="AO55" s="322"/>
      <c r="AP55" s="322"/>
      <c r="AQ55" s="322"/>
      <c r="AR55" s="322"/>
      <c r="AS55" s="322"/>
      <c r="AT55" s="343">
        <f>114000000-30000000+10000000+1900000</f>
        <v>95900000</v>
      </c>
      <c r="AU55" s="342">
        <v>95710166</v>
      </c>
      <c r="AV55" s="342">
        <v>95710166</v>
      </c>
      <c r="AW55" s="323"/>
      <c r="AX55" s="322"/>
      <c r="AY55" s="322"/>
      <c r="AZ55" s="324"/>
      <c r="BA55" s="322"/>
      <c r="BB55" s="322"/>
      <c r="BC55" s="323"/>
      <c r="BD55" s="322"/>
      <c r="BE55" s="322"/>
      <c r="BF55" s="462">
        <f t="shared" ref="BF55:BF86" si="11">AB55+AE55+AH55+AK55+AN55+AQ55+AT55+AW55+BC55</f>
        <v>95900000</v>
      </c>
      <c r="BG55" s="462">
        <f t="shared" ref="BG55:BG86" si="12">AC55+AF55+AI55+AL55+AO55+AR55+AU55+AX55+BD55</f>
        <v>95710166</v>
      </c>
      <c r="BH55" s="462">
        <f t="shared" ref="BH55:BH86" si="13">AD55+AG55+AJ55+AM55+AP55+AS55+AV55+AY55+BE55</f>
        <v>95710166</v>
      </c>
      <c r="BI55" s="315" t="s">
        <v>1466</v>
      </c>
      <c r="BK55" s="327"/>
      <c r="BL55" s="328"/>
    </row>
    <row r="56" spans="1:64" s="326" customFormat="1" ht="174" customHeight="1" x14ac:dyDescent="0.2">
      <c r="A56" s="312">
        <v>309</v>
      </c>
      <c r="B56" s="314" t="s">
        <v>1198</v>
      </c>
      <c r="C56" s="312">
        <v>1</v>
      </c>
      <c r="D56" s="314" t="s">
        <v>1195</v>
      </c>
      <c r="E56" s="312">
        <v>12</v>
      </c>
      <c r="F56" s="314" t="s">
        <v>113</v>
      </c>
      <c r="G56" s="312">
        <v>1203</v>
      </c>
      <c r="H56" s="314" t="s">
        <v>220</v>
      </c>
      <c r="I56" s="312">
        <v>1203</v>
      </c>
      <c r="J56" s="315" t="s">
        <v>1230</v>
      </c>
      <c r="K56" s="321" t="s">
        <v>115</v>
      </c>
      <c r="L56" s="312">
        <v>1203002</v>
      </c>
      <c r="M56" s="315" t="s">
        <v>221</v>
      </c>
      <c r="N56" s="312">
        <v>1203002</v>
      </c>
      <c r="O56" s="315" t="s">
        <v>221</v>
      </c>
      <c r="P56" s="312">
        <v>120300200</v>
      </c>
      <c r="Q56" s="316" t="s">
        <v>222</v>
      </c>
      <c r="R56" s="312">
        <v>120300200</v>
      </c>
      <c r="S56" s="316" t="s">
        <v>222</v>
      </c>
      <c r="T56" s="317" t="s">
        <v>1460</v>
      </c>
      <c r="U56" s="345">
        <v>50</v>
      </c>
      <c r="V56" s="345"/>
      <c r="W56" s="318">
        <f t="shared" si="1"/>
        <v>50</v>
      </c>
      <c r="X56" s="385">
        <v>50</v>
      </c>
      <c r="Y56" s="320">
        <v>2020003630061</v>
      </c>
      <c r="Z56" s="316" t="s">
        <v>1343</v>
      </c>
      <c r="AA56" s="384" t="s">
        <v>223</v>
      </c>
      <c r="AB56" s="322"/>
      <c r="AC56" s="322"/>
      <c r="AD56" s="322"/>
      <c r="AE56" s="322"/>
      <c r="AF56" s="322"/>
      <c r="AG56" s="322"/>
      <c r="AH56" s="322"/>
      <c r="AI56" s="322"/>
      <c r="AJ56" s="322"/>
      <c r="AK56" s="322"/>
      <c r="AL56" s="322"/>
      <c r="AM56" s="322"/>
      <c r="AN56" s="322"/>
      <c r="AO56" s="322"/>
      <c r="AP56" s="322"/>
      <c r="AQ56" s="322"/>
      <c r="AR56" s="322"/>
      <c r="AS56" s="322"/>
      <c r="AT56" s="343">
        <f>36000000+4875872</f>
        <v>40875872</v>
      </c>
      <c r="AU56" s="342">
        <v>39433372</v>
      </c>
      <c r="AV56" s="342">
        <v>39433372</v>
      </c>
      <c r="AW56" s="323"/>
      <c r="AX56" s="322"/>
      <c r="AY56" s="322"/>
      <c r="AZ56" s="324"/>
      <c r="BA56" s="322"/>
      <c r="BB56" s="322"/>
      <c r="BC56" s="386"/>
      <c r="BD56" s="365"/>
      <c r="BE56" s="365"/>
      <c r="BF56" s="462">
        <f t="shared" si="11"/>
        <v>40875872</v>
      </c>
      <c r="BG56" s="462">
        <f t="shared" si="12"/>
        <v>39433372</v>
      </c>
      <c r="BH56" s="462">
        <f t="shared" si="13"/>
        <v>39433372</v>
      </c>
      <c r="BI56" s="315" t="s">
        <v>1466</v>
      </c>
      <c r="BK56" s="327"/>
      <c r="BL56" s="328"/>
    </row>
    <row r="57" spans="1:64" s="326" customFormat="1" ht="174" customHeight="1" x14ac:dyDescent="0.2">
      <c r="A57" s="312">
        <v>309</v>
      </c>
      <c r="B57" s="314" t="s">
        <v>1198</v>
      </c>
      <c r="C57" s="312">
        <v>1</v>
      </c>
      <c r="D57" s="314" t="s">
        <v>1195</v>
      </c>
      <c r="E57" s="312">
        <v>12</v>
      </c>
      <c r="F57" s="314" t="s">
        <v>113</v>
      </c>
      <c r="G57" s="312">
        <v>1206</v>
      </c>
      <c r="H57" s="314" t="s">
        <v>224</v>
      </c>
      <c r="I57" s="312">
        <v>1206</v>
      </c>
      <c r="J57" s="315" t="s">
        <v>1231</v>
      </c>
      <c r="K57" s="321" t="s">
        <v>115</v>
      </c>
      <c r="L57" s="312">
        <v>1206005</v>
      </c>
      <c r="M57" s="315" t="s">
        <v>225</v>
      </c>
      <c r="N57" s="312">
        <v>1206005</v>
      </c>
      <c r="O57" s="315" t="s">
        <v>225</v>
      </c>
      <c r="P57" s="319">
        <v>120600500</v>
      </c>
      <c r="Q57" s="315" t="s">
        <v>226</v>
      </c>
      <c r="R57" s="319">
        <v>120600500</v>
      </c>
      <c r="S57" s="316" t="s">
        <v>226</v>
      </c>
      <c r="T57" s="317" t="s">
        <v>1460</v>
      </c>
      <c r="U57" s="345">
        <v>30</v>
      </c>
      <c r="V57" s="345">
        <v>30</v>
      </c>
      <c r="W57" s="318">
        <f t="shared" si="1"/>
        <v>60</v>
      </c>
      <c r="X57" s="385">
        <v>60</v>
      </c>
      <c r="Y57" s="320">
        <v>2020003630062</v>
      </c>
      <c r="Z57" s="316" t="s">
        <v>227</v>
      </c>
      <c r="AA57" s="321" t="s">
        <v>228</v>
      </c>
      <c r="AB57" s="322"/>
      <c r="AC57" s="322"/>
      <c r="AD57" s="322"/>
      <c r="AE57" s="322"/>
      <c r="AF57" s="322"/>
      <c r="AG57" s="322"/>
      <c r="AH57" s="322"/>
      <c r="AI57" s="322"/>
      <c r="AJ57" s="322"/>
      <c r="AK57" s="322"/>
      <c r="AL57" s="322"/>
      <c r="AM57" s="322"/>
      <c r="AN57" s="322"/>
      <c r="AO57" s="322"/>
      <c r="AP57" s="322"/>
      <c r="AQ57" s="322"/>
      <c r="AR57" s="322"/>
      <c r="AS57" s="322"/>
      <c r="AT57" s="343">
        <f>36000000+10000000+2600000</f>
        <v>48600000</v>
      </c>
      <c r="AU57" s="342">
        <v>46464667</v>
      </c>
      <c r="AV57" s="342">
        <v>46464667</v>
      </c>
      <c r="AW57" s="323"/>
      <c r="AX57" s="322"/>
      <c r="AY57" s="322"/>
      <c r="AZ57" s="324"/>
      <c r="BA57" s="322"/>
      <c r="BB57" s="322"/>
      <c r="BC57" s="323"/>
      <c r="BD57" s="322"/>
      <c r="BE57" s="322"/>
      <c r="BF57" s="462">
        <f t="shared" si="11"/>
        <v>48600000</v>
      </c>
      <c r="BG57" s="462">
        <f t="shared" si="12"/>
        <v>46464667</v>
      </c>
      <c r="BH57" s="462">
        <f t="shared" si="13"/>
        <v>46464667</v>
      </c>
      <c r="BI57" s="315" t="s">
        <v>1466</v>
      </c>
      <c r="BK57" s="327"/>
      <c r="BL57" s="328"/>
    </row>
    <row r="58" spans="1:64" s="326" customFormat="1" ht="117" customHeight="1" x14ac:dyDescent="0.2">
      <c r="A58" s="312">
        <v>309</v>
      </c>
      <c r="B58" s="314" t="s">
        <v>1198</v>
      </c>
      <c r="C58" s="312">
        <v>1</v>
      </c>
      <c r="D58" s="314" t="s">
        <v>1195</v>
      </c>
      <c r="E58" s="312">
        <v>22</v>
      </c>
      <c r="F58" s="314" t="s">
        <v>124</v>
      </c>
      <c r="G58" s="312">
        <v>2201</v>
      </c>
      <c r="H58" s="314" t="s">
        <v>229</v>
      </c>
      <c r="I58" s="312">
        <v>2201</v>
      </c>
      <c r="J58" s="315" t="s">
        <v>1241</v>
      </c>
      <c r="K58" s="321" t="s">
        <v>230</v>
      </c>
      <c r="L58" s="372">
        <v>2201068</v>
      </c>
      <c r="M58" s="315" t="s">
        <v>231</v>
      </c>
      <c r="N58" s="372">
        <v>2201068</v>
      </c>
      <c r="O58" s="315" t="s">
        <v>231</v>
      </c>
      <c r="P58" s="319">
        <v>220106800</v>
      </c>
      <c r="Q58" s="316" t="s">
        <v>232</v>
      </c>
      <c r="R58" s="319">
        <v>220106800</v>
      </c>
      <c r="S58" s="316" t="s">
        <v>232</v>
      </c>
      <c r="T58" s="317" t="s">
        <v>1460</v>
      </c>
      <c r="U58" s="345">
        <v>76</v>
      </c>
      <c r="V58" s="345"/>
      <c r="W58" s="318">
        <f t="shared" si="1"/>
        <v>76</v>
      </c>
      <c r="X58" s="385">
        <v>76</v>
      </c>
      <c r="Y58" s="320">
        <v>2020003630063</v>
      </c>
      <c r="Z58" s="316" t="s">
        <v>1386</v>
      </c>
      <c r="AA58" s="321" t="s">
        <v>234</v>
      </c>
      <c r="AB58" s="322"/>
      <c r="AC58" s="322"/>
      <c r="AD58" s="322"/>
      <c r="AE58" s="322"/>
      <c r="AF58" s="322"/>
      <c r="AG58" s="322"/>
      <c r="AH58" s="322"/>
      <c r="AI58" s="322"/>
      <c r="AJ58" s="322"/>
      <c r="AK58" s="322"/>
      <c r="AL58" s="322"/>
      <c r="AM58" s="322"/>
      <c r="AN58" s="322"/>
      <c r="AO58" s="322"/>
      <c r="AP58" s="322"/>
      <c r="AQ58" s="322"/>
      <c r="AR58" s="322"/>
      <c r="AS58" s="322"/>
      <c r="AT58" s="343">
        <f>30000000+21943002</f>
        <v>51943002</v>
      </c>
      <c r="AU58" s="342">
        <v>51943002</v>
      </c>
      <c r="AV58" s="342">
        <v>51943002</v>
      </c>
      <c r="AW58" s="323"/>
      <c r="AX58" s="322"/>
      <c r="AY58" s="322"/>
      <c r="AZ58" s="324"/>
      <c r="BA58" s="322"/>
      <c r="BB58" s="322"/>
      <c r="BC58" s="323"/>
      <c r="BD58" s="322"/>
      <c r="BE58" s="322"/>
      <c r="BF58" s="462">
        <f t="shared" si="11"/>
        <v>51943002</v>
      </c>
      <c r="BG58" s="462">
        <f t="shared" si="12"/>
        <v>51943002</v>
      </c>
      <c r="BH58" s="462">
        <f t="shared" si="13"/>
        <v>51943002</v>
      </c>
      <c r="BI58" s="315" t="s">
        <v>1466</v>
      </c>
      <c r="BK58" s="327"/>
      <c r="BL58" s="328"/>
    </row>
    <row r="59" spans="1:64" s="326" customFormat="1" ht="117" customHeight="1" x14ac:dyDescent="0.2">
      <c r="A59" s="312">
        <v>309</v>
      </c>
      <c r="B59" s="314" t="s">
        <v>1198</v>
      </c>
      <c r="C59" s="312">
        <v>1</v>
      </c>
      <c r="D59" s="314" t="s">
        <v>1195</v>
      </c>
      <c r="E59" s="312">
        <v>41</v>
      </c>
      <c r="F59" s="314" t="s">
        <v>235</v>
      </c>
      <c r="G59" s="312">
        <v>4101</v>
      </c>
      <c r="H59" s="314" t="s">
        <v>236</v>
      </c>
      <c r="I59" s="312">
        <v>4101</v>
      </c>
      <c r="J59" s="315" t="s">
        <v>1257</v>
      </c>
      <c r="K59" s="321" t="s">
        <v>237</v>
      </c>
      <c r="L59" s="319">
        <v>4101023</v>
      </c>
      <c r="M59" s="315" t="s">
        <v>238</v>
      </c>
      <c r="N59" s="319">
        <v>4101023</v>
      </c>
      <c r="O59" s="315" t="s">
        <v>238</v>
      </c>
      <c r="P59" s="319">
        <v>410102300</v>
      </c>
      <c r="Q59" s="316" t="s">
        <v>239</v>
      </c>
      <c r="R59" s="319">
        <v>410102300</v>
      </c>
      <c r="S59" s="316" t="s">
        <v>239</v>
      </c>
      <c r="T59" s="317" t="s">
        <v>1460</v>
      </c>
      <c r="U59" s="345">
        <v>900</v>
      </c>
      <c r="V59" s="345"/>
      <c r="W59" s="318">
        <f t="shared" si="1"/>
        <v>900</v>
      </c>
      <c r="X59" s="385">
        <v>900</v>
      </c>
      <c r="Y59" s="320">
        <v>2020003630064</v>
      </c>
      <c r="Z59" s="316" t="s">
        <v>240</v>
      </c>
      <c r="AA59" s="321" t="s">
        <v>241</v>
      </c>
      <c r="AB59" s="322"/>
      <c r="AC59" s="322"/>
      <c r="AD59" s="322"/>
      <c r="AE59" s="322"/>
      <c r="AF59" s="322"/>
      <c r="AG59" s="322"/>
      <c r="AH59" s="322"/>
      <c r="AI59" s="322"/>
      <c r="AJ59" s="322"/>
      <c r="AK59" s="322"/>
      <c r="AL59" s="322"/>
      <c r="AM59" s="322"/>
      <c r="AN59" s="322"/>
      <c r="AO59" s="322"/>
      <c r="AP59" s="322"/>
      <c r="AQ59" s="322"/>
      <c r="AR59" s="322"/>
      <c r="AS59" s="322"/>
      <c r="AT59" s="343">
        <f>70000000+77840398+8506600-5500000+35000000+16000000-3000000</f>
        <v>198846998</v>
      </c>
      <c r="AU59" s="342">
        <v>196935920.90000001</v>
      </c>
      <c r="AV59" s="342">
        <v>196935920.90000001</v>
      </c>
      <c r="AW59" s="323"/>
      <c r="AX59" s="322"/>
      <c r="AY59" s="322"/>
      <c r="AZ59" s="324"/>
      <c r="BA59" s="322"/>
      <c r="BB59" s="322"/>
      <c r="BC59" s="323"/>
      <c r="BD59" s="322"/>
      <c r="BE59" s="322"/>
      <c r="BF59" s="462">
        <f t="shared" si="11"/>
        <v>198846998</v>
      </c>
      <c r="BG59" s="462">
        <f t="shared" si="12"/>
        <v>196935920.90000001</v>
      </c>
      <c r="BH59" s="462">
        <f t="shared" si="13"/>
        <v>196935920.90000001</v>
      </c>
      <c r="BI59" s="315" t="s">
        <v>1466</v>
      </c>
      <c r="BK59" s="327"/>
      <c r="BL59" s="328"/>
    </row>
    <row r="60" spans="1:64" s="326" customFormat="1" ht="117" customHeight="1" x14ac:dyDescent="0.2">
      <c r="A60" s="312">
        <v>309</v>
      </c>
      <c r="B60" s="314" t="s">
        <v>1198</v>
      </c>
      <c r="C60" s="312">
        <v>1</v>
      </c>
      <c r="D60" s="314" t="s">
        <v>1195</v>
      </c>
      <c r="E60" s="312">
        <v>41</v>
      </c>
      <c r="F60" s="314" t="s">
        <v>235</v>
      </c>
      <c r="G60" s="312">
        <v>4101</v>
      </c>
      <c r="H60" s="314" t="s">
        <v>236</v>
      </c>
      <c r="I60" s="312">
        <v>4101</v>
      </c>
      <c r="J60" s="315" t="s">
        <v>1257</v>
      </c>
      <c r="K60" s="321" t="s">
        <v>237</v>
      </c>
      <c r="L60" s="361">
        <v>4101025</v>
      </c>
      <c r="M60" s="315" t="s">
        <v>242</v>
      </c>
      <c r="N60" s="319">
        <v>4101025</v>
      </c>
      <c r="O60" s="315" t="s">
        <v>242</v>
      </c>
      <c r="P60" s="319">
        <v>410102511</v>
      </c>
      <c r="Q60" s="316" t="s">
        <v>243</v>
      </c>
      <c r="R60" s="319">
        <v>410102511</v>
      </c>
      <c r="S60" s="316" t="s">
        <v>243</v>
      </c>
      <c r="T60" s="317" t="s">
        <v>1460</v>
      </c>
      <c r="U60" s="345">
        <v>100</v>
      </c>
      <c r="V60" s="345">
        <v>129</v>
      </c>
      <c r="W60" s="318">
        <f t="shared" si="1"/>
        <v>229</v>
      </c>
      <c r="X60" s="385">
        <v>229</v>
      </c>
      <c r="Y60" s="320">
        <v>2020003630064</v>
      </c>
      <c r="Z60" s="316" t="s">
        <v>240</v>
      </c>
      <c r="AA60" s="321" t="s">
        <v>241</v>
      </c>
      <c r="AB60" s="322"/>
      <c r="AC60" s="322"/>
      <c r="AD60" s="322"/>
      <c r="AE60" s="322"/>
      <c r="AF60" s="322"/>
      <c r="AG60" s="322"/>
      <c r="AH60" s="322"/>
      <c r="AI60" s="322"/>
      <c r="AJ60" s="322"/>
      <c r="AK60" s="322"/>
      <c r="AL60" s="322"/>
      <c r="AM60" s="322"/>
      <c r="AN60" s="322"/>
      <c r="AO60" s="322"/>
      <c r="AP60" s="322"/>
      <c r="AQ60" s="322"/>
      <c r="AR60" s="322"/>
      <c r="AS60" s="322"/>
      <c r="AT60" s="343">
        <f>40000000+6079352+3000000</f>
        <v>49079352</v>
      </c>
      <c r="AU60" s="342">
        <v>48289819</v>
      </c>
      <c r="AV60" s="342">
        <v>30210467</v>
      </c>
      <c r="AW60" s="323"/>
      <c r="AX60" s="322"/>
      <c r="AY60" s="322"/>
      <c r="AZ60" s="324"/>
      <c r="BA60" s="322"/>
      <c r="BB60" s="322"/>
      <c r="BC60" s="323"/>
      <c r="BD60" s="322"/>
      <c r="BE60" s="322"/>
      <c r="BF60" s="462">
        <f t="shared" si="11"/>
        <v>49079352</v>
      </c>
      <c r="BG60" s="462">
        <f t="shared" si="12"/>
        <v>48289819</v>
      </c>
      <c r="BH60" s="462">
        <f t="shared" si="13"/>
        <v>30210467</v>
      </c>
      <c r="BI60" s="315" t="s">
        <v>1466</v>
      </c>
      <c r="BK60" s="327"/>
      <c r="BL60" s="328"/>
    </row>
    <row r="61" spans="1:64" s="326" customFormat="1" ht="117" customHeight="1" x14ac:dyDescent="0.2">
      <c r="A61" s="312">
        <v>309</v>
      </c>
      <c r="B61" s="314" t="s">
        <v>1198</v>
      </c>
      <c r="C61" s="312">
        <v>1</v>
      </c>
      <c r="D61" s="314" t="s">
        <v>1195</v>
      </c>
      <c r="E61" s="312">
        <v>41</v>
      </c>
      <c r="F61" s="314" t="s">
        <v>235</v>
      </c>
      <c r="G61" s="312">
        <v>4101</v>
      </c>
      <c r="H61" s="314" t="s">
        <v>236</v>
      </c>
      <c r="I61" s="312">
        <v>4101</v>
      </c>
      <c r="J61" s="315" t="s">
        <v>1257</v>
      </c>
      <c r="K61" s="321" t="s">
        <v>237</v>
      </c>
      <c r="L61" s="319">
        <v>4101038</v>
      </c>
      <c r="M61" s="315" t="s">
        <v>244</v>
      </c>
      <c r="N61" s="319">
        <v>4101038</v>
      </c>
      <c r="O61" s="315" t="s">
        <v>244</v>
      </c>
      <c r="P61" s="319">
        <v>410103800</v>
      </c>
      <c r="Q61" s="316" t="s">
        <v>245</v>
      </c>
      <c r="R61" s="319">
        <v>410103800</v>
      </c>
      <c r="S61" s="316" t="s">
        <v>245</v>
      </c>
      <c r="T61" s="317" t="s">
        <v>1460</v>
      </c>
      <c r="U61" s="345">
        <v>12</v>
      </c>
      <c r="V61" s="345"/>
      <c r="W61" s="318">
        <f t="shared" si="1"/>
        <v>12</v>
      </c>
      <c r="X61" s="385">
        <v>12</v>
      </c>
      <c r="Y61" s="320">
        <v>2020003630064</v>
      </c>
      <c r="Z61" s="316" t="s">
        <v>240</v>
      </c>
      <c r="AA61" s="321" t="s">
        <v>241</v>
      </c>
      <c r="AB61" s="322"/>
      <c r="AC61" s="322"/>
      <c r="AD61" s="322"/>
      <c r="AE61" s="322"/>
      <c r="AF61" s="322"/>
      <c r="AG61" s="322"/>
      <c r="AH61" s="322"/>
      <c r="AI61" s="322"/>
      <c r="AJ61" s="322"/>
      <c r="AK61" s="322"/>
      <c r="AL61" s="322"/>
      <c r="AM61" s="322"/>
      <c r="AN61" s="322"/>
      <c r="AO61" s="322"/>
      <c r="AP61" s="322"/>
      <c r="AQ61" s="322"/>
      <c r="AR61" s="322"/>
      <c r="AS61" s="322"/>
      <c r="AT61" s="343">
        <f>41000000+5636096+5500000+4278232</f>
        <v>56414328</v>
      </c>
      <c r="AU61" s="342">
        <v>56026002</v>
      </c>
      <c r="AV61" s="342">
        <v>56026002</v>
      </c>
      <c r="AW61" s="323"/>
      <c r="AX61" s="322"/>
      <c r="AY61" s="322"/>
      <c r="AZ61" s="324"/>
      <c r="BA61" s="322"/>
      <c r="BB61" s="322"/>
      <c r="BC61" s="323"/>
      <c r="BD61" s="322"/>
      <c r="BE61" s="322"/>
      <c r="BF61" s="462">
        <f t="shared" si="11"/>
        <v>56414328</v>
      </c>
      <c r="BG61" s="462">
        <f t="shared" si="12"/>
        <v>56026002</v>
      </c>
      <c r="BH61" s="462">
        <f t="shared" si="13"/>
        <v>56026002</v>
      </c>
      <c r="BI61" s="315" t="s">
        <v>1466</v>
      </c>
      <c r="BK61" s="327"/>
      <c r="BL61" s="328"/>
    </row>
    <row r="62" spans="1:64" s="326" customFormat="1" ht="117" customHeight="1" x14ac:dyDescent="0.2">
      <c r="A62" s="312">
        <v>309</v>
      </c>
      <c r="B62" s="314" t="s">
        <v>1198</v>
      </c>
      <c r="C62" s="312">
        <v>1</v>
      </c>
      <c r="D62" s="314" t="s">
        <v>1195</v>
      </c>
      <c r="E62" s="312">
        <v>41</v>
      </c>
      <c r="F62" s="314" t="s">
        <v>235</v>
      </c>
      <c r="G62" s="312">
        <v>4101</v>
      </c>
      <c r="H62" s="314" t="s">
        <v>236</v>
      </c>
      <c r="I62" s="312">
        <v>4101</v>
      </c>
      <c r="J62" s="315" t="s">
        <v>1257</v>
      </c>
      <c r="K62" s="321" t="s">
        <v>246</v>
      </c>
      <c r="L62" s="319">
        <v>4101073</v>
      </c>
      <c r="M62" s="315" t="s">
        <v>247</v>
      </c>
      <c r="N62" s="319">
        <v>4101073</v>
      </c>
      <c r="O62" s="315" t="s">
        <v>247</v>
      </c>
      <c r="P62" s="319">
        <v>410107300</v>
      </c>
      <c r="Q62" s="316" t="s">
        <v>248</v>
      </c>
      <c r="R62" s="319">
        <v>410107300</v>
      </c>
      <c r="S62" s="316" t="s">
        <v>248</v>
      </c>
      <c r="T62" s="317" t="s">
        <v>1460</v>
      </c>
      <c r="U62" s="345">
        <v>75</v>
      </c>
      <c r="V62" s="345">
        <v>20</v>
      </c>
      <c r="W62" s="318">
        <f t="shared" si="1"/>
        <v>95</v>
      </c>
      <c r="X62" s="385">
        <v>95</v>
      </c>
      <c r="Y62" s="320">
        <v>2020003630064</v>
      </c>
      <c r="Z62" s="316" t="s">
        <v>240</v>
      </c>
      <c r="AA62" s="321" t="s">
        <v>241</v>
      </c>
      <c r="AB62" s="322"/>
      <c r="AC62" s="322"/>
      <c r="AD62" s="322"/>
      <c r="AE62" s="322"/>
      <c r="AF62" s="322"/>
      <c r="AG62" s="322"/>
      <c r="AH62" s="322"/>
      <c r="AI62" s="322"/>
      <c r="AJ62" s="322"/>
      <c r="AK62" s="322"/>
      <c r="AL62" s="322"/>
      <c r="AM62" s="322"/>
      <c r="AN62" s="322"/>
      <c r="AO62" s="322"/>
      <c r="AP62" s="322"/>
      <c r="AQ62" s="322"/>
      <c r="AR62" s="322"/>
      <c r="AS62" s="322"/>
      <c r="AT62" s="343">
        <f>40000000+16062832-35000000-4278232</f>
        <v>16784600</v>
      </c>
      <c r="AU62" s="342">
        <v>15036700</v>
      </c>
      <c r="AV62" s="342">
        <v>15036700</v>
      </c>
      <c r="AW62" s="323"/>
      <c r="AX62" s="322"/>
      <c r="AY62" s="322"/>
      <c r="AZ62" s="324"/>
      <c r="BA62" s="322"/>
      <c r="BB62" s="322"/>
      <c r="BC62" s="323"/>
      <c r="BD62" s="322"/>
      <c r="BE62" s="322"/>
      <c r="BF62" s="462">
        <f t="shared" si="11"/>
        <v>16784600</v>
      </c>
      <c r="BG62" s="462">
        <f t="shared" si="12"/>
        <v>15036700</v>
      </c>
      <c r="BH62" s="462">
        <f t="shared" si="13"/>
        <v>15036700</v>
      </c>
      <c r="BI62" s="315" t="s">
        <v>1466</v>
      </c>
      <c r="BK62" s="327"/>
      <c r="BL62" s="328"/>
    </row>
    <row r="63" spans="1:64" s="326" customFormat="1" ht="117" customHeight="1" x14ac:dyDescent="0.2">
      <c r="A63" s="312">
        <v>309</v>
      </c>
      <c r="B63" s="314" t="s">
        <v>1198</v>
      </c>
      <c r="C63" s="312">
        <v>1</v>
      </c>
      <c r="D63" s="314" t="s">
        <v>1195</v>
      </c>
      <c r="E63" s="312">
        <v>41</v>
      </c>
      <c r="F63" s="314" t="s">
        <v>235</v>
      </c>
      <c r="G63" s="312">
        <v>4101</v>
      </c>
      <c r="H63" s="314" t="s">
        <v>236</v>
      </c>
      <c r="I63" s="312">
        <v>4101</v>
      </c>
      <c r="J63" s="315" t="s">
        <v>1257</v>
      </c>
      <c r="K63" s="321" t="s">
        <v>249</v>
      </c>
      <c r="L63" s="319">
        <v>4101011</v>
      </c>
      <c r="M63" s="315" t="s">
        <v>250</v>
      </c>
      <c r="N63" s="319">
        <v>4101011</v>
      </c>
      <c r="O63" s="315" t="s">
        <v>250</v>
      </c>
      <c r="P63" s="319">
        <v>410101100</v>
      </c>
      <c r="Q63" s="316" t="s">
        <v>251</v>
      </c>
      <c r="R63" s="319">
        <v>410101100</v>
      </c>
      <c r="S63" s="316" t="s">
        <v>251</v>
      </c>
      <c r="T63" s="317" t="s">
        <v>1460</v>
      </c>
      <c r="U63" s="345">
        <v>3</v>
      </c>
      <c r="V63" s="345">
        <v>1</v>
      </c>
      <c r="W63" s="318">
        <f t="shared" si="1"/>
        <v>4</v>
      </c>
      <c r="X63" s="385">
        <v>4</v>
      </c>
      <c r="Y63" s="320">
        <v>2020003630064</v>
      </c>
      <c r="Z63" s="316" t="s">
        <v>240</v>
      </c>
      <c r="AA63" s="321" t="s">
        <v>241</v>
      </c>
      <c r="AB63" s="322"/>
      <c r="AC63" s="322"/>
      <c r="AD63" s="322"/>
      <c r="AE63" s="322"/>
      <c r="AF63" s="322"/>
      <c r="AG63" s="322"/>
      <c r="AH63" s="322"/>
      <c r="AI63" s="322"/>
      <c r="AJ63" s="322"/>
      <c r="AK63" s="322"/>
      <c r="AL63" s="322"/>
      <c r="AM63" s="322"/>
      <c r="AN63" s="322"/>
      <c r="AO63" s="322"/>
      <c r="AP63" s="322"/>
      <c r="AQ63" s="322"/>
      <c r="AR63" s="322"/>
      <c r="AS63" s="322"/>
      <c r="AT63" s="343">
        <f>15000000+9019167</f>
        <v>24019167</v>
      </c>
      <c r="AU63" s="342">
        <v>24006167</v>
      </c>
      <c r="AV63" s="342">
        <v>24006167</v>
      </c>
      <c r="AW63" s="323"/>
      <c r="AX63" s="322"/>
      <c r="AY63" s="322"/>
      <c r="AZ63" s="324"/>
      <c r="BA63" s="322"/>
      <c r="BB63" s="322"/>
      <c r="BC63" s="323"/>
      <c r="BD63" s="322"/>
      <c r="BE63" s="322"/>
      <c r="BF63" s="462">
        <f t="shared" si="11"/>
        <v>24019167</v>
      </c>
      <c r="BG63" s="462">
        <f t="shared" si="12"/>
        <v>24006167</v>
      </c>
      <c r="BH63" s="462">
        <f t="shared" si="13"/>
        <v>24006167</v>
      </c>
      <c r="BI63" s="315" t="s">
        <v>1466</v>
      </c>
      <c r="BK63" s="327"/>
      <c r="BL63" s="328"/>
    </row>
    <row r="64" spans="1:64" s="326" customFormat="1" ht="117" customHeight="1" x14ac:dyDescent="0.2">
      <c r="A64" s="312">
        <v>309</v>
      </c>
      <c r="B64" s="314" t="s">
        <v>1198</v>
      </c>
      <c r="C64" s="312">
        <v>1</v>
      </c>
      <c r="D64" s="314" t="s">
        <v>1195</v>
      </c>
      <c r="E64" s="312">
        <v>41</v>
      </c>
      <c r="F64" s="314" t="s">
        <v>235</v>
      </c>
      <c r="G64" s="312">
        <v>4103</v>
      </c>
      <c r="H64" s="314" t="s">
        <v>252</v>
      </c>
      <c r="I64" s="312">
        <v>4103</v>
      </c>
      <c r="J64" s="315" t="s">
        <v>1258</v>
      </c>
      <c r="K64" s="321" t="s">
        <v>253</v>
      </c>
      <c r="L64" s="312" t="s">
        <v>31</v>
      </c>
      <c r="M64" s="315" t="s">
        <v>254</v>
      </c>
      <c r="N64" s="319">
        <v>4103052</v>
      </c>
      <c r="O64" s="315" t="s">
        <v>255</v>
      </c>
      <c r="P64" s="312" t="s">
        <v>31</v>
      </c>
      <c r="Q64" s="316" t="s">
        <v>256</v>
      </c>
      <c r="R64" s="319">
        <v>410305201</v>
      </c>
      <c r="S64" s="316" t="s">
        <v>257</v>
      </c>
      <c r="T64" s="317" t="s">
        <v>1460</v>
      </c>
      <c r="U64" s="345">
        <v>25</v>
      </c>
      <c r="V64" s="345"/>
      <c r="W64" s="318">
        <f t="shared" si="1"/>
        <v>25</v>
      </c>
      <c r="X64" s="385">
        <v>25</v>
      </c>
      <c r="Y64" s="320">
        <v>2020003630065</v>
      </c>
      <c r="Z64" s="316" t="s">
        <v>258</v>
      </c>
      <c r="AA64" s="321" t="s">
        <v>259</v>
      </c>
      <c r="AB64" s="322"/>
      <c r="AC64" s="322"/>
      <c r="AD64" s="322"/>
      <c r="AE64" s="322"/>
      <c r="AF64" s="322"/>
      <c r="AG64" s="322"/>
      <c r="AH64" s="322"/>
      <c r="AI64" s="322"/>
      <c r="AJ64" s="322"/>
      <c r="AK64" s="322"/>
      <c r="AL64" s="322"/>
      <c r="AM64" s="322"/>
      <c r="AN64" s="322"/>
      <c r="AO64" s="322"/>
      <c r="AP64" s="322"/>
      <c r="AQ64" s="322"/>
      <c r="AR64" s="322"/>
      <c r="AS64" s="322"/>
      <c r="AT64" s="343">
        <f>18000000+7735500</f>
        <v>25735500</v>
      </c>
      <c r="AU64" s="342">
        <v>25735500</v>
      </c>
      <c r="AV64" s="342">
        <v>25735500</v>
      </c>
      <c r="AW64" s="323"/>
      <c r="AX64" s="322"/>
      <c r="AY64" s="322"/>
      <c r="AZ64" s="324"/>
      <c r="BA64" s="322"/>
      <c r="BB64" s="322"/>
      <c r="BC64" s="323"/>
      <c r="BD64" s="322"/>
      <c r="BE64" s="322"/>
      <c r="BF64" s="462">
        <f t="shared" si="11"/>
        <v>25735500</v>
      </c>
      <c r="BG64" s="462">
        <f t="shared" si="12"/>
        <v>25735500</v>
      </c>
      <c r="BH64" s="462">
        <f t="shared" si="13"/>
        <v>25735500</v>
      </c>
      <c r="BI64" s="315" t="s">
        <v>1466</v>
      </c>
      <c r="BK64" s="327"/>
      <c r="BL64" s="328"/>
    </row>
    <row r="65" spans="1:64" s="326" customFormat="1" ht="162.75" customHeight="1" x14ac:dyDescent="0.2">
      <c r="A65" s="312">
        <v>309</v>
      </c>
      <c r="B65" s="314" t="s">
        <v>1198</v>
      </c>
      <c r="C65" s="312">
        <v>1</v>
      </c>
      <c r="D65" s="314" t="s">
        <v>1195</v>
      </c>
      <c r="E65" s="312">
        <v>45</v>
      </c>
      <c r="F65" s="314" t="s">
        <v>28</v>
      </c>
      <c r="G65" s="312">
        <v>4501</v>
      </c>
      <c r="H65" s="314" t="s">
        <v>260</v>
      </c>
      <c r="I65" s="312">
        <v>4501</v>
      </c>
      <c r="J65" s="315" t="s">
        <v>1260</v>
      </c>
      <c r="K65" s="321" t="s">
        <v>115</v>
      </c>
      <c r="L65" s="312" t="s">
        <v>31</v>
      </c>
      <c r="M65" s="315" t="s">
        <v>261</v>
      </c>
      <c r="N65" s="319">
        <v>4501029</v>
      </c>
      <c r="O65" s="315" t="s">
        <v>262</v>
      </c>
      <c r="P65" s="312" t="s">
        <v>31</v>
      </c>
      <c r="Q65" s="316" t="s">
        <v>263</v>
      </c>
      <c r="R65" s="319">
        <v>450102900</v>
      </c>
      <c r="S65" s="316" t="s">
        <v>264</v>
      </c>
      <c r="T65" s="317" t="s">
        <v>1459</v>
      </c>
      <c r="U65" s="345">
        <v>5</v>
      </c>
      <c r="V65" s="345"/>
      <c r="W65" s="318">
        <f t="shared" si="1"/>
        <v>5</v>
      </c>
      <c r="X65" s="385">
        <v>5</v>
      </c>
      <c r="Y65" s="320">
        <v>2020003630066</v>
      </c>
      <c r="Z65" s="316" t="s">
        <v>1345</v>
      </c>
      <c r="AA65" s="321" t="s">
        <v>1352</v>
      </c>
      <c r="AB65" s="322"/>
      <c r="AC65" s="322"/>
      <c r="AD65" s="322"/>
      <c r="AE65" s="322"/>
      <c r="AF65" s="322"/>
      <c r="AG65" s="322"/>
      <c r="AH65" s="322"/>
      <c r="AI65" s="322"/>
      <c r="AJ65" s="322"/>
      <c r="AK65" s="322"/>
      <c r="AL65" s="322"/>
      <c r="AM65" s="322"/>
      <c r="AN65" s="322"/>
      <c r="AO65" s="322"/>
      <c r="AP65" s="322"/>
      <c r="AQ65" s="322"/>
      <c r="AR65" s="322"/>
      <c r="AS65" s="322"/>
      <c r="AT65" s="343"/>
      <c r="AU65" s="342"/>
      <c r="AV65" s="342"/>
      <c r="AW65" s="323">
        <f>1613517223+168740786+3032347900.15</f>
        <v>4814605909.1499996</v>
      </c>
      <c r="AX65" s="322">
        <v>2895994836.27</v>
      </c>
      <c r="AY65" s="322">
        <v>2469624470.1199999</v>
      </c>
      <c r="AZ65" s="324"/>
      <c r="BA65" s="322"/>
      <c r="BB65" s="322"/>
      <c r="BC65" s="323"/>
      <c r="BD65" s="322"/>
      <c r="BE65" s="322"/>
      <c r="BF65" s="462">
        <f t="shared" si="11"/>
        <v>4814605909.1499996</v>
      </c>
      <c r="BG65" s="462">
        <f t="shared" si="12"/>
        <v>2895994836.27</v>
      </c>
      <c r="BH65" s="462">
        <f t="shared" si="13"/>
        <v>2469624470.1199999</v>
      </c>
      <c r="BI65" s="315" t="s">
        <v>1466</v>
      </c>
      <c r="BK65" s="327"/>
      <c r="BL65" s="328"/>
    </row>
    <row r="66" spans="1:64" s="326" customFormat="1" ht="162.75" customHeight="1" x14ac:dyDescent="0.2">
      <c r="A66" s="312">
        <v>309</v>
      </c>
      <c r="B66" s="314" t="s">
        <v>1198</v>
      </c>
      <c r="C66" s="312">
        <v>1</v>
      </c>
      <c r="D66" s="314" t="s">
        <v>1195</v>
      </c>
      <c r="E66" s="312">
        <v>45</v>
      </c>
      <c r="F66" s="314" t="s">
        <v>28</v>
      </c>
      <c r="G66" s="312">
        <v>4501</v>
      </c>
      <c r="H66" s="314" t="s">
        <v>260</v>
      </c>
      <c r="I66" s="312">
        <v>4501</v>
      </c>
      <c r="J66" s="315" t="s">
        <v>1260</v>
      </c>
      <c r="K66" s="321" t="s">
        <v>115</v>
      </c>
      <c r="L66" s="312">
        <v>4501001</v>
      </c>
      <c r="M66" s="315" t="s">
        <v>84</v>
      </c>
      <c r="N66" s="312">
        <v>4501001</v>
      </c>
      <c r="O66" s="315" t="s">
        <v>84</v>
      </c>
      <c r="P66" s="312">
        <v>450100100</v>
      </c>
      <c r="Q66" s="316" t="s">
        <v>265</v>
      </c>
      <c r="R66" s="312">
        <v>450100100</v>
      </c>
      <c r="S66" s="316" t="s">
        <v>265</v>
      </c>
      <c r="T66" s="317" t="s">
        <v>1459</v>
      </c>
      <c r="U66" s="345">
        <v>12</v>
      </c>
      <c r="V66" s="345"/>
      <c r="W66" s="318">
        <f t="shared" si="1"/>
        <v>12</v>
      </c>
      <c r="X66" s="385">
        <v>12</v>
      </c>
      <c r="Y66" s="320">
        <v>2020003630068</v>
      </c>
      <c r="Z66" s="316" t="s">
        <v>1129</v>
      </c>
      <c r="AA66" s="321" t="s">
        <v>266</v>
      </c>
      <c r="AB66" s="387"/>
      <c r="AC66" s="387"/>
      <c r="AD66" s="387"/>
      <c r="AE66" s="322"/>
      <c r="AF66" s="322"/>
      <c r="AG66" s="322"/>
      <c r="AH66" s="322"/>
      <c r="AI66" s="322"/>
      <c r="AJ66" s="322"/>
      <c r="AK66" s="322"/>
      <c r="AL66" s="322"/>
      <c r="AM66" s="322"/>
      <c r="AN66" s="322"/>
      <c r="AO66" s="322"/>
      <c r="AP66" s="322"/>
      <c r="AQ66" s="322"/>
      <c r="AR66" s="322"/>
      <c r="AS66" s="322"/>
      <c r="AT66" s="343">
        <v>36000000</v>
      </c>
      <c r="AU66" s="342">
        <v>36000000</v>
      </c>
      <c r="AV66" s="342">
        <v>36000000</v>
      </c>
      <c r="AW66" s="323"/>
      <c r="AX66" s="322"/>
      <c r="AY66" s="322"/>
      <c r="AZ66" s="324"/>
      <c r="BA66" s="322"/>
      <c r="BB66" s="322"/>
      <c r="BC66" s="323"/>
      <c r="BD66" s="322"/>
      <c r="BE66" s="322"/>
      <c r="BF66" s="462">
        <f t="shared" si="11"/>
        <v>36000000</v>
      </c>
      <c r="BG66" s="462">
        <f t="shared" si="12"/>
        <v>36000000</v>
      </c>
      <c r="BH66" s="462">
        <f t="shared" si="13"/>
        <v>36000000</v>
      </c>
      <c r="BI66" s="315" t="s">
        <v>1466</v>
      </c>
      <c r="BK66" s="327"/>
      <c r="BL66" s="328"/>
    </row>
    <row r="67" spans="1:64" s="326" customFormat="1" ht="117" customHeight="1" x14ac:dyDescent="0.2">
      <c r="A67" s="312">
        <v>309</v>
      </c>
      <c r="B67" s="314" t="s">
        <v>1198</v>
      </c>
      <c r="C67" s="312">
        <v>3</v>
      </c>
      <c r="D67" s="314" t="s">
        <v>1197</v>
      </c>
      <c r="E67" s="312">
        <v>32</v>
      </c>
      <c r="F67" s="314" t="s">
        <v>170</v>
      </c>
      <c r="G67" s="312">
        <v>3205</v>
      </c>
      <c r="H67" s="314" t="s">
        <v>171</v>
      </c>
      <c r="I67" s="312">
        <v>3205</v>
      </c>
      <c r="J67" s="315" t="s">
        <v>1248</v>
      </c>
      <c r="K67" s="321" t="s">
        <v>267</v>
      </c>
      <c r="L67" s="312">
        <v>3205002</v>
      </c>
      <c r="M67" s="315" t="s">
        <v>268</v>
      </c>
      <c r="N67" s="312">
        <v>3205002</v>
      </c>
      <c r="O67" s="315" t="s">
        <v>268</v>
      </c>
      <c r="P67" s="312">
        <v>320500200</v>
      </c>
      <c r="Q67" s="316" t="s">
        <v>269</v>
      </c>
      <c r="R67" s="312">
        <v>320500200</v>
      </c>
      <c r="S67" s="316" t="s">
        <v>269</v>
      </c>
      <c r="T67" s="317" t="s">
        <v>1460</v>
      </c>
      <c r="U67" s="345">
        <v>3</v>
      </c>
      <c r="V67" s="345">
        <v>1</v>
      </c>
      <c r="W67" s="318">
        <f t="shared" si="1"/>
        <v>4</v>
      </c>
      <c r="X67" s="385">
        <v>2</v>
      </c>
      <c r="Y67" s="320">
        <v>2020003630069</v>
      </c>
      <c r="Z67" s="316" t="s">
        <v>270</v>
      </c>
      <c r="AA67" s="321" t="s">
        <v>271</v>
      </c>
      <c r="AB67" s="322"/>
      <c r="AC67" s="322"/>
      <c r="AD67" s="322"/>
      <c r="AE67" s="322"/>
      <c r="AF67" s="322"/>
      <c r="AG67" s="322"/>
      <c r="AH67" s="322"/>
      <c r="AI67" s="322"/>
      <c r="AJ67" s="322"/>
      <c r="AK67" s="322"/>
      <c r="AL67" s="322"/>
      <c r="AM67" s="322"/>
      <c r="AN67" s="322"/>
      <c r="AO67" s="322"/>
      <c r="AP67" s="322"/>
      <c r="AQ67" s="322"/>
      <c r="AR67" s="322"/>
      <c r="AS67" s="322"/>
      <c r="AT67" s="466">
        <f>45000000+186212500</f>
        <v>231212500</v>
      </c>
      <c r="AU67" s="467">
        <v>230130205.12</v>
      </c>
      <c r="AV67" s="467">
        <v>113176667</v>
      </c>
      <c r="AW67" s="323"/>
      <c r="AX67" s="322"/>
      <c r="AY67" s="322"/>
      <c r="AZ67" s="324"/>
      <c r="BA67" s="322"/>
      <c r="BB67" s="322"/>
      <c r="BC67" s="323"/>
      <c r="BD67" s="322"/>
      <c r="BE67" s="322"/>
      <c r="BF67" s="462">
        <f t="shared" si="11"/>
        <v>231212500</v>
      </c>
      <c r="BG67" s="462">
        <f t="shared" si="12"/>
        <v>230130205.12</v>
      </c>
      <c r="BH67" s="462">
        <f t="shared" si="13"/>
        <v>113176667</v>
      </c>
      <c r="BI67" s="315" t="s">
        <v>1466</v>
      </c>
      <c r="BK67" s="327"/>
      <c r="BL67" s="328"/>
    </row>
    <row r="68" spans="1:64" s="326" customFormat="1" ht="117" customHeight="1" x14ac:dyDescent="0.2">
      <c r="A68" s="312">
        <v>309</v>
      </c>
      <c r="B68" s="314" t="s">
        <v>1198</v>
      </c>
      <c r="C68" s="312">
        <v>3</v>
      </c>
      <c r="D68" s="314" t="s">
        <v>1197</v>
      </c>
      <c r="E68" s="312">
        <v>45</v>
      </c>
      <c r="F68" s="314" t="s">
        <v>28</v>
      </c>
      <c r="G68" s="312">
        <v>4503</v>
      </c>
      <c r="H68" s="314" t="s">
        <v>1224</v>
      </c>
      <c r="I68" s="312">
        <v>4503</v>
      </c>
      <c r="J68" s="315" t="s">
        <v>1225</v>
      </c>
      <c r="K68" s="321" t="s">
        <v>272</v>
      </c>
      <c r="L68" s="312">
        <v>4503002</v>
      </c>
      <c r="M68" s="315" t="s">
        <v>273</v>
      </c>
      <c r="N68" s="312">
        <v>4503002</v>
      </c>
      <c r="O68" s="315" t="s">
        <v>273</v>
      </c>
      <c r="P68" s="312">
        <v>450300200</v>
      </c>
      <c r="Q68" s="315" t="s">
        <v>274</v>
      </c>
      <c r="R68" s="312">
        <v>450300200</v>
      </c>
      <c r="S68" s="316" t="s">
        <v>274</v>
      </c>
      <c r="T68" s="317" t="s">
        <v>1460</v>
      </c>
      <c r="U68" s="345">
        <v>5000</v>
      </c>
      <c r="V68" s="345"/>
      <c r="W68" s="318">
        <f t="shared" si="1"/>
        <v>5000</v>
      </c>
      <c r="X68" s="385">
        <v>5000</v>
      </c>
      <c r="Y68" s="320">
        <v>2020003630070</v>
      </c>
      <c r="Z68" s="321" t="s">
        <v>275</v>
      </c>
      <c r="AA68" s="321" t="s">
        <v>276</v>
      </c>
      <c r="AB68" s="322"/>
      <c r="AC68" s="322"/>
      <c r="AD68" s="322"/>
      <c r="AE68" s="322"/>
      <c r="AF68" s="322"/>
      <c r="AG68" s="322"/>
      <c r="AH68" s="322"/>
      <c r="AI68" s="322"/>
      <c r="AJ68" s="322"/>
      <c r="AK68" s="322"/>
      <c r="AL68" s="322"/>
      <c r="AM68" s="322"/>
      <c r="AN68" s="322"/>
      <c r="AO68" s="322"/>
      <c r="AP68" s="322"/>
      <c r="AQ68" s="322"/>
      <c r="AR68" s="322"/>
      <c r="AS68" s="322"/>
      <c r="AT68" s="343">
        <f>18000000+32195000+16650000</f>
        <v>66845000</v>
      </c>
      <c r="AU68" s="342">
        <v>57793700</v>
      </c>
      <c r="AV68" s="342">
        <v>57793700</v>
      </c>
      <c r="AW68" s="323"/>
      <c r="AX68" s="322"/>
      <c r="AY68" s="322"/>
      <c r="AZ68" s="324"/>
      <c r="BA68" s="322"/>
      <c r="BB68" s="322"/>
      <c r="BC68" s="323"/>
      <c r="BD68" s="322"/>
      <c r="BE68" s="322"/>
      <c r="BF68" s="462">
        <f t="shared" si="11"/>
        <v>66845000</v>
      </c>
      <c r="BG68" s="462">
        <f t="shared" si="12"/>
        <v>57793700</v>
      </c>
      <c r="BH68" s="462">
        <f t="shared" si="13"/>
        <v>57793700</v>
      </c>
      <c r="BI68" s="315" t="s">
        <v>1466</v>
      </c>
      <c r="BK68" s="327"/>
      <c r="BL68" s="328"/>
    </row>
    <row r="69" spans="1:64" s="326" customFormat="1" ht="117" customHeight="1" x14ac:dyDescent="0.2">
      <c r="A69" s="312">
        <v>309</v>
      </c>
      <c r="B69" s="314" t="s">
        <v>1198</v>
      </c>
      <c r="C69" s="312">
        <v>3</v>
      </c>
      <c r="D69" s="314" t="s">
        <v>1197</v>
      </c>
      <c r="E69" s="312">
        <v>45</v>
      </c>
      <c r="F69" s="314" t="s">
        <v>28</v>
      </c>
      <c r="G69" s="312">
        <v>4503</v>
      </c>
      <c r="H69" s="314" t="s">
        <v>1224</v>
      </c>
      <c r="I69" s="312">
        <v>4503</v>
      </c>
      <c r="J69" s="315" t="s">
        <v>1225</v>
      </c>
      <c r="K69" s="321" t="s">
        <v>277</v>
      </c>
      <c r="L69" s="312">
        <v>4503003</v>
      </c>
      <c r="M69" s="315" t="s">
        <v>84</v>
      </c>
      <c r="N69" s="312">
        <v>4503003</v>
      </c>
      <c r="O69" s="315" t="s">
        <v>84</v>
      </c>
      <c r="P69" s="312">
        <v>450300300</v>
      </c>
      <c r="Q69" s="316" t="s">
        <v>278</v>
      </c>
      <c r="R69" s="312">
        <v>450300300</v>
      </c>
      <c r="S69" s="316" t="s">
        <v>278</v>
      </c>
      <c r="T69" s="317" t="s">
        <v>1459</v>
      </c>
      <c r="U69" s="345">
        <v>12</v>
      </c>
      <c r="V69" s="345"/>
      <c r="W69" s="318">
        <f t="shared" si="1"/>
        <v>12</v>
      </c>
      <c r="X69" s="385">
        <v>12</v>
      </c>
      <c r="Y69" s="320">
        <v>2020003630070</v>
      </c>
      <c r="Z69" s="321" t="s">
        <v>275</v>
      </c>
      <c r="AA69" s="321" t="s">
        <v>276</v>
      </c>
      <c r="AB69" s="322"/>
      <c r="AC69" s="322"/>
      <c r="AD69" s="322"/>
      <c r="AE69" s="322"/>
      <c r="AF69" s="322"/>
      <c r="AG69" s="322"/>
      <c r="AH69" s="322"/>
      <c r="AI69" s="322"/>
      <c r="AJ69" s="322"/>
      <c r="AK69" s="322"/>
      <c r="AL69" s="322"/>
      <c r="AM69" s="322"/>
      <c r="AN69" s="322"/>
      <c r="AO69" s="322"/>
      <c r="AP69" s="322"/>
      <c r="AQ69" s="322"/>
      <c r="AR69" s="322"/>
      <c r="AS69" s="322"/>
      <c r="AT69" s="343">
        <f>100000000+114565000+47013200-7650000-14105000+97572577.94</f>
        <v>337395777.94</v>
      </c>
      <c r="AU69" s="342">
        <v>237552995</v>
      </c>
      <c r="AV69" s="342">
        <v>232552995</v>
      </c>
      <c r="AW69" s="323"/>
      <c r="AX69" s="322"/>
      <c r="AY69" s="322"/>
      <c r="AZ69" s="324"/>
      <c r="BA69" s="322"/>
      <c r="BB69" s="322"/>
      <c r="BC69" s="323"/>
      <c r="BD69" s="322"/>
      <c r="BE69" s="322"/>
      <c r="BF69" s="462">
        <f t="shared" si="11"/>
        <v>337395777.94</v>
      </c>
      <c r="BG69" s="462">
        <f t="shared" si="12"/>
        <v>237552995</v>
      </c>
      <c r="BH69" s="462">
        <f t="shared" si="13"/>
        <v>232552995</v>
      </c>
      <c r="BI69" s="315" t="s">
        <v>1466</v>
      </c>
      <c r="BK69" s="327"/>
      <c r="BL69" s="328"/>
    </row>
    <row r="70" spans="1:64" s="326" customFormat="1" ht="117" customHeight="1" x14ac:dyDescent="0.2">
      <c r="A70" s="312">
        <v>309</v>
      </c>
      <c r="B70" s="314" t="s">
        <v>1198</v>
      </c>
      <c r="C70" s="312">
        <v>3</v>
      </c>
      <c r="D70" s="314" t="s">
        <v>1197</v>
      </c>
      <c r="E70" s="312">
        <v>45</v>
      </c>
      <c r="F70" s="314" t="s">
        <v>28</v>
      </c>
      <c r="G70" s="312">
        <v>4503</v>
      </c>
      <c r="H70" s="314" t="s">
        <v>1224</v>
      </c>
      <c r="I70" s="312">
        <v>4503</v>
      </c>
      <c r="J70" s="315" t="s">
        <v>1225</v>
      </c>
      <c r="K70" s="321" t="s">
        <v>277</v>
      </c>
      <c r="L70" s="312">
        <v>4503004</v>
      </c>
      <c r="M70" s="315" t="s">
        <v>279</v>
      </c>
      <c r="N70" s="312">
        <v>4503016</v>
      </c>
      <c r="O70" s="315" t="s">
        <v>280</v>
      </c>
      <c r="P70" s="312" t="s">
        <v>31</v>
      </c>
      <c r="Q70" s="316" t="s">
        <v>281</v>
      </c>
      <c r="R70" s="312">
        <v>450301600</v>
      </c>
      <c r="S70" s="316" t="s">
        <v>282</v>
      </c>
      <c r="T70" s="317" t="s">
        <v>1459</v>
      </c>
      <c r="U70" s="345">
        <v>1</v>
      </c>
      <c r="V70" s="345"/>
      <c r="W70" s="318">
        <f t="shared" si="1"/>
        <v>1</v>
      </c>
      <c r="X70" s="385">
        <v>1</v>
      </c>
      <c r="Y70" s="320">
        <v>2020003630070</v>
      </c>
      <c r="Z70" s="321" t="s">
        <v>275</v>
      </c>
      <c r="AA70" s="321" t="s">
        <v>276</v>
      </c>
      <c r="AB70" s="322"/>
      <c r="AC70" s="322"/>
      <c r="AD70" s="322"/>
      <c r="AE70" s="322"/>
      <c r="AF70" s="322"/>
      <c r="AG70" s="322"/>
      <c r="AH70" s="322"/>
      <c r="AI70" s="322"/>
      <c r="AJ70" s="322"/>
      <c r="AK70" s="322"/>
      <c r="AL70" s="322"/>
      <c r="AM70" s="322"/>
      <c r="AN70" s="322"/>
      <c r="AO70" s="322"/>
      <c r="AP70" s="322"/>
      <c r="AQ70" s="322"/>
      <c r="AR70" s="322"/>
      <c r="AS70" s="322"/>
      <c r="AT70" s="343">
        <f>30000000+30199823.94-9000000</f>
        <v>51199823.939999998</v>
      </c>
      <c r="AU70" s="342">
        <v>49015386.159999996</v>
      </c>
      <c r="AV70" s="342">
        <v>49015386.159999996</v>
      </c>
      <c r="AW70" s="323"/>
      <c r="AX70" s="322"/>
      <c r="AY70" s="322"/>
      <c r="AZ70" s="324"/>
      <c r="BA70" s="322"/>
      <c r="BB70" s="322"/>
      <c r="BC70" s="323"/>
      <c r="BD70" s="322"/>
      <c r="BE70" s="322"/>
      <c r="BF70" s="462">
        <f t="shared" si="11"/>
        <v>51199823.939999998</v>
      </c>
      <c r="BG70" s="462">
        <f t="shared" si="12"/>
        <v>49015386.159999996</v>
      </c>
      <c r="BH70" s="462">
        <f t="shared" si="13"/>
        <v>49015386.159999996</v>
      </c>
      <c r="BI70" s="315" t="s">
        <v>1466</v>
      </c>
      <c r="BK70" s="327"/>
      <c r="BL70" s="328"/>
    </row>
    <row r="71" spans="1:64" s="326" customFormat="1" ht="117" customHeight="1" x14ac:dyDescent="0.2">
      <c r="A71" s="312">
        <v>309</v>
      </c>
      <c r="B71" s="314" t="s">
        <v>1198</v>
      </c>
      <c r="C71" s="312">
        <v>4</v>
      </c>
      <c r="D71" s="314" t="s">
        <v>1191</v>
      </c>
      <c r="E71" s="312">
        <v>45</v>
      </c>
      <c r="F71" s="314" t="s">
        <v>28</v>
      </c>
      <c r="G71" s="312">
        <v>4502</v>
      </c>
      <c r="H71" s="314" t="s">
        <v>1223</v>
      </c>
      <c r="I71" s="312">
        <v>4502</v>
      </c>
      <c r="J71" s="315" t="s">
        <v>1222</v>
      </c>
      <c r="K71" s="321" t="s">
        <v>283</v>
      </c>
      <c r="L71" s="312">
        <v>4502024</v>
      </c>
      <c r="M71" s="315" t="s">
        <v>284</v>
      </c>
      <c r="N71" s="312">
        <v>4502024</v>
      </c>
      <c r="O71" s="315" t="s">
        <v>284</v>
      </c>
      <c r="P71" s="329">
        <v>450202400</v>
      </c>
      <c r="Q71" s="316" t="s">
        <v>285</v>
      </c>
      <c r="R71" s="329">
        <v>450202400</v>
      </c>
      <c r="S71" s="316" t="s">
        <v>285</v>
      </c>
      <c r="T71" s="317" t="s">
        <v>1459</v>
      </c>
      <c r="U71" s="345">
        <v>10</v>
      </c>
      <c r="V71" s="345"/>
      <c r="W71" s="318">
        <f t="shared" si="1"/>
        <v>10</v>
      </c>
      <c r="X71" s="385">
        <v>10</v>
      </c>
      <c r="Y71" s="320">
        <v>2020003630067</v>
      </c>
      <c r="Z71" s="321" t="s">
        <v>1344</v>
      </c>
      <c r="AA71" s="321" t="s">
        <v>287</v>
      </c>
      <c r="AB71" s="322"/>
      <c r="AC71" s="322"/>
      <c r="AD71" s="322"/>
      <c r="AE71" s="322"/>
      <c r="AF71" s="322"/>
      <c r="AG71" s="322"/>
      <c r="AH71" s="322"/>
      <c r="AI71" s="322"/>
      <c r="AJ71" s="322"/>
      <c r="AK71" s="322"/>
      <c r="AL71" s="322"/>
      <c r="AM71" s="322"/>
      <c r="AN71" s="322"/>
      <c r="AO71" s="322"/>
      <c r="AP71" s="322"/>
      <c r="AQ71" s="322"/>
      <c r="AR71" s="322"/>
      <c r="AS71" s="322"/>
      <c r="AT71" s="343">
        <f>50000000+25982716.05+15000000+11540000</f>
        <v>102522716.05</v>
      </c>
      <c r="AU71" s="342">
        <v>94851282</v>
      </c>
      <c r="AV71" s="342">
        <v>94851282</v>
      </c>
      <c r="AW71" s="323"/>
      <c r="AX71" s="322"/>
      <c r="AY71" s="322"/>
      <c r="AZ71" s="324"/>
      <c r="BA71" s="322"/>
      <c r="BB71" s="322"/>
      <c r="BC71" s="323"/>
      <c r="BD71" s="322"/>
      <c r="BE71" s="322"/>
      <c r="BF71" s="462">
        <f t="shared" si="11"/>
        <v>102522716.05</v>
      </c>
      <c r="BG71" s="462">
        <f t="shared" si="12"/>
        <v>94851282</v>
      </c>
      <c r="BH71" s="462">
        <f t="shared" si="13"/>
        <v>94851282</v>
      </c>
      <c r="BI71" s="315" t="s">
        <v>1466</v>
      </c>
      <c r="BK71" s="327"/>
      <c r="BL71" s="328"/>
    </row>
    <row r="72" spans="1:64" s="326" customFormat="1" ht="117" customHeight="1" x14ac:dyDescent="0.2">
      <c r="A72" s="312">
        <v>309</v>
      </c>
      <c r="B72" s="314" t="s">
        <v>1198</v>
      </c>
      <c r="C72" s="312">
        <v>4</v>
      </c>
      <c r="D72" s="314" t="s">
        <v>1191</v>
      </c>
      <c r="E72" s="312">
        <v>45</v>
      </c>
      <c r="F72" s="314" t="s">
        <v>28</v>
      </c>
      <c r="G72" s="312">
        <v>4502</v>
      </c>
      <c r="H72" s="314" t="s">
        <v>1223</v>
      </c>
      <c r="I72" s="312">
        <v>4502</v>
      </c>
      <c r="J72" s="315" t="s">
        <v>1222</v>
      </c>
      <c r="K72" s="321" t="s">
        <v>48</v>
      </c>
      <c r="L72" s="312">
        <v>4502001</v>
      </c>
      <c r="M72" s="315" t="s">
        <v>58</v>
      </c>
      <c r="N72" s="388">
        <v>4502001</v>
      </c>
      <c r="O72" s="315" t="s">
        <v>58</v>
      </c>
      <c r="P72" s="312">
        <v>450200100</v>
      </c>
      <c r="Q72" s="316" t="s">
        <v>288</v>
      </c>
      <c r="R72" s="329">
        <v>450200100</v>
      </c>
      <c r="S72" s="316" t="s">
        <v>60</v>
      </c>
      <c r="T72" s="317" t="s">
        <v>1459</v>
      </c>
      <c r="U72" s="345">
        <v>3</v>
      </c>
      <c r="V72" s="345"/>
      <c r="W72" s="318">
        <f t="shared" si="1"/>
        <v>3</v>
      </c>
      <c r="X72" s="385">
        <v>3</v>
      </c>
      <c r="Y72" s="320">
        <v>2020003630071</v>
      </c>
      <c r="Z72" s="321" t="s">
        <v>1385</v>
      </c>
      <c r="AA72" s="321" t="s">
        <v>290</v>
      </c>
      <c r="AB72" s="322"/>
      <c r="AC72" s="322"/>
      <c r="AD72" s="322"/>
      <c r="AE72" s="322"/>
      <c r="AF72" s="322"/>
      <c r="AG72" s="322"/>
      <c r="AH72" s="322"/>
      <c r="AI72" s="322"/>
      <c r="AJ72" s="322"/>
      <c r="AK72" s="322"/>
      <c r="AL72" s="322"/>
      <c r="AM72" s="322"/>
      <c r="AN72" s="322"/>
      <c r="AO72" s="322"/>
      <c r="AP72" s="322"/>
      <c r="AQ72" s="322"/>
      <c r="AR72" s="322"/>
      <c r="AS72" s="322"/>
      <c r="AT72" s="343">
        <f>130000000+15000000+13000000+18920000</f>
        <v>176920000</v>
      </c>
      <c r="AU72" s="342">
        <f>'[2]F-PLA-47 MetasyProyectos '!$W$50+'[2]F-PLA-47 MetasyProyectos '!$W$51</f>
        <v>166370295</v>
      </c>
      <c r="AV72" s="342">
        <f>AU72</f>
        <v>166370295</v>
      </c>
      <c r="AW72" s="323"/>
      <c r="AX72" s="322"/>
      <c r="AY72" s="322"/>
      <c r="AZ72" s="324"/>
      <c r="BA72" s="322"/>
      <c r="BB72" s="322"/>
      <c r="BC72" s="323"/>
      <c r="BD72" s="322"/>
      <c r="BE72" s="322"/>
      <c r="BF72" s="462">
        <f t="shared" si="11"/>
        <v>176920000</v>
      </c>
      <c r="BG72" s="462">
        <f t="shared" si="12"/>
        <v>166370295</v>
      </c>
      <c r="BH72" s="462">
        <f t="shared" si="13"/>
        <v>166370295</v>
      </c>
      <c r="BI72" s="315" t="s">
        <v>1466</v>
      </c>
      <c r="BK72" s="327"/>
      <c r="BL72" s="328"/>
    </row>
    <row r="73" spans="1:64" s="326" customFormat="1" ht="117" customHeight="1" x14ac:dyDescent="0.2">
      <c r="A73" s="312">
        <v>309</v>
      </c>
      <c r="B73" s="314" t="s">
        <v>1198</v>
      </c>
      <c r="C73" s="312">
        <v>4</v>
      </c>
      <c r="D73" s="314" t="s">
        <v>1191</v>
      </c>
      <c r="E73" s="312">
        <v>45</v>
      </c>
      <c r="F73" s="314" t="s">
        <v>28</v>
      </c>
      <c r="G73" s="312">
        <v>4502</v>
      </c>
      <c r="H73" s="314" t="s">
        <v>1223</v>
      </c>
      <c r="I73" s="312">
        <v>4502</v>
      </c>
      <c r="J73" s="315" t="s">
        <v>1222</v>
      </c>
      <c r="K73" s="321" t="s">
        <v>48</v>
      </c>
      <c r="L73" s="312" t="s">
        <v>31</v>
      </c>
      <c r="M73" s="315" t="s">
        <v>291</v>
      </c>
      <c r="N73" s="388">
        <v>4502001</v>
      </c>
      <c r="O73" s="315" t="s">
        <v>58</v>
      </c>
      <c r="P73" s="312" t="s">
        <v>31</v>
      </c>
      <c r="Q73" s="316" t="s">
        <v>292</v>
      </c>
      <c r="R73" s="329">
        <v>450200111</v>
      </c>
      <c r="S73" s="316" t="s">
        <v>293</v>
      </c>
      <c r="T73" s="317" t="s">
        <v>1459</v>
      </c>
      <c r="U73" s="389">
        <v>1</v>
      </c>
      <c r="V73" s="389"/>
      <c r="W73" s="318">
        <f t="shared" si="1"/>
        <v>1</v>
      </c>
      <c r="X73" s="389">
        <v>1</v>
      </c>
      <c r="Y73" s="320">
        <v>2020003630071</v>
      </c>
      <c r="Z73" s="321" t="s">
        <v>1385</v>
      </c>
      <c r="AA73" s="321" t="s">
        <v>290</v>
      </c>
      <c r="AB73" s="322"/>
      <c r="AC73" s="322"/>
      <c r="AD73" s="322"/>
      <c r="AE73" s="322"/>
      <c r="AF73" s="322"/>
      <c r="AG73" s="322"/>
      <c r="AH73" s="322"/>
      <c r="AI73" s="322"/>
      <c r="AJ73" s="322"/>
      <c r="AK73" s="322"/>
      <c r="AL73" s="322"/>
      <c r="AM73" s="322"/>
      <c r="AN73" s="322"/>
      <c r="AO73" s="322"/>
      <c r="AP73" s="322"/>
      <c r="AQ73" s="322"/>
      <c r="AR73" s="322"/>
      <c r="AS73" s="322"/>
      <c r="AT73" s="343">
        <f>73000000+10000000</f>
        <v>83000000</v>
      </c>
      <c r="AU73" s="342">
        <v>78642500</v>
      </c>
      <c r="AV73" s="342">
        <f>AU73</f>
        <v>78642500</v>
      </c>
      <c r="AW73" s="323"/>
      <c r="AX73" s="322"/>
      <c r="AY73" s="322"/>
      <c r="AZ73" s="324"/>
      <c r="BA73" s="322"/>
      <c r="BB73" s="322"/>
      <c r="BC73" s="323"/>
      <c r="BD73" s="322"/>
      <c r="BE73" s="322"/>
      <c r="BF73" s="462">
        <f t="shared" si="11"/>
        <v>83000000</v>
      </c>
      <c r="BG73" s="462">
        <f t="shared" si="12"/>
        <v>78642500</v>
      </c>
      <c r="BH73" s="462">
        <f t="shared" si="13"/>
        <v>78642500</v>
      </c>
      <c r="BI73" s="315" t="s">
        <v>1466</v>
      </c>
      <c r="BK73" s="327"/>
      <c r="BL73" s="328"/>
    </row>
    <row r="74" spans="1:64" s="326" customFormat="1" ht="117" customHeight="1" x14ac:dyDescent="0.2">
      <c r="A74" s="312">
        <v>309</v>
      </c>
      <c r="B74" s="314" t="s">
        <v>1198</v>
      </c>
      <c r="C74" s="312">
        <v>4</v>
      </c>
      <c r="D74" s="314" t="s">
        <v>1191</v>
      </c>
      <c r="E74" s="312">
        <v>45</v>
      </c>
      <c r="F74" s="314" t="s">
        <v>28</v>
      </c>
      <c r="G74" s="312">
        <v>4502</v>
      </c>
      <c r="H74" s="314" t="s">
        <v>1223</v>
      </c>
      <c r="I74" s="312">
        <v>4502</v>
      </c>
      <c r="J74" s="315" t="s">
        <v>1222</v>
      </c>
      <c r="K74" s="321" t="s">
        <v>48</v>
      </c>
      <c r="L74" s="312" t="s">
        <v>31</v>
      </c>
      <c r="M74" s="315" t="s">
        <v>294</v>
      </c>
      <c r="N74" s="312">
        <v>4502001</v>
      </c>
      <c r="O74" s="315" t="s">
        <v>58</v>
      </c>
      <c r="P74" s="312" t="s">
        <v>31</v>
      </c>
      <c r="Q74" s="316" t="s">
        <v>1131</v>
      </c>
      <c r="R74" s="329">
        <v>450200109</v>
      </c>
      <c r="S74" s="316" t="s">
        <v>295</v>
      </c>
      <c r="T74" s="317" t="s">
        <v>1459</v>
      </c>
      <c r="U74" s="345">
        <v>12</v>
      </c>
      <c r="V74" s="345"/>
      <c r="W74" s="318">
        <f t="shared" si="1"/>
        <v>12</v>
      </c>
      <c r="X74" s="385">
        <v>12</v>
      </c>
      <c r="Y74" s="320">
        <v>2020003630071</v>
      </c>
      <c r="Z74" s="321" t="s">
        <v>1385</v>
      </c>
      <c r="AA74" s="321" t="s">
        <v>290</v>
      </c>
      <c r="AB74" s="322"/>
      <c r="AC74" s="322"/>
      <c r="AD74" s="322"/>
      <c r="AE74" s="322"/>
      <c r="AF74" s="322"/>
      <c r="AG74" s="322"/>
      <c r="AH74" s="322"/>
      <c r="AI74" s="322"/>
      <c r="AJ74" s="322"/>
      <c r="AK74" s="322"/>
      <c r="AL74" s="322"/>
      <c r="AM74" s="322"/>
      <c r="AN74" s="322"/>
      <c r="AO74" s="322"/>
      <c r="AP74" s="322"/>
      <c r="AQ74" s="322"/>
      <c r="AR74" s="322"/>
      <c r="AS74" s="322"/>
      <c r="AT74" s="343">
        <f>35000000+2540000+24000000</f>
        <v>61540000</v>
      </c>
      <c r="AU74" s="342">
        <v>60497035</v>
      </c>
      <c r="AV74" s="342">
        <v>60497035</v>
      </c>
      <c r="AW74" s="323"/>
      <c r="AX74" s="322"/>
      <c r="AY74" s="322"/>
      <c r="AZ74" s="324"/>
      <c r="BA74" s="322"/>
      <c r="BB74" s="322"/>
      <c r="BC74" s="323"/>
      <c r="BD74" s="322"/>
      <c r="BE74" s="322"/>
      <c r="BF74" s="462">
        <f t="shared" si="11"/>
        <v>61540000</v>
      </c>
      <c r="BG74" s="462">
        <f t="shared" si="12"/>
        <v>60497035</v>
      </c>
      <c r="BH74" s="462">
        <f t="shared" si="13"/>
        <v>60497035</v>
      </c>
      <c r="BI74" s="315" t="s">
        <v>1466</v>
      </c>
      <c r="BK74" s="327"/>
      <c r="BL74" s="328"/>
    </row>
    <row r="75" spans="1:64" s="326" customFormat="1" ht="117" customHeight="1" x14ac:dyDescent="0.2">
      <c r="A75" s="312">
        <v>309</v>
      </c>
      <c r="B75" s="314" t="s">
        <v>1198</v>
      </c>
      <c r="C75" s="312">
        <v>4</v>
      </c>
      <c r="D75" s="314" t="s">
        <v>1191</v>
      </c>
      <c r="E75" s="312">
        <v>45</v>
      </c>
      <c r="F75" s="314" t="s">
        <v>28</v>
      </c>
      <c r="G75" s="312">
        <v>4502</v>
      </c>
      <c r="H75" s="314" t="s">
        <v>1223</v>
      </c>
      <c r="I75" s="312">
        <v>4502</v>
      </c>
      <c r="J75" s="315" t="s">
        <v>1222</v>
      </c>
      <c r="K75" s="321" t="s">
        <v>48</v>
      </c>
      <c r="L75" s="312" t="s">
        <v>31</v>
      </c>
      <c r="M75" s="315" t="s">
        <v>296</v>
      </c>
      <c r="N75" s="388">
        <v>4502035</v>
      </c>
      <c r="O75" s="315" t="s">
        <v>297</v>
      </c>
      <c r="P75" s="312" t="s">
        <v>31</v>
      </c>
      <c r="Q75" s="316" t="s">
        <v>298</v>
      </c>
      <c r="R75" s="388">
        <v>450203501</v>
      </c>
      <c r="S75" s="316" t="s">
        <v>299</v>
      </c>
      <c r="T75" s="317" t="s">
        <v>1460</v>
      </c>
      <c r="U75" s="362">
        <v>0.2</v>
      </c>
      <c r="V75" s="362"/>
      <c r="W75" s="378">
        <f t="shared" si="1"/>
        <v>0.2</v>
      </c>
      <c r="X75" s="385">
        <v>0.2</v>
      </c>
      <c r="Y75" s="320">
        <v>2020003630071</v>
      </c>
      <c r="Z75" s="321" t="s">
        <v>1385</v>
      </c>
      <c r="AA75" s="321" t="s">
        <v>290</v>
      </c>
      <c r="AB75" s="322"/>
      <c r="AC75" s="322"/>
      <c r="AD75" s="322"/>
      <c r="AE75" s="322"/>
      <c r="AF75" s="322"/>
      <c r="AG75" s="322"/>
      <c r="AH75" s="322"/>
      <c r="AI75" s="322"/>
      <c r="AJ75" s="322"/>
      <c r="AK75" s="322"/>
      <c r="AL75" s="322"/>
      <c r="AM75" s="322"/>
      <c r="AN75" s="322"/>
      <c r="AO75" s="322"/>
      <c r="AP75" s="322"/>
      <c r="AQ75" s="322"/>
      <c r="AR75" s="322"/>
      <c r="AS75" s="322"/>
      <c r="AT75" s="343">
        <f>25000000+5747466.1+10506600+2000000</f>
        <v>43254066.100000001</v>
      </c>
      <c r="AU75" s="342">
        <v>43254066</v>
      </c>
      <c r="AV75" s="342">
        <v>43254066</v>
      </c>
      <c r="AW75" s="323"/>
      <c r="AX75" s="322"/>
      <c r="AY75" s="322"/>
      <c r="AZ75" s="324"/>
      <c r="BA75" s="322"/>
      <c r="BB75" s="322"/>
      <c r="BC75" s="323"/>
      <c r="BD75" s="322"/>
      <c r="BE75" s="322"/>
      <c r="BF75" s="462">
        <f t="shared" si="11"/>
        <v>43254066.100000001</v>
      </c>
      <c r="BG75" s="462">
        <f t="shared" si="12"/>
        <v>43254066</v>
      </c>
      <c r="BH75" s="462">
        <f t="shared" si="13"/>
        <v>43254066</v>
      </c>
      <c r="BI75" s="315" t="s">
        <v>1466</v>
      </c>
      <c r="BK75" s="327"/>
      <c r="BL75" s="328"/>
    </row>
    <row r="76" spans="1:64" s="326" customFormat="1" ht="117" customHeight="1" x14ac:dyDescent="0.2">
      <c r="A76" s="312">
        <v>310</v>
      </c>
      <c r="B76" s="314" t="s">
        <v>1199</v>
      </c>
      <c r="C76" s="312">
        <v>1</v>
      </c>
      <c r="D76" s="314" t="s">
        <v>1195</v>
      </c>
      <c r="E76" s="312">
        <v>33</v>
      </c>
      <c r="F76" s="314" t="s">
        <v>132</v>
      </c>
      <c r="G76" s="312">
        <v>3301</v>
      </c>
      <c r="H76" s="314" t="s">
        <v>133</v>
      </c>
      <c r="I76" s="312">
        <v>3301</v>
      </c>
      <c r="J76" s="315" t="s">
        <v>1250</v>
      </c>
      <c r="K76" s="321" t="s">
        <v>1155</v>
      </c>
      <c r="L76" s="312">
        <v>3301087</v>
      </c>
      <c r="M76" s="315" t="s">
        <v>301</v>
      </c>
      <c r="N76" s="312">
        <v>3301087</v>
      </c>
      <c r="O76" s="315" t="s">
        <v>301</v>
      </c>
      <c r="P76" s="312">
        <v>330108701</v>
      </c>
      <c r="Q76" s="315" t="s">
        <v>274</v>
      </c>
      <c r="R76" s="312">
        <v>330108701</v>
      </c>
      <c r="S76" s="316" t="s">
        <v>274</v>
      </c>
      <c r="T76" s="317" t="s">
        <v>1460</v>
      </c>
      <c r="U76" s="345">
        <v>5735</v>
      </c>
      <c r="V76" s="345">
        <v>309</v>
      </c>
      <c r="W76" s="318">
        <f t="shared" si="1"/>
        <v>6044</v>
      </c>
      <c r="X76" s="385">
        <v>6098</v>
      </c>
      <c r="Y76" s="320">
        <v>2020003630021</v>
      </c>
      <c r="Z76" s="321" t="s">
        <v>302</v>
      </c>
      <c r="AA76" s="321" t="s">
        <v>303</v>
      </c>
      <c r="AB76" s="334"/>
      <c r="AC76" s="334"/>
      <c r="AD76" s="334"/>
      <c r="AE76" s="322"/>
      <c r="AF76" s="322"/>
      <c r="AG76" s="322"/>
      <c r="AH76" s="322"/>
      <c r="AI76" s="322"/>
      <c r="AJ76" s="322"/>
      <c r="AK76" s="322"/>
      <c r="AL76" s="322"/>
      <c r="AM76" s="322"/>
      <c r="AN76" s="322"/>
      <c r="AO76" s="322"/>
      <c r="AP76" s="322"/>
      <c r="AQ76" s="322"/>
      <c r="AR76" s="322"/>
      <c r="AS76" s="322"/>
      <c r="AT76" s="370">
        <f>370000000+20000000+90000000+22000000</f>
        <v>502000000</v>
      </c>
      <c r="AU76" s="371">
        <v>486679002</v>
      </c>
      <c r="AV76" s="371">
        <v>486679002</v>
      </c>
      <c r="AW76" s="323"/>
      <c r="AX76" s="322"/>
      <c r="AY76" s="322"/>
      <c r="AZ76" s="324"/>
      <c r="BA76" s="322"/>
      <c r="BB76" s="322"/>
      <c r="BC76" s="323"/>
      <c r="BD76" s="322"/>
      <c r="BE76" s="322"/>
      <c r="BF76" s="462">
        <f t="shared" si="11"/>
        <v>502000000</v>
      </c>
      <c r="BG76" s="462">
        <f t="shared" si="12"/>
        <v>486679002</v>
      </c>
      <c r="BH76" s="462">
        <f t="shared" si="13"/>
        <v>486679002</v>
      </c>
      <c r="BI76" s="315" t="s">
        <v>1463</v>
      </c>
      <c r="BK76" s="327"/>
      <c r="BL76" s="328"/>
    </row>
    <row r="77" spans="1:64" s="326" customFormat="1" ht="117" customHeight="1" x14ac:dyDescent="0.2">
      <c r="A77" s="312">
        <v>310</v>
      </c>
      <c r="B77" s="314" t="s">
        <v>1199</v>
      </c>
      <c r="C77" s="312">
        <v>1</v>
      </c>
      <c r="D77" s="314" t="s">
        <v>1195</v>
      </c>
      <c r="E77" s="312">
        <v>33</v>
      </c>
      <c r="F77" s="314" t="s">
        <v>132</v>
      </c>
      <c r="G77" s="312">
        <v>3301</v>
      </c>
      <c r="H77" s="314" t="s">
        <v>133</v>
      </c>
      <c r="I77" s="312">
        <v>3301</v>
      </c>
      <c r="J77" s="315" t="s">
        <v>1250</v>
      </c>
      <c r="K77" s="321" t="s">
        <v>1156</v>
      </c>
      <c r="L77" s="312">
        <v>3301073</v>
      </c>
      <c r="M77" s="315" t="s">
        <v>304</v>
      </c>
      <c r="N77" s="312">
        <v>3301073</v>
      </c>
      <c r="O77" s="315" t="s">
        <v>304</v>
      </c>
      <c r="P77" s="312">
        <v>330107301</v>
      </c>
      <c r="Q77" s="316" t="s">
        <v>305</v>
      </c>
      <c r="R77" s="312">
        <v>330107301</v>
      </c>
      <c r="S77" s="316" t="s">
        <v>305</v>
      </c>
      <c r="T77" s="317" t="s">
        <v>1460</v>
      </c>
      <c r="U77" s="345">
        <v>550</v>
      </c>
      <c r="V77" s="345">
        <v>50</v>
      </c>
      <c r="W77" s="318">
        <f t="shared" si="1"/>
        <v>600</v>
      </c>
      <c r="X77" s="385">
        <v>711</v>
      </c>
      <c r="Y77" s="320">
        <v>2020003630021</v>
      </c>
      <c r="Z77" s="321" t="s">
        <v>302</v>
      </c>
      <c r="AA77" s="321" t="s">
        <v>303</v>
      </c>
      <c r="AB77" s="322">
        <f>871588097+174317619+790301+158060+83733679.79+227123624.21</f>
        <v>1357711381</v>
      </c>
      <c r="AC77" s="322">
        <v>1079459266.3799999</v>
      </c>
      <c r="AD77" s="322">
        <v>1079459266.3799999</v>
      </c>
      <c r="AE77" s="322"/>
      <c r="AF77" s="322"/>
      <c r="AG77" s="322"/>
      <c r="AH77" s="322"/>
      <c r="AI77" s="322"/>
      <c r="AJ77" s="322"/>
      <c r="AK77" s="322"/>
      <c r="AL77" s="322"/>
      <c r="AM77" s="322"/>
      <c r="AN77" s="322"/>
      <c r="AO77" s="322"/>
      <c r="AP77" s="322"/>
      <c r="AQ77" s="322"/>
      <c r="AR77" s="322"/>
      <c r="AS77" s="322"/>
      <c r="AT77" s="370">
        <f>150000000+50000000+8226708+182132000+100000000-8226708+8226708+91000000-8226708</f>
        <v>573132000</v>
      </c>
      <c r="AU77" s="342">
        <v>557318348</v>
      </c>
      <c r="AV77" s="342">
        <v>557318348</v>
      </c>
      <c r="AW77" s="323"/>
      <c r="AX77" s="322"/>
      <c r="AY77" s="322"/>
      <c r="AZ77" s="324"/>
      <c r="BA77" s="322"/>
      <c r="BB77" s="322"/>
      <c r="BC77" s="323"/>
      <c r="BD77" s="322"/>
      <c r="BE77" s="322"/>
      <c r="BF77" s="462">
        <f t="shared" si="11"/>
        <v>1930843381</v>
      </c>
      <c r="BG77" s="462">
        <f t="shared" si="12"/>
        <v>1636777614.3799999</v>
      </c>
      <c r="BH77" s="462">
        <f t="shared" si="13"/>
        <v>1636777614.3799999</v>
      </c>
      <c r="BI77" s="315" t="s">
        <v>1463</v>
      </c>
      <c r="BK77" s="327"/>
      <c r="BL77" s="328"/>
    </row>
    <row r="78" spans="1:64" s="326" customFormat="1" ht="117" customHeight="1" x14ac:dyDescent="0.2">
      <c r="A78" s="312">
        <v>310</v>
      </c>
      <c r="B78" s="314" t="s">
        <v>1199</v>
      </c>
      <c r="C78" s="312">
        <v>1</v>
      </c>
      <c r="D78" s="314" t="s">
        <v>1195</v>
      </c>
      <c r="E78" s="312">
        <v>33</v>
      </c>
      <c r="F78" s="314" t="s">
        <v>132</v>
      </c>
      <c r="G78" s="312">
        <v>3301</v>
      </c>
      <c r="H78" s="314" t="s">
        <v>133</v>
      </c>
      <c r="I78" s="312">
        <v>3301</v>
      </c>
      <c r="J78" s="315" t="s">
        <v>1250</v>
      </c>
      <c r="K78" s="384" t="s">
        <v>134</v>
      </c>
      <c r="L78" s="312" t="s">
        <v>31</v>
      </c>
      <c r="M78" s="315" t="s">
        <v>306</v>
      </c>
      <c r="N78" s="312">
        <v>3301070</v>
      </c>
      <c r="O78" s="315" t="s">
        <v>307</v>
      </c>
      <c r="P78" s="312" t="s">
        <v>31</v>
      </c>
      <c r="Q78" s="316" t="s">
        <v>308</v>
      </c>
      <c r="R78" s="312">
        <v>330107000</v>
      </c>
      <c r="S78" s="316" t="s">
        <v>70</v>
      </c>
      <c r="T78" s="317" t="s">
        <v>1460</v>
      </c>
      <c r="U78" s="362">
        <v>0.4</v>
      </c>
      <c r="V78" s="362"/>
      <c r="W78" s="363">
        <f t="shared" si="1"/>
        <v>0.4</v>
      </c>
      <c r="X78" s="385">
        <v>0.4</v>
      </c>
      <c r="Y78" s="320">
        <v>2020003630021</v>
      </c>
      <c r="Z78" s="321" t="s">
        <v>302</v>
      </c>
      <c r="AA78" s="321" t="s">
        <v>303</v>
      </c>
      <c r="AB78" s="390"/>
      <c r="AC78" s="390"/>
      <c r="AD78" s="390"/>
      <c r="AE78" s="322"/>
      <c r="AF78" s="322"/>
      <c r="AG78" s="322"/>
      <c r="AH78" s="322"/>
      <c r="AI78" s="322"/>
      <c r="AJ78" s="322"/>
      <c r="AK78" s="322"/>
      <c r="AL78" s="322"/>
      <c r="AM78" s="322"/>
      <c r="AN78" s="322"/>
      <c r="AO78" s="322"/>
      <c r="AP78" s="322"/>
      <c r="AQ78" s="322"/>
      <c r="AR78" s="322"/>
      <c r="AS78" s="322"/>
      <c r="AT78" s="370">
        <f>36000000+8226708-8226708</f>
        <v>36000000</v>
      </c>
      <c r="AU78" s="371">
        <v>36000000</v>
      </c>
      <c r="AV78" s="371">
        <v>36000000</v>
      </c>
      <c r="AW78" s="323"/>
      <c r="AX78" s="322"/>
      <c r="AY78" s="322"/>
      <c r="AZ78" s="324"/>
      <c r="BA78" s="322"/>
      <c r="BB78" s="322"/>
      <c r="BC78" s="323"/>
      <c r="BD78" s="322"/>
      <c r="BE78" s="322"/>
      <c r="BF78" s="462">
        <f t="shared" si="11"/>
        <v>36000000</v>
      </c>
      <c r="BG78" s="462">
        <f t="shared" si="12"/>
        <v>36000000</v>
      </c>
      <c r="BH78" s="462">
        <f t="shared" si="13"/>
        <v>36000000</v>
      </c>
      <c r="BI78" s="315" t="s">
        <v>1463</v>
      </c>
      <c r="BK78" s="327"/>
      <c r="BL78" s="328"/>
    </row>
    <row r="79" spans="1:64" s="326" customFormat="1" ht="117" customHeight="1" x14ac:dyDescent="0.2">
      <c r="A79" s="312">
        <v>310</v>
      </c>
      <c r="B79" s="314" t="s">
        <v>1199</v>
      </c>
      <c r="C79" s="312">
        <v>1</v>
      </c>
      <c r="D79" s="314" t="s">
        <v>1195</v>
      </c>
      <c r="E79" s="312">
        <v>33</v>
      </c>
      <c r="F79" s="314" t="s">
        <v>132</v>
      </c>
      <c r="G79" s="312">
        <v>3301</v>
      </c>
      <c r="H79" s="314" t="s">
        <v>133</v>
      </c>
      <c r="I79" s="312">
        <v>3301</v>
      </c>
      <c r="J79" s="315" t="s">
        <v>1250</v>
      </c>
      <c r="K79" s="321" t="s">
        <v>1156</v>
      </c>
      <c r="L79" s="312">
        <v>3301099</v>
      </c>
      <c r="M79" s="315" t="s">
        <v>1132</v>
      </c>
      <c r="N79" s="312">
        <v>3301099</v>
      </c>
      <c r="O79" s="315" t="s">
        <v>1132</v>
      </c>
      <c r="P79" s="391">
        <v>330109900</v>
      </c>
      <c r="Q79" s="316" t="s">
        <v>1133</v>
      </c>
      <c r="R79" s="312">
        <v>330109900</v>
      </c>
      <c r="S79" s="316" t="s">
        <v>1133</v>
      </c>
      <c r="T79" s="317" t="s">
        <v>1459</v>
      </c>
      <c r="U79" s="345">
        <v>1</v>
      </c>
      <c r="V79" s="345"/>
      <c r="W79" s="318">
        <f t="shared" si="1"/>
        <v>1</v>
      </c>
      <c r="X79" s="385">
        <v>1</v>
      </c>
      <c r="Y79" s="320">
        <v>2020003630021</v>
      </c>
      <c r="Z79" s="321" t="s">
        <v>302</v>
      </c>
      <c r="AA79" s="321" t="s">
        <v>303</v>
      </c>
      <c r="AB79" s="390"/>
      <c r="AC79" s="390"/>
      <c r="AD79" s="390"/>
      <c r="AE79" s="322"/>
      <c r="AF79" s="322"/>
      <c r="AG79" s="322"/>
      <c r="AH79" s="322"/>
      <c r="AI79" s="322"/>
      <c r="AJ79" s="322"/>
      <c r="AK79" s="322"/>
      <c r="AL79" s="322"/>
      <c r="AM79" s="322"/>
      <c r="AN79" s="322"/>
      <c r="AO79" s="322"/>
      <c r="AP79" s="322"/>
      <c r="AQ79" s="322"/>
      <c r="AR79" s="322"/>
      <c r="AS79" s="322"/>
      <c r="AT79" s="370">
        <v>30000000</v>
      </c>
      <c r="AU79" s="371">
        <v>29670000</v>
      </c>
      <c r="AV79" s="371">
        <v>29670000</v>
      </c>
      <c r="AW79" s="323"/>
      <c r="AX79" s="322"/>
      <c r="AY79" s="322"/>
      <c r="AZ79" s="324"/>
      <c r="BA79" s="322"/>
      <c r="BB79" s="322"/>
      <c r="BC79" s="323"/>
      <c r="BD79" s="322"/>
      <c r="BE79" s="322"/>
      <c r="BF79" s="462">
        <f t="shared" si="11"/>
        <v>30000000</v>
      </c>
      <c r="BG79" s="462">
        <f t="shared" si="12"/>
        <v>29670000</v>
      </c>
      <c r="BH79" s="462">
        <f t="shared" si="13"/>
        <v>29670000</v>
      </c>
      <c r="BI79" s="315" t="s">
        <v>1463</v>
      </c>
      <c r="BK79" s="327"/>
      <c r="BL79" s="328"/>
    </row>
    <row r="80" spans="1:64" s="326" customFormat="1" ht="117" customHeight="1" x14ac:dyDescent="0.2">
      <c r="A80" s="312">
        <v>310</v>
      </c>
      <c r="B80" s="314" t="s">
        <v>1199</v>
      </c>
      <c r="C80" s="312">
        <v>1</v>
      </c>
      <c r="D80" s="314" t="s">
        <v>1195</v>
      </c>
      <c r="E80" s="312">
        <v>33</v>
      </c>
      <c r="F80" s="314" t="s">
        <v>132</v>
      </c>
      <c r="G80" s="312">
        <v>3301</v>
      </c>
      <c r="H80" s="314" t="s">
        <v>133</v>
      </c>
      <c r="I80" s="312">
        <v>3301</v>
      </c>
      <c r="J80" s="315" t="s">
        <v>1250</v>
      </c>
      <c r="K80" s="321" t="s">
        <v>1155</v>
      </c>
      <c r="L80" s="312">
        <v>3301052</v>
      </c>
      <c r="M80" s="315" t="s">
        <v>309</v>
      </c>
      <c r="N80" s="312">
        <v>3301052</v>
      </c>
      <c r="O80" s="315" t="s">
        <v>309</v>
      </c>
      <c r="P80" s="391">
        <v>330105203</v>
      </c>
      <c r="Q80" s="316" t="s">
        <v>310</v>
      </c>
      <c r="R80" s="391">
        <v>330105203</v>
      </c>
      <c r="S80" s="316" t="s">
        <v>310</v>
      </c>
      <c r="T80" s="317" t="s">
        <v>1459</v>
      </c>
      <c r="U80" s="345">
        <v>135</v>
      </c>
      <c r="V80" s="345"/>
      <c r="W80" s="318">
        <f t="shared" ref="W80:W145" si="14">U80+V80</f>
        <v>135</v>
      </c>
      <c r="X80" s="385">
        <v>0</v>
      </c>
      <c r="Y80" s="320">
        <v>2020003630021</v>
      </c>
      <c r="Z80" s="321" t="s">
        <v>302</v>
      </c>
      <c r="AA80" s="321" t="s">
        <v>303</v>
      </c>
      <c r="AB80" s="390"/>
      <c r="AC80" s="390"/>
      <c r="AD80" s="390"/>
      <c r="AE80" s="322"/>
      <c r="AF80" s="322"/>
      <c r="AG80" s="322"/>
      <c r="AH80" s="322"/>
      <c r="AI80" s="322"/>
      <c r="AJ80" s="322"/>
      <c r="AK80" s="322"/>
      <c r="AL80" s="322"/>
      <c r="AM80" s="322"/>
      <c r="AN80" s="322"/>
      <c r="AO80" s="322"/>
      <c r="AP80" s="322"/>
      <c r="AQ80" s="322"/>
      <c r="AR80" s="322"/>
      <c r="AS80" s="322"/>
      <c r="AT80" s="370">
        <v>20000000</v>
      </c>
      <c r="AU80" s="371">
        <v>0</v>
      </c>
      <c r="AV80" s="371">
        <v>0</v>
      </c>
      <c r="AW80" s="323"/>
      <c r="AX80" s="322"/>
      <c r="AY80" s="322"/>
      <c r="AZ80" s="324"/>
      <c r="BA80" s="322"/>
      <c r="BB80" s="322"/>
      <c r="BC80" s="323"/>
      <c r="BD80" s="322"/>
      <c r="BE80" s="322"/>
      <c r="BF80" s="462">
        <f t="shared" si="11"/>
        <v>20000000</v>
      </c>
      <c r="BG80" s="462">
        <f t="shared" si="12"/>
        <v>0</v>
      </c>
      <c r="BH80" s="462">
        <f t="shared" si="13"/>
        <v>0</v>
      </c>
      <c r="BI80" s="315" t="s">
        <v>1463</v>
      </c>
      <c r="BK80" s="327"/>
      <c r="BL80" s="328"/>
    </row>
    <row r="81" spans="1:64" s="326" customFormat="1" ht="117" customHeight="1" x14ac:dyDescent="0.2">
      <c r="A81" s="312">
        <v>310</v>
      </c>
      <c r="B81" s="314" t="s">
        <v>1199</v>
      </c>
      <c r="C81" s="312">
        <v>1</v>
      </c>
      <c r="D81" s="314" t="s">
        <v>1195</v>
      </c>
      <c r="E81" s="312">
        <v>33</v>
      </c>
      <c r="F81" s="314" t="s">
        <v>1393</v>
      </c>
      <c r="G81" s="312">
        <v>3301</v>
      </c>
      <c r="H81" s="314" t="s">
        <v>133</v>
      </c>
      <c r="I81" s="312">
        <v>3301</v>
      </c>
      <c r="J81" s="315" t="s">
        <v>1250</v>
      </c>
      <c r="K81" s="321" t="s">
        <v>1157</v>
      </c>
      <c r="L81" s="312">
        <v>3301085</v>
      </c>
      <c r="M81" s="315" t="s">
        <v>311</v>
      </c>
      <c r="N81" s="312">
        <v>3301085</v>
      </c>
      <c r="O81" s="315" t="s">
        <v>311</v>
      </c>
      <c r="P81" s="312" t="s">
        <v>312</v>
      </c>
      <c r="Q81" s="316" t="s">
        <v>313</v>
      </c>
      <c r="R81" s="312">
        <v>330108500</v>
      </c>
      <c r="S81" s="316" t="s">
        <v>313</v>
      </c>
      <c r="T81" s="317" t="s">
        <v>1460</v>
      </c>
      <c r="U81" s="345">
        <v>115000</v>
      </c>
      <c r="V81" s="345">
        <v>362</v>
      </c>
      <c r="W81" s="318">
        <f t="shared" si="14"/>
        <v>115362</v>
      </c>
      <c r="X81" s="329">
        <v>121744</v>
      </c>
      <c r="Y81" s="320">
        <v>2020003630020</v>
      </c>
      <c r="Z81" s="321" t="s">
        <v>314</v>
      </c>
      <c r="AA81" s="321" t="s">
        <v>315</v>
      </c>
      <c r="AB81" s="371">
        <f>110000000+68238766.06+33000000</f>
        <v>211238766.06</v>
      </c>
      <c r="AC81" s="371">
        <v>176608006.69999999</v>
      </c>
      <c r="AD81" s="371">
        <v>167249680.03999999</v>
      </c>
      <c r="AE81" s="322"/>
      <c r="AF81" s="322"/>
      <c r="AG81" s="322"/>
      <c r="AH81" s="322"/>
      <c r="AI81" s="322"/>
      <c r="AJ81" s="322"/>
      <c r="AK81" s="322"/>
      <c r="AL81" s="322"/>
      <c r="AM81" s="322"/>
      <c r="AN81" s="322"/>
      <c r="AO81" s="322"/>
      <c r="AP81" s="322"/>
      <c r="AQ81" s="322"/>
      <c r="AR81" s="322"/>
      <c r="AS81" s="322"/>
      <c r="AT81" s="343">
        <f>20000000+80000000+160000000+33000000</f>
        <v>293000000</v>
      </c>
      <c r="AU81" s="342">
        <v>274327976.25999999</v>
      </c>
      <c r="AV81" s="342">
        <v>269698998.08000004</v>
      </c>
      <c r="AW81" s="323"/>
      <c r="AX81" s="322"/>
      <c r="AY81" s="322"/>
      <c r="AZ81" s="324"/>
      <c r="BA81" s="322"/>
      <c r="BB81" s="322"/>
      <c r="BC81" s="323"/>
      <c r="BD81" s="322"/>
      <c r="BE81" s="322"/>
      <c r="BF81" s="462">
        <f t="shared" si="11"/>
        <v>504238766.06</v>
      </c>
      <c r="BG81" s="462">
        <f t="shared" si="12"/>
        <v>450935982.95999998</v>
      </c>
      <c r="BH81" s="462">
        <f t="shared" si="13"/>
        <v>436948678.12</v>
      </c>
      <c r="BI81" s="315" t="s">
        <v>1463</v>
      </c>
      <c r="BK81" s="327"/>
      <c r="BL81" s="328"/>
    </row>
    <row r="82" spans="1:64" s="326" customFormat="1" ht="117" customHeight="1" x14ac:dyDescent="0.2">
      <c r="A82" s="312">
        <v>310</v>
      </c>
      <c r="B82" s="314" t="s">
        <v>1199</v>
      </c>
      <c r="C82" s="312">
        <v>1</v>
      </c>
      <c r="D82" s="314" t="s">
        <v>1195</v>
      </c>
      <c r="E82" s="312">
        <v>33</v>
      </c>
      <c r="F82" s="314" t="s">
        <v>132</v>
      </c>
      <c r="G82" s="312">
        <v>3301</v>
      </c>
      <c r="H82" s="314" t="s">
        <v>133</v>
      </c>
      <c r="I82" s="312">
        <v>3301</v>
      </c>
      <c r="J82" s="315" t="s">
        <v>1250</v>
      </c>
      <c r="K82" s="321" t="s">
        <v>1157</v>
      </c>
      <c r="L82" s="312">
        <v>3301100</v>
      </c>
      <c r="M82" s="315" t="s">
        <v>316</v>
      </c>
      <c r="N82" s="312">
        <v>3301100</v>
      </c>
      <c r="O82" s="315" t="s">
        <v>316</v>
      </c>
      <c r="P82" s="391" t="s">
        <v>317</v>
      </c>
      <c r="Q82" s="316" t="s">
        <v>318</v>
      </c>
      <c r="R82" s="391">
        <v>330110000</v>
      </c>
      <c r="S82" s="316" t="s">
        <v>318</v>
      </c>
      <c r="T82" s="317" t="s">
        <v>1460</v>
      </c>
      <c r="U82" s="345">
        <v>15</v>
      </c>
      <c r="V82" s="345"/>
      <c r="W82" s="318">
        <f t="shared" si="14"/>
        <v>15</v>
      </c>
      <c r="X82" s="385">
        <v>15</v>
      </c>
      <c r="Y82" s="320">
        <v>2020003630020</v>
      </c>
      <c r="Z82" s="315" t="s">
        <v>314</v>
      </c>
      <c r="AA82" s="321" t="s">
        <v>315</v>
      </c>
      <c r="AB82" s="371">
        <f>64475679+40000000+4974244.19</f>
        <v>109449923.19</v>
      </c>
      <c r="AC82" s="371">
        <v>104290500</v>
      </c>
      <c r="AD82" s="371">
        <v>104290500</v>
      </c>
      <c r="AE82" s="322"/>
      <c r="AF82" s="322"/>
      <c r="AG82" s="322"/>
      <c r="AH82" s="322"/>
      <c r="AI82" s="322"/>
      <c r="AJ82" s="322"/>
      <c r="AK82" s="322"/>
      <c r="AL82" s="322"/>
      <c r="AM82" s="322"/>
      <c r="AN82" s="322"/>
      <c r="AO82" s="322"/>
      <c r="AP82" s="322"/>
      <c r="AQ82" s="322"/>
      <c r="AR82" s="322"/>
      <c r="AS82" s="322"/>
      <c r="AT82" s="324">
        <f>18000000+5000000</f>
        <v>23000000</v>
      </c>
      <c r="AU82" s="322">
        <v>20571333</v>
      </c>
      <c r="AV82" s="322">
        <v>20571333</v>
      </c>
      <c r="AW82" s="323"/>
      <c r="AX82" s="322"/>
      <c r="AY82" s="322"/>
      <c r="AZ82" s="324"/>
      <c r="BA82" s="322"/>
      <c r="BB82" s="322"/>
      <c r="BC82" s="323"/>
      <c r="BD82" s="322"/>
      <c r="BE82" s="322"/>
      <c r="BF82" s="462">
        <f t="shared" si="11"/>
        <v>132449923.19</v>
      </c>
      <c r="BG82" s="462">
        <f t="shared" si="12"/>
        <v>124861833</v>
      </c>
      <c r="BH82" s="462">
        <f t="shared" si="13"/>
        <v>124861833</v>
      </c>
      <c r="BI82" s="315" t="s">
        <v>1463</v>
      </c>
      <c r="BK82" s="327"/>
      <c r="BL82" s="328"/>
    </row>
    <row r="83" spans="1:64" s="326" customFormat="1" ht="117" customHeight="1" x14ac:dyDescent="0.2">
      <c r="A83" s="312">
        <v>310</v>
      </c>
      <c r="B83" s="314" t="s">
        <v>1199</v>
      </c>
      <c r="C83" s="312">
        <v>1</v>
      </c>
      <c r="D83" s="314" t="s">
        <v>1195</v>
      </c>
      <c r="E83" s="312">
        <v>33</v>
      </c>
      <c r="F83" s="314" t="s">
        <v>132</v>
      </c>
      <c r="G83" s="312">
        <v>3301</v>
      </c>
      <c r="H83" s="314" t="s">
        <v>133</v>
      </c>
      <c r="I83" s="312">
        <v>3301</v>
      </c>
      <c r="J83" s="315" t="s">
        <v>1250</v>
      </c>
      <c r="K83" s="321" t="s">
        <v>1156</v>
      </c>
      <c r="L83" s="312">
        <v>3301095</v>
      </c>
      <c r="M83" s="315" t="s">
        <v>319</v>
      </c>
      <c r="N83" s="312">
        <v>3301095</v>
      </c>
      <c r="O83" s="315" t="s">
        <v>319</v>
      </c>
      <c r="P83" s="312" t="s">
        <v>320</v>
      </c>
      <c r="Q83" s="316" t="s">
        <v>321</v>
      </c>
      <c r="R83" s="312">
        <v>330109500</v>
      </c>
      <c r="S83" s="315" t="s">
        <v>321</v>
      </c>
      <c r="T83" s="317" t="s">
        <v>1460</v>
      </c>
      <c r="U83" s="345">
        <v>150</v>
      </c>
      <c r="V83" s="345"/>
      <c r="W83" s="318">
        <f t="shared" si="14"/>
        <v>150</v>
      </c>
      <c r="X83" s="385">
        <v>19</v>
      </c>
      <c r="Y83" s="320">
        <v>2020003630072</v>
      </c>
      <c r="Z83" s="321" t="s">
        <v>1346</v>
      </c>
      <c r="AA83" s="321" t="s">
        <v>323</v>
      </c>
      <c r="AB83" s="322">
        <f>174317619+158060+252294235.73+37871124.19</f>
        <v>464641038.92000002</v>
      </c>
      <c r="AC83" s="322">
        <v>398021516</v>
      </c>
      <c r="AD83" s="322">
        <v>398021516</v>
      </c>
      <c r="AE83" s="322"/>
      <c r="AF83" s="322"/>
      <c r="AG83" s="322"/>
      <c r="AH83" s="322"/>
      <c r="AI83" s="322"/>
      <c r="AJ83" s="322"/>
      <c r="AK83" s="322"/>
      <c r="AL83" s="322"/>
      <c r="AM83" s="322"/>
      <c r="AN83" s="322"/>
      <c r="AO83" s="322"/>
      <c r="AP83" s="322"/>
      <c r="AQ83" s="322"/>
      <c r="AR83" s="322"/>
      <c r="AS83" s="322"/>
      <c r="AT83" s="370">
        <v>20000000</v>
      </c>
      <c r="AU83" s="371">
        <v>19942500</v>
      </c>
      <c r="AV83" s="371">
        <v>19942500</v>
      </c>
      <c r="AW83" s="323"/>
      <c r="AX83" s="322"/>
      <c r="AY83" s="322"/>
      <c r="AZ83" s="324"/>
      <c r="BA83" s="322"/>
      <c r="BB83" s="322"/>
      <c r="BC83" s="323"/>
      <c r="BD83" s="322"/>
      <c r="BE83" s="322"/>
      <c r="BF83" s="462">
        <f t="shared" si="11"/>
        <v>484641038.92000002</v>
      </c>
      <c r="BG83" s="462">
        <f t="shared" si="12"/>
        <v>417964016</v>
      </c>
      <c r="BH83" s="462">
        <f t="shared" si="13"/>
        <v>417964016</v>
      </c>
      <c r="BI83" s="315" t="s">
        <v>1463</v>
      </c>
      <c r="BK83" s="327"/>
      <c r="BL83" s="328"/>
    </row>
    <row r="84" spans="1:64" s="326" customFormat="1" ht="117" customHeight="1" x14ac:dyDescent="0.2">
      <c r="A84" s="312">
        <v>310</v>
      </c>
      <c r="B84" s="314" t="s">
        <v>1199</v>
      </c>
      <c r="C84" s="312">
        <v>1</v>
      </c>
      <c r="D84" s="314" t="s">
        <v>1195</v>
      </c>
      <c r="E84" s="312">
        <v>33</v>
      </c>
      <c r="F84" s="314" t="s">
        <v>132</v>
      </c>
      <c r="G84" s="312">
        <v>3302</v>
      </c>
      <c r="H84" s="314" t="s">
        <v>324</v>
      </c>
      <c r="I84" s="312">
        <v>3302</v>
      </c>
      <c r="J84" s="315" t="s">
        <v>1251</v>
      </c>
      <c r="K84" s="321" t="s">
        <v>1158</v>
      </c>
      <c r="L84" s="372">
        <v>3302042</v>
      </c>
      <c r="M84" s="315" t="s">
        <v>325</v>
      </c>
      <c r="N84" s="372">
        <v>3302042</v>
      </c>
      <c r="O84" s="315" t="s">
        <v>325</v>
      </c>
      <c r="P84" s="312" t="s">
        <v>326</v>
      </c>
      <c r="Q84" s="316" t="s">
        <v>327</v>
      </c>
      <c r="R84" s="312">
        <v>330204200</v>
      </c>
      <c r="S84" s="316" t="s">
        <v>327</v>
      </c>
      <c r="T84" s="317" t="s">
        <v>1460</v>
      </c>
      <c r="U84" s="345">
        <v>12</v>
      </c>
      <c r="V84" s="345"/>
      <c r="W84" s="318">
        <f t="shared" si="14"/>
        <v>12</v>
      </c>
      <c r="X84" s="385">
        <v>12</v>
      </c>
      <c r="Y84" s="320">
        <v>2020003630073</v>
      </c>
      <c r="Z84" s="321" t="s">
        <v>1347</v>
      </c>
      <c r="AA84" s="321" t="s">
        <v>329</v>
      </c>
      <c r="AB84" s="322"/>
      <c r="AC84" s="322"/>
      <c r="AD84" s="322"/>
      <c r="AE84" s="322"/>
      <c r="AF84" s="322"/>
      <c r="AG84" s="322"/>
      <c r="AH84" s="322"/>
      <c r="AI84" s="322"/>
      <c r="AJ84" s="322"/>
      <c r="AK84" s="322"/>
      <c r="AL84" s="322"/>
      <c r="AM84" s="322"/>
      <c r="AN84" s="322"/>
      <c r="AO84" s="322"/>
      <c r="AP84" s="322"/>
      <c r="AQ84" s="322"/>
      <c r="AR84" s="322"/>
      <c r="AS84" s="322"/>
      <c r="AT84" s="343">
        <f>66500000+10000000+6000000</f>
        <v>82500000</v>
      </c>
      <c r="AU84" s="342">
        <v>81148167</v>
      </c>
      <c r="AV84" s="342">
        <v>81148167</v>
      </c>
      <c r="AW84" s="335"/>
      <c r="AX84" s="334"/>
      <c r="AY84" s="334"/>
      <c r="AZ84" s="336"/>
      <c r="BA84" s="334"/>
      <c r="BB84" s="334"/>
      <c r="BC84" s="386"/>
      <c r="BD84" s="365"/>
      <c r="BE84" s="365"/>
      <c r="BF84" s="462">
        <f t="shared" si="11"/>
        <v>82500000</v>
      </c>
      <c r="BG84" s="462">
        <f t="shared" si="12"/>
        <v>81148167</v>
      </c>
      <c r="BH84" s="462">
        <f t="shared" si="13"/>
        <v>81148167</v>
      </c>
      <c r="BI84" s="315" t="s">
        <v>1463</v>
      </c>
      <c r="BK84" s="327"/>
      <c r="BL84" s="328"/>
    </row>
    <row r="85" spans="1:64" s="326" customFormat="1" ht="117" customHeight="1" x14ac:dyDescent="0.2">
      <c r="A85" s="312">
        <v>310</v>
      </c>
      <c r="B85" s="314" t="s">
        <v>1199</v>
      </c>
      <c r="C85" s="312">
        <v>1</v>
      </c>
      <c r="D85" s="314" t="s">
        <v>1195</v>
      </c>
      <c r="E85" s="312">
        <v>33</v>
      </c>
      <c r="F85" s="314" t="s">
        <v>132</v>
      </c>
      <c r="G85" s="312">
        <v>3302</v>
      </c>
      <c r="H85" s="314" t="s">
        <v>324</v>
      </c>
      <c r="I85" s="312">
        <v>3302</v>
      </c>
      <c r="J85" s="315" t="s">
        <v>1251</v>
      </c>
      <c r="K85" s="321" t="s">
        <v>1158</v>
      </c>
      <c r="L85" s="372">
        <v>3302070</v>
      </c>
      <c r="M85" s="315" t="s">
        <v>330</v>
      </c>
      <c r="N85" s="372">
        <v>3302070</v>
      </c>
      <c r="O85" s="315" t="s">
        <v>330</v>
      </c>
      <c r="P85" s="391" t="s">
        <v>331</v>
      </c>
      <c r="Q85" s="316" t="s">
        <v>318</v>
      </c>
      <c r="R85" s="391">
        <v>330207000</v>
      </c>
      <c r="S85" s="316" t="s">
        <v>318</v>
      </c>
      <c r="T85" s="317" t="s">
        <v>1459</v>
      </c>
      <c r="U85" s="345">
        <v>4</v>
      </c>
      <c r="V85" s="345"/>
      <c r="W85" s="318">
        <f t="shared" si="14"/>
        <v>4</v>
      </c>
      <c r="X85" s="385">
        <v>4</v>
      </c>
      <c r="Y85" s="320">
        <v>2020003630073</v>
      </c>
      <c r="Z85" s="321" t="s">
        <v>1347</v>
      </c>
      <c r="AA85" s="321" t="s">
        <v>329</v>
      </c>
      <c r="AB85" s="334"/>
      <c r="AC85" s="334"/>
      <c r="AD85" s="334"/>
      <c r="AE85" s="322"/>
      <c r="AF85" s="322"/>
      <c r="AG85" s="322"/>
      <c r="AH85" s="322"/>
      <c r="AI85" s="322"/>
      <c r="AJ85" s="322"/>
      <c r="AK85" s="322"/>
      <c r="AL85" s="322"/>
      <c r="AM85" s="322"/>
      <c r="AN85" s="322"/>
      <c r="AO85" s="322"/>
      <c r="AP85" s="322"/>
      <c r="AQ85" s="322"/>
      <c r="AR85" s="322"/>
      <c r="AS85" s="322"/>
      <c r="AT85" s="343">
        <f>66500000+28000000</f>
        <v>94500000</v>
      </c>
      <c r="AU85" s="342">
        <v>91860000</v>
      </c>
      <c r="AV85" s="342">
        <v>91860000</v>
      </c>
      <c r="AW85" s="342">
        <f>141163803+34433.3-37304381</f>
        <v>103893855.30000001</v>
      </c>
      <c r="AX85" s="365">
        <v>95209422</v>
      </c>
      <c r="AY85" s="365">
        <v>95209422</v>
      </c>
      <c r="AZ85" s="392"/>
      <c r="BA85" s="365"/>
      <c r="BB85" s="365"/>
      <c r="BC85" s="386"/>
      <c r="BD85" s="365"/>
      <c r="BE85" s="365"/>
      <c r="BF85" s="462">
        <f t="shared" si="11"/>
        <v>198393855.30000001</v>
      </c>
      <c r="BG85" s="462">
        <f t="shared" si="12"/>
        <v>187069422</v>
      </c>
      <c r="BH85" s="462">
        <f t="shared" si="13"/>
        <v>187069422</v>
      </c>
      <c r="BI85" s="315" t="s">
        <v>1463</v>
      </c>
      <c r="BK85" s="327"/>
      <c r="BL85" s="328"/>
    </row>
    <row r="86" spans="1:64" s="326" customFormat="1" ht="117" customHeight="1" x14ac:dyDescent="0.2">
      <c r="A86" s="312">
        <v>311</v>
      </c>
      <c r="B86" s="314" t="s">
        <v>1201</v>
      </c>
      <c r="C86" s="388">
        <v>2</v>
      </c>
      <c r="D86" s="314" t="s">
        <v>1196</v>
      </c>
      <c r="E86" s="312">
        <v>35</v>
      </c>
      <c r="F86" s="314" t="s">
        <v>334</v>
      </c>
      <c r="G86" s="312">
        <v>3502</v>
      </c>
      <c r="H86" s="314" t="s">
        <v>1362</v>
      </c>
      <c r="I86" s="312">
        <v>3502</v>
      </c>
      <c r="J86" s="315" t="s">
        <v>1252</v>
      </c>
      <c r="K86" s="321" t="s">
        <v>336</v>
      </c>
      <c r="L86" s="312">
        <v>3502006</v>
      </c>
      <c r="M86" s="315" t="s">
        <v>337</v>
      </c>
      <c r="N86" s="388">
        <v>3502006</v>
      </c>
      <c r="O86" s="315" t="s">
        <v>337</v>
      </c>
      <c r="P86" s="312" t="s">
        <v>338</v>
      </c>
      <c r="Q86" s="316" t="s">
        <v>339</v>
      </c>
      <c r="R86" s="312">
        <v>350200600</v>
      </c>
      <c r="S86" s="316" t="s">
        <v>339</v>
      </c>
      <c r="T86" s="317" t="s">
        <v>1460</v>
      </c>
      <c r="U86" s="345">
        <v>1</v>
      </c>
      <c r="V86" s="345"/>
      <c r="W86" s="318">
        <f t="shared" si="14"/>
        <v>1</v>
      </c>
      <c r="X86" s="385">
        <v>1</v>
      </c>
      <c r="Y86" s="320">
        <v>2020003630074</v>
      </c>
      <c r="Z86" s="321" t="s">
        <v>340</v>
      </c>
      <c r="AA86" s="321" t="s">
        <v>341</v>
      </c>
      <c r="AB86" s="322"/>
      <c r="AC86" s="322"/>
      <c r="AD86" s="322"/>
      <c r="AE86" s="322"/>
      <c r="AF86" s="322"/>
      <c r="AG86" s="322"/>
      <c r="AH86" s="322"/>
      <c r="AI86" s="322"/>
      <c r="AJ86" s="322"/>
      <c r="AK86" s="322"/>
      <c r="AL86" s="322"/>
      <c r="AM86" s="322"/>
      <c r="AN86" s="322"/>
      <c r="AO86" s="322"/>
      <c r="AP86" s="322"/>
      <c r="AQ86" s="322"/>
      <c r="AR86" s="322"/>
      <c r="AS86" s="322"/>
      <c r="AT86" s="343">
        <f>50000000+15970000+38117500</f>
        <v>104087500</v>
      </c>
      <c r="AU86" s="342">
        <v>103026666</v>
      </c>
      <c r="AV86" s="342">
        <v>103026666</v>
      </c>
      <c r="AW86" s="323"/>
      <c r="AX86" s="322"/>
      <c r="AY86" s="322"/>
      <c r="AZ86" s="324"/>
      <c r="BA86" s="322"/>
      <c r="BB86" s="322"/>
      <c r="BC86" s="323"/>
      <c r="BD86" s="322"/>
      <c r="BE86" s="322"/>
      <c r="BF86" s="462">
        <f t="shared" si="11"/>
        <v>104087500</v>
      </c>
      <c r="BG86" s="462">
        <f t="shared" si="12"/>
        <v>103026666</v>
      </c>
      <c r="BH86" s="462">
        <f t="shared" si="13"/>
        <v>103026666</v>
      </c>
      <c r="BI86" s="393" t="s">
        <v>1468</v>
      </c>
      <c r="BK86" s="327"/>
      <c r="BL86" s="328"/>
    </row>
    <row r="87" spans="1:64" s="326" customFormat="1" ht="117" customHeight="1" x14ac:dyDescent="0.2">
      <c r="A87" s="312">
        <v>311</v>
      </c>
      <c r="B87" s="314" t="s">
        <v>1201</v>
      </c>
      <c r="C87" s="388">
        <v>2</v>
      </c>
      <c r="D87" s="314" t="s">
        <v>1196</v>
      </c>
      <c r="E87" s="312">
        <v>35</v>
      </c>
      <c r="F87" s="314" t="s">
        <v>334</v>
      </c>
      <c r="G87" s="312">
        <v>3502</v>
      </c>
      <c r="H87" s="314" t="s">
        <v>1362</v>
      </c>
      <c r="I87" s="312">
        <v>3502</v>
      </c>
      <c r="J87" s="315" t="s">
        <v>1252</v>
      </c>
      <c r="K87" s="321" t="s">
        <v>336</v>
      </c>
      <c r="L87" s="312">
        <v>3502007</v>
      </c>
      <c r="M87" s="315" t="s">
        <v>342</v>
      </c>
      <c r="N87" s="388">
        <v>3502007</v>
      </c>
      <c r="O87" s="315" t="s">
        <v>342</v>
      </c>
      <c r="P87" s="312" t="s">
        <v>343</v>
      </c>
      <c r="Q87" s="316" t="s">
        <v>344</v>
      </c>
      <c r="R87" s="312">
        <v>350200700</v>
      </c>
      <c r="S87" s="316" t="s">
        <v>344</v>
      </c>
      <c r="T87" s="317" t="s">
        <v>1459</v>
      </c>
      <c r="U87" s="345">
        <v>7</v>
      </c>
      <c r="V87" s="345"/>
      <c r="W87" s="318">
        <f t="shared" si="14"/>
        <v>7</v>
      </c>
      <c r="X87" s="385">
        <v>7</v>
      </c>
      <c r="Y87" s="320">
        <v>2020003630074</v>
      </c>
      <c r="Z87" s="321" t="s">
        <v>340</v>
      </c>
      <c r="AA87" s="321" t="s">
        <v>341</v>
      </c>
      <c r="AB87" s="322"/>
      <c r="AC87" s="322"/>
      <c r="AD87" s="322"/>
      <c r="AE87" s="322"/>
      <c r="AF87" s="322"/>
      <c r="AG87" s="322"/>
      <c r="AH87" s="322"/>
      <c r="AI87" s="322"/>
      <c r="AJ87" s="322"/>
      <c r="AK87" s="322"/>
      <c r="AL87" s="322"/>
      <c r="AM87" s="322"/>
      <c r="AN87" s="322"/>
      <c r="AO87" s="322"/>
      <c r="AP87" s="322"/>
      <c r="AQ87" s="322"/>
      <c r="AR87" s="322"/>
      <c r="AS87" s="322"/>
      <c r="AT87" s="343">
        <f>27000000+23000000+3092500</f>
        <v>53092500</v>
      </c>
      <c r="AU87" s="342">
        <v>53092500</v>
      </c>
      <c r="AV87" s="342">
        <v>53092500</v>
      </c>
      <c r="AW87" s="323"/>
      <c r="AX87" s="322"/>
      <c r="AY87" s="322"/>
      <c r="AZ87" s="324"/>
      <c r="BA87" s="322"/>
      <c r="BB87" s="322"/>
      <c r="BC87" s="323"/>
      <c r="BD87" s="322"/>
      <c r="BE87" s="322"/>
      <c r="BF87" s="462">
        <f t="shared" ref="BF87:BF103" si="15">AB87+AE87+AH87+AK87+AN87+AQ87+AT87+AW87+BC87</f>
        <v>53092500</v>
      </c>
      <c r="BG87" s="462">
        <f t="shared" ref="BG87:BG103" si="16">AC87+AF87+AI87+AL87+AO87+AR87+AU87+AX87+BD87</f>
        <v>53092500</v>
      </c>
      <c r="BH87" s="462">
        <f t="shared" ref="BH87:BH103" si="17">AD87+AG87+AJ87+AM87+AP87+AS87+AV87+AY87+BE87</f>
        <v>53092500</v>
      </c>
      <c r="BI87" s="393" t="s">
        <v>1468</v>
      </c>
      <c r="BK87" s="327"/>
      <c r="BL87" s="328"/>
    </row>
    <row r="88" spans="1:64" s="326" customFormat="1" ht="117" customHeight="1" x14ac:dyDescent="0.2">
      <c r="A88" s="312">
        <v>311</v>
      </c>
      <c r="B88" s="314" t="s">
        <v>1201</v>
      </c>
      <c r="C88" s="388">
        <v>2</v>
      </c>
      <c r="D88" s="314" t="s">
        <v>1196</v>
      </c>
      <c r="E88" s="312">
        <v>35</v>
      </c>
      <c r="F88" s="314" t="s">
        <v>334</v>
      </c>
      <c r="G88" s="312">
        <v>3502</v>
      </c>
      <c r="H88" s="314" t="s">
        <v>1362</v>
      </c>
      <c r="I88" s="312">
        <v>3502</v>
      </c>
      <c r="J88" s="315" t="s">
        <v>1252</v>
      </c>
      <c r="K88" s="321" t="s">
        <v>336</v>
      </c>
      <c r="L88" s="319">
        <v>3502022</v>
      </c>
      <c r="M88" s="315" t="s">
        <v>1134</v>
      </c>
      <c r="N88" s="319">
        <v>3502022</v>
      </c>
      <c r="O88" s="315" t="s">
        <v>1134</v>
      </c>
      <c r="P88" s="361" t="s">
        <v>345</v>
      </c>
      <c r="Q88" s="316" t="s">
        <v>346</v>
      </c>
      <c r="R88" s="312">
        <v>350202200</v>
      </c>
      <c r="S88" s="316" t="s">
        <v>346</v>
      </c>
      <c r="T88" s="317" t="s">
        <v>1459</v>
      </c>
      <c r="U88" s="345">
        <v>14</v>
      </c>
      <c r="V88" s="345"/>
      <c r="W88" s="318">
        <f t="shared" si="14"/>
        <v>14</v>
      </c>
      <c r="X88" s="385">
        <v>14</v>
      </c>
      <c r="Y88" s="320">
        <v>2020003630075</v>
      </c>
      <c r="Z88" s="321" t="s">
        <v>1384</v>
      </c>
      <c r="AA88" s="321" t="s">
        <v>348</v>
      </c>
      <c r="AB88" s="322"/>
      <c r="AC88" s="322"/>
      <c r="AD88" s="322"/>
      <c r="AE88" s="322"/>
      <c r="AF88" s="322"/>
      <c r="AG88" s="322"/>
      <c r="AH88" s="322"/>
      <c r="AI88" s="322"/>
      <c r="AJ88" s="322"/>
      <c r="AK88" s="322"/>
      <c r="AL88" s="322"/>
      <c r="AM88" s="322"/>
      <c r="AN88" s="322"/>
      <c r="AO88" s="322"/>
      <c r="AP88" s="322"/>
      <c r="AQ88" s="322"/>
      <c r="AR88" s="322"/>
      <c r="AS88" s="322"/>
      <c r="AT88" s="342">
        <f>90000000+160000000-90000000+6236000+125000000+55683168+15000000</f>
        <v>361919168</v>
      </c>
      <c r="AU88" s="342">
        <v>346311832</v>
      </c>
      <c r="AV88" s="342">
        <v>346311832</v>
      </c>
      <c r="AW88" s="323"/>
      <c r="AX88" s="322"/>
      <c r="AY88" s="322"/>
      <c r="AZ88" s="324"/>
      <c r="BA88" s="322"/>
      <c r="BB88" s="322"/>
      <c r="BC88" s="323"/>
      <c r="BD88" s="322"/>
      <c r="BE88" s="322"/>
      <c r="BF88" s="462">
        <f t="shared" si="15"/>
        <v>361919168</v>
      </c>
      <c r="BG88" s="462">
        <f t="shared" si="16"/>
        <v>346311832</v>
      </c>
      <c r="BH88" s="462">
        <f t="shared" si="17"/>
        <v>346311832</v>
      </c>
      <c r="BI88" s="393" t="s">
        <v>1468</v>
      </c>
      <c r="BK88" s="327"/>
      <c r="BL88" s="328"/>
    </row>
    <row r="89" spans="1:64" s="326" customFormat="1" ht="117" customHeight="1" x14ac:dyDescent="0.2">
      <c r="A89" s="312">
        <v>311</v>
      </c>
      <c r="B89" s="314" t="s">
        <v>1201</v>
      </c>
      <c r="C89" s="388">
        <v>2</v>
      </c>
      <c r="D89" s="314" t="s">
        <v>1196</v>
      </c>
      <c r="E89" s="312">
        <v>35</v>
      </c>
      <c r="F89" s="314" t="s">
        <v>334</v>
      </c>
      <c r="G89" s="312">
        <v>3502</v>
      </c>
      <c r="H89" s="314" t="s">
        <v>1362</v>
      </c>
      <c r="I89" s="312">
        <v>3502</v>
      </c>
      <c r="J89" s="315" t="s">
        <v>1252</v>
      </c>
      <c r="K89" s="321" t="s">
        <v>349</v>
      </c>
      <c r="L89" s="319">
        <v>3502039</v>
      </c>
      <c r="M89" s="315" t="s">
        <v>350</v>
      </c>
      <c r="N89" s="319">
        <v>3502039</v>
      </c>
      <c r="O89" s="315" t="s">
        <v>350</v>
      </c>
      <c r="P89" s="312" t="s">
        <v>351</v>
      </c>
      <c r="Q89" s="316" t="s">
        <v>86</v>
      </c>
      <c r="R89" s="312">
        <v>350203900</v>
      </c>
      <c r="S89" s="316" t="s">
        <v>86</v>
      </c>
      <c r="T89" s="317" t="s">
        <v>1459</v>
      </c>
      <c r="U89" s="345">
        <v>12</v>
      </c>
      <c r="V89" s="345"/>
      <c r="W89" s="318">
        <f t="shared" si="14"/>
        <v>12</v>
      </c>
      <c r="X89" s="385">
        <v>12</v>
      </c>
      <c r="Y89" s="320">
        <v>2020003630076</v>
      </c>
      <c r="Z89" s="321" t="s">
        <v>1285</v>
      </c>
      <c r="AA89" s="321" t="s">
        <v>352</v>
      </c>
      <c r="AB89" s="322"/>
      <c r="AC89" s="322"/>
      <c r="AD89" s="322"/>
      <c r="AE89" s="322"/>
      <c r="AF89" s="322"/>
      <c r="AG89" s="322"/>
      <c r="AH89" s="322"/>
      <c r="AI89" s="322"/>
      <c r="AJ89" s="322"/>
      <c r="AK89" s="322"/>
      <c r="AL89" s="322"/>
      <c r="AM89" s="322"/>
      <c r="AN89" s="322"/>
      <c r="AO89" s="322"/>
      <c r="AP89" s="322"/>
      <c r="AQ89" s="322"/>
      <c r="AR89" s="322"/>
      <c r="AS89" s="322"/>
      <c r="AT89" s="343">
        <f>80000000+65000000+133700000+150000000+15610833+42957390-6500000-58500000</f>
        <v>422268223</v>
      </c>
      <c r="AU89" s="342">
        <v>265808999</v>
      </c>
      <c r="AV89" s="342">
        <v>265808999</v>
      </c>
      <c r="AW89" s="323"/>
      <c r="AX89" s="322"/>
      <c r="AY89" s="322"/>
      <c r="AZ89" s="324"/>
      <c r="BA89" s="322"/>
      <c r="BB89" s="322"/>
      <c r="BC89" s="323"/>
      <c r="BD89" s="322"/>
      <c r="BE89" s="322"/>
      <c r="BF89" s="462">
        <f t="shared" si="15"/>
        <v>422268223</v>
      </c>
      <c r="BG89" s="462">
        <f t="shared" si="16"/>
        <v>265808999</v>
      </c>
      <c r="BH89" s="462">
        <f t="shared" si="17"/>
        <v>265808999</v>
      </c>
      <c r="BI89" s="393" t="s">
        <v>1468</v>
      </c>
      <c r="BK89" s="327"/>
      <c r="BL89" s="328"/>
    </row>
    <row r="90" spans="1:64" s="328" customFormat="1" ht="117" customHeight="1" x14ac:dyDescent="0.25">
      <c r="A90" s="312">
        <v>311</v>
      </c>
      <c r="B90" s="314" t="s">
        <v>1201</v>
      </c>
      <c r="C90" s="388">
        <v>2</v>
      </c>
      <c r="D90" s="314" t="s">
        <v>1196</v>
      </c>
      <c r="E90" s="312">
        <v>35</v>
      </c>
      <c r="F90" s="314" t="s">
        <v>334</v>
      </c>
      <c r="G90" s="312">
        <v>3502</v>
      </c>
      <c r="H90" s="314" t="s">
        <v>1362</v>
      </c>
      <c r="I90" s="312">
        <v>3502</v>
      </c>
      <c r="J90" s="315" t="s">
        <v>1252</v>
      </c>
      <c r="K90" s="321" t="s">
        <v>349</v>
      </c>
      <c r="L90" s="319">
        <v>3502039</v>
      </c>
      <c r="M90" s="315" t="s">
        <v>350</v>
      </c>
      <c r="N90" s="319">
        <v>3502039</v>
      </c>
      <c r="O90" s="315" t="s">
        <v>350</v>
      </c>
      <c r="P90" s="361">
        <v>350203910</v>
      </c>
      <c r="Q90" s="316" t="s">
        <v>353</v>
      </c>
      <c r="R90" s="361">
        <v>350203910</v>
      </c>
      <c r="S90" s="316" t="s">
        <v>353</v>
      </c>
      <c r="T90" s="317" t="s">
        <v>1460</v>
      </c>
      <c r="U90" s="345">
        <v>2</v>
      </c>
      <c r="V90" s="345"/>
      <c r="W90" s="318">
        <f t="shared" si="14"/>
        <v>2</v>
      </c>
      <c r="X90" s="385">
        <v>1</v>
      </c>
      <c r="Y90" s="320">
        <v>2020003630076</v>
      </c>
      <c r="Z90" s="321" t="s">
        <v>1285</v>
      </c>
      <c r="AA90" s="321" t="s">
        <v>352</v>
      </c>
      <c r="AB90" s="322"/>
      <c r="AC90" s="322"/>
      <c r="AD90" s="322"/>
      <c r="AE90" s="322"/>
      <c r="AF90" s="322"/>
      <c r="AG90" s="322"/>
      <c r="AH90" s="322"/>
      <c r="AI90" s="322"/>
      <c r="AJ90" s="322"/>
      <c r="AK90" s="322"/>
      <c r="AL90" s="322"/>
      <c r="AM90" s="322"/>
      <c r="AN90" s="322"/>
      <c r="AO90" s="322"/>
      <c r="AP90" s="322"/>
      <c r="AQ90" s="322"/>
      <c r="AR90" s="322"/>
      <c r="AS90" s="322"/>
      <c r="AT90" s="343">
        <f>100000000+18000000-65000000+80000000</f>
        <v>133000000</v>
      </c>
      <c r="AU90" s="342">
        <v>19000000</v>
      </c>
      <c r="AV90" s="342">
        <v>19000000</v>
      </c>
      <c r="AW90" s="323"/>
      <c r="AX90" s="322"/>
      <c r="AY90" s="322"/>
      <c r="AZ90" s="324"/>
      <c r="BA90" s="322"/>
      <c r="BB90" s="322"/>
      <c r="BC90" s="323"/>
      <c r="BD90" s="322"/>
      <c r="BE90" s="322"/>
      <c r="BF90" s="462">
        <f t="shared" si="15"/>
        <v>133000000</v>
      </c>
      <c r="BG90" s="462">
        <f t="shared" si="16"/>
        <v>19000000</v>
      </c>
      <c r="BH90" s="462">
        <f t="shared" si="17"/>
        <v>19000000</v>
      </c>
      <c r="BI90" s="393" t="s">
        <v>1468</v>
      </c>
      <c r="BK90" s="327"/>
    </row>
    <row r="91" spans="1:64" s="326" customFormat="1" ht="117" customHeight="1" x14ac:dyDescent="0.2">
      <c r="A91" s="312">
        <v>311</v>
      </c>
      <c r="B91" s="314" t="s">
        <v>1201</v>
      </c>
      <c r="C91" s="388">
        <v>2</v>
      </c>
      <c r="D91" s="314" t="s">
        <v>1196</v>
      </c>
      <c r="E91" s="312">
        <v>35</v>
      </c>
      <c r="F91" s="314" t="s">
        <v>334</v>
      </c>
      <c r="G91" s="312">
        <v>3502</v>
      </c>
      <c r="H91" s="314" t="s">
        <v>1362</v>
      </c>
      <c r="I91" s="312">
        <v>3502</v>
      </c>
      <c r="J91" s="315" t="s">
        <v>1252</v>
      </c>
      <c r="K91" s="321" t="s">
        <v>349</v>
      </c>
      <c r="L91" s="319">
        <v>3502046</v>
      </c>
      <c r="M91" s="315" t="s">
        <v>354</v>
      </c>
      <c r="N91" s="319">
        <v>3502046</v>
      </c>
      <c r="O91" s="315" t="s">
        <v>354</v>
      </c>
      <c r="P91" s="312" t="s">
        <v>355</v>
      </c>
      <c r="Q91" s="316" t="s">
        <v>356</v>
      </c>
      <c r="R91" s="312">
        <v>350204600</v>
      </c>
      <c r="S91" s="316" t="s">
        <v>356</v>
      </c>
      <c r="T91" s="317" t="s">
        <v>1460</v>
      </c>
      <c r="U91" s="345">
        <v>1</v>
      </c>
      <c r="V91" s="345"/>
      <c r="W91" s="318">
        <f t="shared" si="14"/>
        <v>1</v>
      </c>
      <c r="X91" s="385">
        <v>1</v>
      </c>
      <c r="Y91" s="320">
        <v>2020003630077</v>
      </c>
      <c r="Z91" s="321" t="s">
        <v>1383</v>
      </c>
      <c r="AA91" s="321" t="s">
        <v>357</v>
      </c>
      <c r="AB91" s="322"/>
      <c r="AC91" s="322"/>
      <c r="AD91" s="322"/>
      <c r="AE91" s="322"/>
      <c r="AF91" s="322"/>
      <c r="AG91" s="322"/>
      <c r="AH91" s="322"/>
      <c r="AI91" s="322"/>
      <c r="AJ91" s="322"/>
      <c r="AK91" s="322"/>
      <c r="AL91" s="322"/>
      <c r="AM91" s="322"/>
      <c r="AN91" s="322"/>
      <c r="AO91" s="322"/>
      <c r="AP91" s="322"/>
      <c r="AQ91" s="322"/>
      <c r="AR91" s="322"/>
      <c r="AS91" s="322"/>
      <c r="AT91" s="343">
        <f>66790000+600000000-600000000+37495999-57957390+65000000</f>
        <v>111328609</v>
      </c>
      <c r="AU91" s="331">
        <v>111288609</v>
      </c>
      <c r="AV91" s="331">
        <v>24457500</v>
      </c>
      <c r="AW91" s="386">
        <f>705363027+349900000+344442708.11</f>
        <v>1399705735.1100001</v>
      </c>
      <c r="AX91" s="365">
        <v>1377561782.99</v>
      </c>
      <c r="AY91" s="365">
        <v>1216296539.9499998</v>
      </c>
      <c r="AZ91" s="392"/>
      <c r="BA91" s="365"/>
      <c r="BB91" s="365"/>
      <c r="BC91" s="394"/>
      <c r="BD91" s="331"/>
      <c r="BE91" s="331"/>
      <c r="BF91" s="462">
        <f t="shared" si="15"/>
        <v>1511034344.1100001</v>
      </c>
      <c r="BG91" s="462">
        <f t="shared" si="16"/>
        <v>1488850391.99</v>
      </c>
      <c r="BH91" s="462">
        <f t="shared" si="17"/>
        <v>1240754039.9499998</v>
      </c>
      <c r="BI91" s="393" t="s">
        <v>1468</v>
      </c>
      <c r="BK91" s="327"/>
      <c r="BL91" s="328"/>
    </row>
    <row r="92" spans="1:64" s="326" customFormat="1" ht="117" customHeight="1" x14ac:dyDescent="0.2">
      <c r="A92" s="312">
        <v>311</v>
      </c>
      <c r="B92" s="314" t="s">
        <v>1201</v>
      </c>
      <c r="C92" s="388">
        <v>2</v>
      </c>
      <c r="D92" s="314" t="s">
        <v>1196</v>
      </c>
      <c r="E92" s="312">
        <v>36</v>
      </c>
      <c r="F92" s="314" t="s">
        <v>358</v>
      </c>
      <c r="G92" s="312">
        <v>3602</v>
      </c>
      <c r="H92" s="314" t="s">
        <v>359</v>
      </c>
      <c r="I92" s="312">
        <v>3602</v>
      </c>
      <c r="J92" s="315" t="s">
        <v>1253</v>
      </c>
      <c r="K92" s="321" t="s">
        <v>336</v>
      </c>
      <c r="L92" s="312">
        <v>3602018</v>
      </c>
      <c r="M92" s="315" t="s">
        <v>360</v>
      </c>
      <c r="N92" s="312">
        <v>3602018</v>
      </c>
      <c r="O92" s="315" t="s">
        <v>360</v>
      </c>
      <c r="P92" s="361" t="s">
        <v>361</v>
      </c>
      <c r="Q92" s="316" t="s">
        <v>362</v>
      </c>
      <c r="R92" s="361">
        <v>360201800</v>
      </c>
      <c r="S92" s="316" t="s">
        <v>362</v>
      </c>
      <c r="T92" s="317" t="s">
        <v>1460</v>
      </c>
      <c r="U92" s="345">
        <v>4</v>
      </c>
      <c r="V92" s="345">
        <v>3</v>
      </c>
      <c r="W92" s="318">
        <f t="shared" si="14"/>
        <v>7</v>
      </c>
      <c r="X92" s="385">
        <v>4</v>
      </c>
      <c r="Y92" s="320">
        <v>2020003630078</v>
      </c>
      <c r="Z92" s="321" t="s">
        <v>363</v>
      </c>
      <c r="AA92" s="321" t="s">
        <v>364</v>
      </c>
      <c r="AB92" s="322"/>
      <c r="AC92" s="322"/>
      <c r="AD92" s="322"/>
      <c r="AE92" s="322"/>
      <c r="AF92" s="322"/>
      <c r="AG92" s="322"/>
      <c r="AH92" s="322"/>
      <c r="AI92" s="322"/>
      <c r="AJ92" s="322"/>
      <c r="AK92" s="322"/>
      <c r="AL92" s="322"/>
      <c r="AM92" s="322"/>
      <c r="AN92" s="322"/>
      <c r="AO92" s="322"/>
      <c r="AP92" s="322"/>
      <c r="AQ92" s="322"/>
      <c r="AR92" s="322"/>
      <c r="AS92" s="322"/>
      <c r="AT92" s="343">
        <f>120000000-20000000+250000000</f>
        <v>350000000</v>
      </c>
      <c r="AU92" s="342">
        <v>49527062</v>
      </c>
      <c r="AV92" s="342">
        <v>0</v>
      </c>
      <c r="AW92" s="323"/>
      <c r="AX92" s="322"/>
      <c r="AY92" s="322"/>
      <c r="AZ92" s="324"/>
      <c r="BA92" s="322"/>
      <c r="BB92" s="322"/>
      <c r="BC92" s="323"/>
      <c r="BD92" s="322"/>
      <c r="BE92" s="322"/>
      <c r="BF92" s="462">
        <f t="shared" si="15"/>
        <v>350000000</v>
      </c>
      <c r="BG92" s="462">
        <f t="shared" si="16"/>
        <v>49527062</v>
      </c>
      <c r="BH92" s="462">
        <f t="shared" si="17"/>
        <v>0</v>
      </c>
      <c r="BI92" s="393" t="s">
        <v>1468</v>
      </c>
      <c r="BK92" s="327"/>
      <c r="BL92" s="328"/>
    </row>
    <row r="93" spans="1:64" s="326" customFormat="1" ht="117" customHeight="1" x14ac:dyDescent="0.2">
      <c r="A93" s="312">
        <v>311</v>
      </c>
      <c r="B93" s="314" t="s">
        <v>1201</v>
      </c>
      <c r="C93" s="388">
        <v>2</v>
      </c>
      <c r="D93" s="314" t="s">
        <v>1196</v>
      </c>
      <c r="E93" s="312">
        <v>36</v>
      </c>
      <c r="F93" s="314" t="s">
        <v>358</v>
      </c>
      <c r="G93" s="312">
        <v>3602</v>
      </c>
      <c r="H93" s="314" t="s">
        <v>359</v>
      </c>
      <c r="I93" s="312">
        <v>3602</v>
      </c>
      <c r="J93" s="315" t="s">
        <v>1253</v>
      </c>
      <c r="K93" s="321" t="s">
        <v>336</v>
      </c>
      <c r="L93" s="312">
        <v>3602032</v>
      </c>
      <c r="M93" s="315" t="s">
        <v>365</v>
      </c>
      <c r="N93" s="388">
        <v>3602032</v>
      </c>
      <c r="O93" s="315" t="s">
        <v>365</v>
      </c>
      <c r="P93" s="361" t="s">
        <v>366</v>
      </c>
      <c r="Q93" s="316" t="s">
        <v>367</v>
      </c>
      <c r="R93" s="361">
        <v>360203201</v>
      </c>
      <c r="S93" s="316" t="s">
        <v>367</v>
      </c>
      <c r="T93" s="317" t="s">
        <v>1459</v>
      </c>
      <c r="U93" s="345">
        <v>14</v>
      </c>
      <c r="V93" s="345"/>
      <c r="W93" s="318">
        <f t="shared" si="14"/>
        <v>14</v>
      </c>
      <c r="X93" s="385">
        <v>14</v>
      </c>
      <c r="Y93" s="320">
        <v>2020003630078</v>
      </c>
      <c r="Z93" s="321" t="s">
        <v>363</v>
      </c>
      <c r="AA93" s="384" t="s">
        <v>364</v>
      </c>
      <c r="AB93" s="322"/>
      <c r="AC93" s="322"/>
      <c r="AD93" s="322"/>
      <c r="AE93" s="322"/>
      <c r="AF93" s="322"/>
      <c r="AG93" s="322"/>
      <c r="AH93" s="322"/>
      <c r="AI93" s="322"/>
      <c r="AJ93" s="322"/>
      <c r="AK93" s="322"/>
      <c r="AL93" s="322"/>
      <c r="AM93" s="322"/>
      <c r="AN93" s="322"/>
      <c r="AO93" s="322"/>
      <c r="AP93" s="322"/>
      <c r="AQ93" s="322"/>
      <c r="AR93" s="322"/>
      <c r="AS93" s="322"/>
      <c r="AT93" s="343">
        <f>60000000+15000000+5770000</f>
        <v>80770000</v>
      </c>
      <c r="AU93" s="342">
        <v>80325000</v>
      </c>
      <c r="AV93" s="342">
        <v>80325000</v>
      </c>
      <c r="AW93" s="323"/>
      <c r="AX93" s="322"/>
      <c r="AY93" s="322"/>
      <c r="AZ93" s="324"/>
      <c r="BA93" s="322"/>
      <c r="BB93" s="322"/>
      <c r="BC93" s="323"/>
      <c r="BD93" s="322"/>
      <c r="BE93" s="322"/>
      <c r="BF93" s="462">
        <f t="shared" si="15"/>
        <v>80770000</v>
      </c>
      <c r="BG93" s="462">
        <f t="shared" si="16"/>
        <v>80325000</v>
      </c>
      <c r="BH93" s="462">
        <f t="shared" si="17"/>
        <v>80325000</v>
      </c>
      <c r="BI93" s="393" t="s">
        <v>1468</v>
      </c>
      <c r="BK93" s="327"/>
      <c r="BL93" s="328"/>
    </row>
    <row r="94" spans="1:64" s="326" customFormat="1" ht="117" customHeight="1" x14ac:dyDescent="0.2">
      <c r="A94" s="312">
        <v>311</v>
      </c>
      <c r="B94" s="314" t="s">
        <v>1201</v>
      </c>
      <c r="C94" s="388">
        <v>2</v>
      </c>
      <c r="D94" s="314" t="s">
        <v>1196</v>
      </c>
      <c r="E94" s="312">
        <v>36</v>
      </c>
      <c r="F94" s="314" t="s">
        <v>358</v>
      </c>
      <c r="G94" s="312">
        <v>3602</v>
      </c>
      <c r="H94" s="314" t="s">
        <v>359</v>
      </c>
      <c r="I94" s="312">
        <v>3602</v>
      </c>
      <c r="J94" s="315" t="s">
        <v>1253</v>
      </c>
      <c r="K94" s="321" t="s">
        <v>336</v>
      </c>
      <c r="L94" s="312">
        <v>3602029</v>
      </c>
      <c r="M94" s="315" t="s">
        <v>368</v>
      </c>
      <c r="N94" s="388">
        <v>3602029</v>
      </c>
      <c r="O94" s="315" t="s">
        <v>368</v>
      </c>
      <c r="P94" s="361" t="s">
        <v>369</v>
      </c>
      <c r="Q94" s="316" t="s">
        <v>370</v>
      </c>
      <c r="R94" s="361">
        <v>360202904</v>
      </c>
      <c r="S94" s="316" t="s">
        <v>370</v>
      </c>
      <c r="T94" s="317" t="s">
        <v>1460</v>
      </c>
      <c r="U94" s="345">
        <v>12</v>
      </c>
      <c r="V94" s="345"/>
      <c r="W94" s="318">
        <f t="shared" si="14"/>
        <v>12</v>
      </c>
      <c r="X94" s="385">
        <v>12</v>
      </c>
      <c r="Y94" s="320">
        <v>2020003630078</v>
      </c>
      <c r="Z94" s="333" t="s">
        <v>363</v>
      </c>
      <c r="AA94" s="384" t="s">
        <v>364</v>
      </c>
      <c r="AB94" s="322"/>
      <c r="AC94" s="322"/>
      <c r="AD94" s="322"/>
      <c r="AE94" s="322"/>
      <c r="AF94" s="322"/>
      <c r="AG94" s="322"/>
      <c r="AH94" s="322"/>
      <c r="AI94" s="322"/>
      <c r="AJ94" s="322"/>
      <c r="AK94" s="322"/>
      <c r="AL94" s="322"/>
      <c r="AM94" s="322"/>
      <c r="AN94" s="322"/>
      <c r="AO94" s="322"/>
      <c r="AP94" s="322"/>
      <c r="AQ94" s="322"/>
      <c r="AR94" s="322"/>
      <c r="AS94" s="322"/>
      <c r="AT94" s="343">
        <f>22500000+47000000</f>
        <v>69500000</v>
      </c>
      <c r="AU94" s="342">
        <v>69398000</v>
      </c>
      <c r="AV94" s="342">
        <v>64398000</v>
      </c>
      <c r="AW94" s="323"/>
      <c r="AX94" s="322"/>
      <c r="AY94" s="322"/>
      <c r="AZ94" s="324"/>
      <c r="BA94" s="322"/>
      <c r="BB94" s="322"/>
      <c r="BC94" s="323"/>
      <c r="BD94" s="322"/>
      <c r="BE94" s="322"/>
      <c r="BF94" s="462">
        <f t="shared" si="15"/>
        <v>69500000</v>
      </c>
      <c r="BG94" s="462">
        <f t="shared" si="16"/>
        <v>69398000</v>
      </c>
      <c r="BH94" s="462">
        <f t="shared" si="17"/>
        <v>64398000</v>
      </c>
      <c r="BI94" s="393" t="s">
        <v>1468</v>
      </c>
      <c r="BK94" s="327"/>
      <c r="BL94" s="328"/>
    </row>
    <row r="95" spans="1:64" s="326" customFormat="1" ht="117" customHeight="1" x14ac:dyDescent="0.2">
      <c r="A95" s="312">
        <v>311</v>
      </c>
      <c r="B95" s="314" t="s">
        <v>1201</v>
      </c>
      <c r="C95" s="388">
        <v>2</v>
      </c>
      <c r="D95" s="314" t="s">
        <v>1196</v>
      </c>
      <c r="E95" s="312">
        <v>36</v>
      </c>
      <c r="F95" s="314" t="s">
        <v>358</v>
      </c>
      <c r="G95" s="312">
        <v>3602</v>
      </c>
      <c r="H95" s="314" t="s">
        <v>359</v>
      </c>
      <c r="I95" s="312">
        <v>3602</v>
      </c>
      <c r="J95" s="315" t="s">
        <v>1253</v>
      </c>
      <c r="K95" s="321" t="s">
        <v>336</v>
      </c>
      <c r="L95" s="312">
        <v>3602030</v>
      </c>
      <c r="M95" s="315" t="s">
        <v>371</v>
      </c>
      <c r="N95" s="388">
        <v>3602030</v>
      </c>
      <c r="O95" s="315" t="s">
        <v>371</v>
      </c>
      <c r="P95" s="361" t="s">
        <v>372</v>
      </c>
      <c r="Q95" s="316" t="s">
        <v>373</v>
      </c>
      <c r="R95" s="361">
        <v>360203000</v>
      </c>
      <c r="S95" s="316" t="s">
        <v>373</v>
      </c>
      <c r="T95" s="317" t="s">
        <v>1460</v>
      </c>
      <c r="U95" s="345">
        <v>4</v>
      </c>
      <c r="V95" s="345"/>
      <c r="W95" s="318">
        <f t="shared" si="14"/>
        <v>4</v>
      </c>
      <c r="X95" s="385">
        <v>4</v>
      </c>
      <c r="Y95" s="320">
        <v>2020003630078</v>
      </c>
      <c r="Z95" s="333" t="s">
        <v>363</v>
      </c>
      <c r="AA95" s="384" t="s">
        <v>364</v>
      </c>
      <c r="AB95" s="322"/>
      <c r="AC95" s="322"/>
      <c r="AD95" s="322"/>
      <c r="AE95" s="322"/>
      <c r="AF95" s="322"/>
      <c r="AG95" s="322"/>
      <c r="AH95" s="322"/>
      <c r="AI95" s="322"/>
      <c r="AJ95" s="322"/>
      <c r="AK95" s="322"/>
      <c r="AL95" s="322"/>
      <c r="AM95" s="322"/>
      <c r="AN95" s="322"/>
      <c r="AO95" s="322"/>
      <c r="AP95" s="322"/>
      <c r="AQ95" s="322"/>
      <c r="AR95" s="322"/>
      <c r="AS95" s="322"/>
      <c r="AT95" s="343">
        <f>35000000+25000000+6600000</f>
        <v>66600000</v>
      </c>
      <c r="AU95" s="342">
        <v>66558796</v>
      </c>
      <c r="AV95" s="342">
        <v>66558796</v>
      </c>
      <c r="AW95" s="323"/>
      <c r="AX95" s="322"/>
      <c r="AY95" s="322"/>
      <c r="AZ95" s="324"/>
      <c r="BA95" s="322"/>
      <c r="BB95" s="322"/>
      <c r="BC95" s="323"/>
      <c r="BD95" s="322"/>
      <c r="BE95" s="322"/>
      <c r="BF95" s="462">
        <f t="shared" si="15"/>
        <v>66600000</v>
      </c>
      <c r="BG95" s="462">
        <f t="shared" si="16"/>
        <v>66558796</v>
      </c>
      <c r="BH95" s="462">
        <f t="shared" si="17"/>
        <v>66558796</v>
      </c>
      <c r="BI95" s="393" t="s">
        <v>1468</v>
      </c>
      <c r="BK95" s="327"/>
      <c r="BL95" s="328"/>
    </row>
    <row r="96" spans="1:64" s="326" customFormat="1" ht="117" customHeight="1" x14ac:dyDescent="0.2">
      <c r="A96" s="312">
        <v>311</v>
      </c>
      <c r="B96" s="314" t="s">
        <v>1201</v>
      </c>
      <c r="C96" s="388">
        <v>2</v>
      </c>
      <c r="D96" s="315" t="s">
        <v>1196</v>
      </c>
      <c r="E96" s="388">
        <v>35</v>
      </c>
      <c r="F96" s="315" t="s">
        <v>334</v>
      </c>
      <c r="G96" s="388">
        <v>3502</v>
      </c>
      <c r="H96" s="315" t="s">
        <v>1362</v>
      </c>
      <c r="I96" s="388">
        <v>3502</v>
      </c>
      <c r="J96" s="315" t="s">
        <v>1252</v>
      </c>
      <c r="K96" s="388" t="s">
        <v>336</v>
      </c>
      <c r="L96" s="315">
        <v>3502046</v>
      </c>
      <c r="M96" s="395" t="s">
        <v>354</v>
      </c>
      <c r="N96" s="315">
        <v>3502046</v>
      </c>
      <c r="O96" s="315" t="s">
        <v>354</v>
      </c>
      <c r="P96" s="312" t="s">
        <v>355</v>
      </c>
      <c r="Q96" s="316" t="s">
        <v>356</v>
      </c>
      <c r="R96" s="312">
        <v>350204600</v>
      </c>
      <c r="S96" s="316" t="s">
        <v>356</v>
      </c>
      <c r="T96" s="317" t="s">
        <v>1460</v>
      </c>
      <c r="U96" s="345">
        <v>1</v>
      </c>
      <c r="V96" s="345"/>
      <c r="W96" s="318">
        <f t="shared" si="14"/>
        <v>1</v>
      </c>
      <c r="X96" s="385">
        <v>1</v>
      </c>
      <c r="Y96" s="320">
        <v>2022003630013</v>
      </c>
      <c r="Z96" s="333" t="s">
        <v>1495</v>
      </c>
      <c r="AA96" s="384" t="s">
        <v>1496</v>
      </c>
      <c r="AB96" s="322"/>
      <c r="AC96" s="322"/>
      <c r="AD96" s="322"/>
      <c r="AE96" s="322"/>
      <c r="AF96" s="322"/>
      <c r="AG96" s="322"/>
      <c r="AH96" s="322"/>
      <c r="AI96" s="322"/>
      <c r="AJ96" s="322"/>
      <c r="AK96" s="322"/>
      <c r="AL96" s="322"/>
      <c r="AM96" s="322"/>
      <c r="AN96" s="322"/>
      <c r="AO96" s="322"/>
      <c r="AP96" s="322"/>
      <c r="AQ96" s="322"/>
      <c r="AR96" s="322"/>
      <c r="AS96" s="322"/>
      <c r="AT96" s="343">
        <f>144105000+70000000</f>
        <v>214105000</v>
      </c>
      <c r="AU96" s="342">
        <v>70000000</v>
      </c>
      <c r="AV96" s="342">
        <v>70000000</v>
      </c>
      <c r="AW96" s="323"/>
      <c r="AX96" s="322"/>
      <c r="AY96" s="322"/>
      <c r="AZ96" s="324"/>
      <c r="BA96" s="322"/>
      <c r="BB96" s="322"/>
      <c r="BC96" s="323"/>
      <c r="BD96" s="322"/>
      <c r="BE96" s="322"/>
      <c r="BF96" s="462">
        <f t="shared" si="15"/>
        <v>214105000</v>
      </c>
      <c r="BG96" s="462">
        <f t="shared" si="16"/>
        <v>70000000</v>
      </c>
      <c r="BH96" s="462">
        <f t="shared" si="17"/>
        <v>70000000</v>
      </c>
      <c r="BI96" s="393" t="s">
        <v>1468</v>
      </c>
      <c r="BK96" s="327"/>
      <c r="BL96" s="328"/>
    </row>
    <row r="97" spans="1:64" s="326" customFormat="1" ht="117" customHeight="1" x14ac:dyDescent="0.2">
      <c r="A97" s="312">
        <v>312</v>
      </c>
      <c r="B97" s="314" t="s">
        <v>1202</v>
      </c>
      <c r="C97" s="312">
        <v>2</v>
      </c>
      <c r="D97" s="314" t="s">
        <v>1196</v>
      </c>
      <c r="E97" s="312">
        <v>17</v>
      </c>
      <c r="F97" s="314" t="s">
        <v>375</v>
      </c>
      <c r="G97" s="312">
        <v>1702</v>
      </c>
      <c r="H97" s="314" t="s">
        <v>376</v>
      </c>
      <c r="I97" s="312">
        <v>1702</v>
      </c>
      <c r="J97" s="315" t="s">
        <v>1232</v>
      </c>
      <c r="K97" s="321" t="s">
        <v>377</v>
      </c>
      <c r="L97" s="319">
        <v>1702011</v>
      </c>
      <c r="M97" s="315" t="s">
        <v>378</v>
      </c>
      <c r="N97" s="319">
        <v>1702011</v>
      </c>
      <c r="O97" s="315" t="s">
        <v>378</v>
      </c>
      <c r="P97" s="312" t="s">
        <v>379</v>
      </c>
      <c r="Q97" s="315" t="s">
        <v>380</v>
      </c>
      <c r="R97" s="312">
        <v>170201100</v>
      </c>
      <c r="S97" s="316" t="s">
        <v>380</v>
      </c>
      <c r="T97" s="317" t="s">
        <v>1459</v>
      </c>
      <c r="U97" s="345">
        <v>30</v>
      </c>
      <c r="V97" s="345"/>
      <c r="W97" s="318">
        <f t="shared" si="14"/>
        <v>30</v>
      </c>
      <c r="X97" s="385">
        <v>30</v>
      </c>
      <c r="Y97" s="320">
        <v>2020003630079</v>
      </c>
      <c r="Z97" s="315" t="s">
        <v>381</v>
      </c>
      <c r="AA97" s="321" t="s">
        <v>382</v>
      </c>
      <c r="AB97" s="322"/>
      <c r="AC97" s="322"/>
      <c r="AD97" s="322"/>
      <c r="AE97" s="322"/>
      <c r="AF97" s="322"/>
      <c r="AG97" s="322"/>
      <c r="AH97" s="322"/>
      <c r="AI97" s="322"/>
      <c r="AJ97" s="322"/>
      <c r="AK97" s="322"/>
      <c r="AL97" s="322"/>
      <c r="AM97" s="322"/>
      <c r="AN97" s="322"/>
      <c r="AO97" s="322"/>
      <c r="AP97" s="322"/>
      <c r="AQ97" s="322"/>
      <c r="AR97" s="322"/>
      <c r="AS97" s="322"/>
      <c r="AT97" s="370">
        <f>226000000+61340887.37+64662500+15460000</f>
        <v>367463387.37</v>
      </c>
      <c r="AU97" s="371">
        <v>350506217.37</v>
      </c>
      <c r="AV97" s="371">
        <v>350506217.37</v>
      </c>
      <c r="AW97" s="394"/>
      <c r="AX97" s="331"/>
      <c r="AY97" s="331"/>
      <c r="AZ97" s="330"/>
      <c r="BA97" s="331"/>
      <c r="BB97" s="331"/>
      <c r="BC97" s="394"/>
      <c r="BD97" s="331"/>
      <c r="BE97" s="331"/>
      <c r="BF97" s="462">
        <f t="shared" si="15"/>
        <v>367463387.37</v>
      </c>
      <c r="BG97" s="462">
        <f t="shared" si="16"/>
        <v>350506217.37</v>
      </c>
      <c r="BH97" s="462">
        <f t="shared" si="17"/>
        <v>350506217.37</v>
      </c>
      <c r="BI97" s="396" t="s">
        <v>1469</v>
      </c>
      <c r="BK97" s="327"/>
      <c r="BL97" s="328"/>
    </row>
    <row r="98" spans="1:64" s="326" customFormat="1" ht="117" customHeight="1" x14ac:dyDescent="0.2">
      <c r="A98" s="312">
        <v>312</v>
      </c>
      <c r="B98" s="314" t="s">
        <v>1202</v>
      </c>
      <c r="C98" s="312">
        <v>2</v>
      </c>
      <c r="D98" s="314" t="s">
        <v>1196</v>
      </c>
      <c r="E98" s="312">
        <v>17</v>
      </c>
      <c r="F98" s="314" t="s">
        <v>375</v>
      </c>
      <c r="G98" s="312">
        <v>1702</v>
      </c>
      <c r="H98" s="314" t="s">
        <v>376</v>
      </c>
      <c r="I98" s="312">
        <v>1702</v>
      </c>
      <c r="J98" s="315" t="s">
        <v>1232</v>
      </c>
      <c r="K98" s="321" t="s">
        <v>377</v>
      </c>
      <c r="L98" s="319">
        <v>1702007</v>
      </c>
      <c r="M98" s="315" t="s">
        <v>383</v>
      </c>
      <c r="N98" s="319">
        <v>1702007</v>
      </c>
      <c r="O98" s="315" t="s">
        <v>383</v>
      </c>
      <c r="P98" s="361" t="s">
        <v>384</v>
      </c>
      <c r="Q98" s="316" t="s">
        <v>385</v>
      </c>
      <c r="R98" s="361">
        <v>170200700</v>
      </c>
      <c r="S98" s="316" t="s">
        <v>385</v>
      </c>
      <c r="T98" s="317" t="s">
        <v>1460</v>
      </c>
      <c r="U98" s="345">
        <v>4</v>
      </c>
      <c r="V98" s="345">
        <v>4</v>
      </c>
      <c r="W98" s="318">
        <f t="shared" si="14"/>
        <v>8</v>
      </c>
      <c r="X98" s="385">
        <v>8</v>
      </c>
      <c r="Y98" s="320">
        <v>2020003630079</v>
      </c>
      <c r="Z98" s="315" t="s">
        <v>381</v>
      </c>
      <c r="AA98" s="321" t="s">
        <v>382</v>
      </c>
      <c r="AB98" s="322"/>
      <c r="AC98" s="322"/>
      <c r="AD98" s="322"/>
      <c r="AE98" s="322"/>
      <c r="AF98" s="322"/>
      <c r="AG98" s="322"/>
      <c r="AH98" s="322"/>
      <c r="AI98" s="322"/>
      <c r="AJ98" s="322"/>
      <c r="AK98" s="322"/>
      <c r="AL98" s="322"/>
      <c r="AM98" s="322"/>
      <c r="AN98" s="322"/>
      <c r="AO98" s="322"/>
      <c r="AP98" s="322"/>
      <c r="AQ98" s="322"/>
      <c r="AR98" s="322"/>
      <c r="AS98" s="322"/>
      <c r="AT98" s="371">
        <f>123000000+163000000+77000000</f>
        <v>363000000</v>
      </c>
      <c r="AU98" s="371">
        <v>363000000</v>
      </c>
      <c r="AV98" s="371">
        <v>363000000</v>
      </c>
      <c r="AW98" s="394"/>
      <c r="AX98" s="331"/>
      <c r="AY98" s="331"/>
      <c r="AZ98" s="330"/>
      <c r="BA98" s="331"/>
      <c r="BB98" s="331"/>
      <c r="BC98" s="394"/>
      <c r="BD98" s="331"/>
      <c r="BE98" s="331"/>
      <c r="BF98" s="462">
        <f t="shared" si="15"/>
        <v>363000000</v>
      </c>
      <c r="BG98" s="462">
        <f t="shared" si="16"/>
        <v>363000000</v>
      </c>
      <c r="BH98" s="462">
        <f t="shared" si="17"/>
        <v>363000000</v>
      </c>
      <c r="BI98" s="396" t="s">
        <v>1469</v>
      </c>
      <c r="BK98" s="327"/>
      <c r="BL98" s="328"/>
    </row>
    <row r="99" spans="1:64" s="326" customFormat="1" ht="117" customHeight="1" x14ac:dyDescent="0.2">
      <c r="A99" s="312">
        <v>312</v>
      </c>
      <c r="B99" s="314" t="s">
        <v>1202</v>
      </c>
      <c r="C99" s="312">
        <v>2</v>
      </c>
      <c r="D99" s="314" t="s">
        <v>1196</v>
      </c>
      <c r="E99" s="312">
        <v>17</v>
      </c>
      <c r="F99" s="314" t="s">
        <v>375</v>
      </c>
      <c r="G99" s="312">
        <v>1702</v>
      </c>
      <c r="H99" s="314" t="s">
        <v>376</v>
      </c>
      <c r="I99" s="312">
        <v>1702</v>
      </c>
      <c r="J99" s="315" t="s">
        <v>1232</v>
      </c>
      <c r="K99" s="321" t="s">
        <v>377</v>
      </c>
      <c r="L99" s="319">
        <v>1702009</v>
      </c>
      <c r="M99" s="315" t="s">
        <v>386</v>
      </c>
      <c r="N99" s="319">
        <v>1702009</v>
      </c>
      <c r="O99" s="315" t="s">
        <v>386</v>
      </c>
      <c r="P99" s="361" t="s">
        <v>387</v>
      </c>
      <c r="Q99" s="316" t="s">
        <v>388</v>
      </c>
      <c r="R99" s="361">
        <v>170200900</v>
      </c>
      <c r="S99" s="316" t="s">
        <v>388</v>
      </c>
      <c r="T99" s="317" t="s">
        <v>1460</v>
      </c>
      <c r="U99" s="345">
        <v>166</v>
      </c>
      <c r="V99" s="345"/>
      <c r="W99" s="318">
        <f t="shared" si="14"/>
        <v>166</v>
      </c>
      <c r="X99" s="385">
        <v>195</v>
      </c>
      <c r="Y99" s="320">
        <v>2020003630079</v>
      </c>
      <c r="Z99" s="315" t="s">
        <v>381</v>
      </c>
      <c r="AA99" s="321" t="s">
        <v>382</v>
      </c>
      <c r="AB99" s="322"/>
      <c r="AC99" s="322"/>
      <c r="AD99" s="322"/>
      <c r="AE99" s="322"/>
      <c r="AF99" s="322"/>
      <c r="AG99" s="322"/>
      <c r="AH99" s="322"/>
      <c r="AI99" s="322"/>
      <c r="AJ99" s="322"/>
      <c r="AK99" s="322"/>
      <c r="AL99" s="322"/>
      <c r="AM99" s="322"/>
      <c r="AN99" s="322"/>
      <c r="AO99" s="322"/>
      <c r="AP99" s="322"/>
      <c r="AQ99" s="322"/>
      <c r="AR99" s="322"/>
      <c r="AS99" s="322"/>
      <c r="AT99" s="371">
        <f>90000000-77000000</f>
        <v>13000000</v>
      </c>
      <c r="AU99" s="371">
        <v>13000000</v>
      </c>
      <c r="AV99" s="371">
        <v>13000000</v>
      </c>
      <c r="AW99" s="394"/>
      <c r="AX99" s="331"/>
      <c r="AY99" s="331"/>
      <c r="AZ99" s="330"/>
      <c r="BA99" s="331"/>
      <c r="BB99" s="331"/>
      <c r="BC99" s="394"/>
      <c r="BD99" s="331"/>
      <c r="BE99" s="331"/>
      <c r="BF99" s="462">
        <f t="shared" si="15"/>
        <v>13000000</v>
      </c>
      <c r="BG99" s="462">
        <f t="shared" si="16"/>
        <v>13000000</v>
      </c>
      <c r="BH99" s="462">
        <f t="shared" si="17"/>
        <v>13000000</v>
      </c>
      <c r="BI99" s="396" t="s">
        <v>1469</v>
      </c>
      <c r="BK99" s="327"/>
      <c r="BL99" s="328"/>
    </row>
    <row r="100" spans="1:64" s="326" customFormat="1" ht="117" customHeight="1" x14ac:dyDescent="0.2">
      <c r="A100" s="312">
        <v>312</v>
      </c>
      <c r="B100" s="314" t="s">
        <v>1202</v>
      </c>
      <c r="C100" s="312">
        <v>2</v>
      </c>
      <c r="D100" s="314" t="s">
        <v>1196</v>
      </c>
      <c r="E100" s="312">
        <v>17</v>
      </c>
      <c r="F100" s="314" t="s">
        <v>375</v>
      </c>
      <c r="G100" s="312">
        <v>1702</v>
      </c>
      <c r="H100" s="314" t="s">
        <v>376</v>
      </c>
      <c r="I100" s="312">
        <v>1702</v>
      </c>
      <c r="J100" s="315" t="s">
        <v>1232</v>
      </c>
      <c r="K100" s="321" t="s">
        <v>377</v>
      </c>
      <c r="L100" s="319">
        <v>1702017</v>
      </c>
      <c r="M100" s="315" t="s">
        <v>389</v>
      </c>
      <c r="N100" s="397">
        <v>1702017</v>
      </c>
      <c r="O100" s="315" t="s">
        <v>389</v>
      </c>
      <c r="P100" s="361" t="s">
        <v>390</v>
      </c>
      <c r="Q100" s="316" t="s">
        <v>391</v>
      </c>
      <c r="R100" s="361">
        <v>170201700</v>
      </c>
      <c r="S100" s="316" t="s">
        <v>391</v>
      </c>
      <c r="T100" s="317" t="s">
        <v>1460</v>
      </c>
      <c r="U100" s="345">
        <v>1400</v>
      </c>
      <c r="V100" s="345"/>
      <c r="W100" s="318">
        <f t="shared" si="14"/>
        <v>1400</v>
      </c>
      <c r="X100" s="385">
        <v>1400</v>
      </c>
      <c r="Y100" s="320">
        <v>2020003630023</v>
      </c>
      <c r="Z100" s="316" t="s">
        <v>1168</v>
      </c>
      <c r="AA100" s="384" t="s">
        <v>392</v>
      </c>
      <c r="AB100" s="322"/>
      <c r="AC100" s="322"/>
      <c r="AD100" s="322"/>
      <c r="AE100" s="322"/>
      <c r="AF100" s="322"/>
      <c r="AG100" s="322"/>
      <c r="AH100" s="322"/>
      <c r="AI100" s="322"/>
      <c r="AJ100" s="322"/>
      <c r="AK100" s="322"/>
      <c r="AL100" s="322"/>
      <c r="AM100" s="322"/>
      <c r="AN100" s="322"/>
      <c r="AO100" s="322"/>
      <c r="AP100" s="322"/>
      <c r="AQ100" s="322"/>
      <c r="AR100" s="322"/>
      <c r="AS100" s="322"/>
      <c r="AT100" s="371">
        <f>130000000+62225000+75052526.97+32225000+50000000+4647500+9087500</f>
        <v>363237526.97000003</v>
      </c>
      <c r="AU100" s="371">
        <v>361209194.01999998</v>
      </c>
      <c r="AV100" s="371">
        <v>361209194.01999998</v>
      </c>
      <c r="AW100" s="394"/>
      <c r="AX100" s="331"/>
      <c r="AY100" s="331"/>
      <c r="AZ100" s="330"/>
      <c r="BA100" s="331"/>
      <c r="BB100" s="331"/>
      <c r="BC100" s="394"/>
      <c r="BD100" s="331"/>
      <c r="BE100" s="331"/>
      <c r="BF100" s="462">
        <f t="shared" si="15"/>
        <v>363237526.97000003</v>
      </c>
      <c r="BG100" s="462">
        <f t="shared" si="16"/>
        <v>361209194.01999998</v>
      </c>
      <c r="BH100" s="462">
        <f t="shared" si="17"/>
        <v>361209194.01999998</v>
      </c>
      <c r="BI100" s="396" t="s">
        <v>1469</v>
      </c>
      <c r="BK100" s="327"/>
      <c r="BL100" s="328"/>
    </row>
    <row r="101" spans="1:64" s="326" customFormat="1" ht="117" customHeight="1" x14ac:dyDescent="0.2">
      <c r="A101" s="312">
        <v>312</v>
      </c>
      <c r="B101" s="314" t="s">
        <v>1202</v>
      </c>
      <c r="C101" s="312">
        <v>2</v>
      </c>
      <c r="D101" s="314" t="s">
        <v>1196</v>
      </c>
      <c r="E101" s="312">
        <v>17</v>
      </c>
      <c r="F101" s="314" t="s">
        <v>375</v>
      </c>
      <c r="G101" s="312">
        <v>1702</v>
      </c>
      <c r="H101" s="314" t="s">
        <v>376</v>
      </c>
      <c r="I101" s="312">
        <v>1702</v>
      </c>
      <c r="J101" s="315" t="s">
        <v>1232</v>
      </c>
      <c r="K101" s="321" t="s">
        <v>377</v>
      </c>
      <c r="L101" s="319">
        <v>1702014</v>
      </c>
      <c r="M101" s="315" t="s">
        <v>393</v>
      </c>
      <c r="N101" s="319">
        <v>1702014</v>
      </c>
      <c r="O101" s="315" t="s">
        <v>393</v>
      </c>
      <c r="P101" s="361" t="s">
        <v>394</v>
      </c>
      <c r="Q101" s="316" t="s">
        <v>395</v>
      </c>
      <c r="R101" s="361">
        <v>170201400</v>
      </c>
      <c r="S101" s="316" t="s">
        <v>395</v>
      </c>
      <c r="T101" s="317" t="s">
        <v>1460</v>
      </c>
      <c r="U101" s="345">
        <v>25</v>
      </c>
      <c r="V101" s="345"/>
      <c r="W101" s="318">
        <f t="shared" si="14"/>
        <v>25</v>
      </c>
      <c r="X101" s="385">
        <v>25</v>
      </c>
      <c r="Y101" s="320">
        <v>2020003630023</v>
      </c>
      <c r="Z101" s="316" t="s">
        <v>1168</v>
      </c>
      <c r="AA101" s="384" t="s">
        <v>392</v>
      </c>
      <c r="AB101" s="322"/>
      <c r="AC101" s="322"/>
      <c r="AD101" s="322"/>
      <c r="AE101" s="322"/>
      <c r="AF101" s="322"/>
      <c r="AG101" s="322"/>
      <c r="AH101" s="322"/>
      <c r="AI101" s="322"/>
      <c r="AJ101" s="322"/>
      <c r="AK101" s="322"/>
      <c r="AL101" s="322"/>
      <c r="AM101" s="322"/>
      <c r="AN101" s="322"/>
      <c r="AO101" s="322"/>
      <c r="AP101" s="322"/>
      <c r="AQ101" s="322"/>
      <c r="AR101" s="322"/>
      <c r="AS101" s="322"/>
      <c r="AT101" s="370">
        <f>45000000+45000000</f>
        <v>90000000</v>
      </c>
      <c r="AU101" s="371">
        <v>90000000</v>
      </c>
      <c r="AV101" s="371">
        <v>90000000</v>
      </c>
      <c r="AW101" s="394"/>
      <c r="AX101" s="331"/>
      <c r="AY101" s="331"/>
      <c r="AZ101" s="330"/>
      <c r="BA101" s="331"/>
      <c r="BB101" s="331"/>
      <c r="BC101" s="394"/>
      <c r="BD101" s="331"/>
      <c r="BE101" s="331"/>
      <c r="BF101" s="462">
        <f t="shared" si="15"/>
        <v>90000000</v>
      </c>
      <c r="BG101" s="462">
        <f t="shared" si="16"/>
        <v>90000000</v>
      </c>
      <c r="BH101" s="462">
        <f t="shared" si="17"/>
        <v>90000000</v>
      </c>
      <c r="BI101" s="396" t="s">
        <v>1469</v>
      </c>
      <c r="BK101" s="327"/>
      <c r="BL101" s="328"/>
    </row>
    <row r="102" spans="1:64" s="326" customFormat="1" ht="117" customHeight="1" x14ac:dyDescent="0.2">
      <c r="A102" s="312">
        <v>312</v>
      </c>
      <c r="B102" s="314" t="s">
        <v>1202</v>
      </c>
      <c r="C102" s="312">
        <v>2</v>
      </c>
      <c r="D102" s="314" t="s">
        <v>1196</v>
      </c>
      <c r="E102" s="312">
        <v>17</v>
      </c>
      <c r="F102" s="314" t="s">
        <v>375</v>
      </c>
      <c r="G102" s="312">
        <v>1702</v>
      </c>
      <c r="H102" s="314" t="s">
        <v>376</v>
      </c>
      <c r="I102" s="312">
        <v>1702</v>
      </c>
      <c r="J102" s="315" t="s">
        <v>1232</v>
      </c>
      <c r="K102" s="321" t="s">
        <v>377</v>
      </c>
      <c r="L102" s="319">
        <v>1702021</v>
      </c>
      <c r="M102" s="315" t="s">
        <v>396</v>
      </c>
      <c r="N102" s="319">
        <v>1702021</v>
      </c>
      <c r="O102" s="315" t="s">
        <v>396</v>
      </c>
      <c r="P102" s="361" t="s">
        <v>397</v>
      </c>
      <c r="Q102" s="316" t="s">
        <v>398</v>
      </c>
      <c r="R102" s="361">
        <v>170202100</v>
      </c>
      <c r="S102" s="316" t="s">
        <v>398</v>
      </c>
      <c r="T102" s="317" t="s">
        <v>1460</v>
      </c>
      <c r="U102" s="345">
        <v>150</v>
      </c>
      <c r="V102" s="345"/>
      <c r="W102" s="318">
        <f t="shared" si="14"/>
        <v>150</v>
      </c>
      <c r="X102" s="385">
        <v>150</v>
      </c>
      <c r="Y102" s="320">
        <v>2020003630023</v>
      </c>
      <c r="Z102" s="316" t="s">
        <v>1168</v>
      </c>
      <c r="AA102" s="384" t="s">
        <v>392</v>
      </c>
      <c r="AB102" s="322"/>
      <c r="AC102" s="322"/>
      <c r="AD102" s="322"/>
      <c r="AE102" s="322"/>
      <c r="AF102" s="322"/>
      <c r="AG102" s="322"/>
      <c r="AH102" s="322"/>
      <c r="AI102" s="322"/>
      <c r="AJ102" s="322"/>
      <c r="AK102" s="322"/>
      <c r="AL102" s="322"/>
      <c r="AM102" s="322"/>
      <c r="AN102" s="322"/>
      <c r="AO102" s="322"/>
      <c r="AP102" s="322"/>
      <c r="AQ102" s="322"/>
      <c r="AR102" s="322"/>
      <c r="AS102" s="322"/>
      <c r="AT102" s="371">
        <f>20000000+50000000</f>
        <v>70000000</v>
      </c>
      <c r="AU102" s="371">
        <v>70000000</v>
      </c>
      <c r="AV102" s="371">
        <v>70000000</v>
      </c>
      <c r="AW102" s="394"/>
      <c r="AX102" s="331"/>
      <c r="AY102" s="331"/>
      <c r="AZ102" s="330"/>
      <c r="BA102" s="331"/>
      <c r="BB102" s="331"/>
      <c r="BC102" s="394"/>
      <c r="BD102" s="331"/>
      <c r="BE102" s="331"/>
      <c r="BF102" s="462">
        <f t="shared" si="15"/>
        <v>70000000</v>
      </c>
      <c r="BG102" s="462">
        <f t="shared" si="16"/>
        <v>70000000</v>
      </c>
      <c r="BH102" s="462">
        <f t="shared" si="17"/>
        <v>70000000</v>
      </c>
      <c r="BI102" s="396" t="s">
        <v>1469</v>
      </c>
      <c r="BK102" s="327"/>
      <c r="BL102" s="328"/>
    </row>
    <row r="103" spans="1:64" s="326" customFormat="1" ht="117" customHeight="1" x14ac:dyDescent="0.2">
      <c r="A103" s="312">
        <v>312</v>
      </c>
      <c r="B103" s="314" t="s">
        <v>1202</v>
      </c>
      <c r="C103" s="312">
        <v>2</v>
      </c>
      <c r="D103" s="314" t="s">
        <v>1196</v>
      </c>
      <c r="E103" s="312">
        <v>17</v>
      </c>
      <c r="F103" s="314" t="s">
        <v>375</v>
      </c>
      <c r="G103" s="312">
        <v>1702</v>
      </c>
      <c r="H103" s="314" t="s">
        <v>376</v>
      </c>
      <c r="I103" s="312">
        <v>1702</v>
      </c>
      <c r="J103" s="315" t="s">
        <v>1232</v>
      </c>
      <c r="K103" s="321" t="s">
        <v>377</v>
      </c>
      <c r="L103" s="319">
        <v>1702038</v>
      </c>
      <c r="M103" s="315" t="s">
        <v>399</v>
      </c>
      <c r="N103" s="319">
        <v>1702038</v>
      </c>
      <c r="O103" s="315" t="s">
        <v>399</v>
      </c>
      <c r="P103" s="312" t="s">
        <v>400</v>
      </c>
      <c r="Q103" s="316" t="s">
        <v>401</v>
      </c>
      <c r="R103" s="312">
        <v>170203800</v>
      </c>
      <c r="S103" s="316" t="s">
        <v>401</v>
      </c>
      <c r="T103" s="317" t="s">
        <v>1459</v>
      </c>
      <c r="U103" s="345">
        <v>30</v>
      </c>
      <c r="V103" s="345"/>
      <c r="W103" s="318">
        <f t="shared" si="14"/>
        <v>30</v>
      </c>
      <c r="X103" s="385">
        <v>30</v>
      </c>
      <c r="Y103" s="320">
        <v>2020003630080</v>
      </c>
      <c r="Z103" s="344" t="s">
        <v>1350</v>
      </c>
      <c r="AA103" s="321" t="s">
        <v>402</v>
      </c>
      <c r="AB103" s="322"/>
      <c r="AC103" s="322"/>
      <c r="AD103" s="322"/>
      <c r="AE103" s="322"/>
      <c r="AF103" s="322"/>
      <c r="AG103" s="322"/>
      <c r="AH103" s="322"/>
      <c r="AI103" s="322"/>
      <c r="AJ103" s="322"/>
      <c r="AK103" s="322"/>
      <c r="AL103" s="322"/>
      <c r="AM103" s="322"/>
      <c r="AN103" s="322"/>
      <c r="AO103" s="322"/>
      <c r="AP103" s="322"/>
      <c r="AQ103" s="322"/>
      <c r="AR103" s="322"/>
      <c r="AS103" s="322"/>
      <c r="AT103" s="370">
        <f>65000000+29850000+15330000</f>
        <v>110180000</v>
      </c>
      <c r="AU103" s="371">
        <v>94344642.120000005</v>
      </c>
      <c r="AV103" s="371">
        <v>94344642.120000005</v>
      </c>
      <c r="AW103" s="394"/>
      <c r="AX103" s="331"/>
      <c r="AY103" s="331"/>
      <c r="AZ103" s="330"/>
      <c r="BA103" s="331"/>
      <c r="BB103" s="331"/>
      <c r="BC103" s="394"/>
      <c r="BD103" s="331"/>
      <c r="BE103" s="331"/>
      <c r="BF103" s="462">
        <f t="shared" si="15"/>
        <v>110180000</v>
      </c>
      <c r="BG103" s="462">
        <f t="shared" si="16"/>
        <v>94344642.120000005</v>
      </c>
      <c r="BH103" s="462">
        <f t="shared" si="17"/>
        <v>94344642.120000005</v>
      </c>
      <c r="BI103" s="396" t="s">
        <v>1469</v>
      </c>
      <c r="BK103" s="327"/>
      <c r="BL103" s="328"/>
    </row>
    <row r="104" spans="1:64" s="326" customFormat="1" ht="117" customHeight="1" x14ac:dyDescent="0.2">
      <c r="A104" s="312">
        <v>312</v>
      </c>
      <c r="B104" s="314" t="s">
        <v>1202</v>
      </c>
      <c r="C104" s="312">
        <v>2</v>
      </c>
      <c r="D104" s="314" t="s">
        <v>1196</v>
      </c>
      <c r="E104" s="312">
        <v>17</v>
      </c>
      <c r="F104" s="314" t="s">
        <v>375</v>
      </c>
      <c r="G104" s="312">
        <v>1702</v>
      </c>
      <c r="H104" s="314" t="s">
        <v>376</v>
      </c>
      <c r="I104" s="312">
        <v>1702</v>
      </c>
      <c r="J104" s="315" t="s">
        <v>1232</v>
      </c>
      <c r="K104" s="321" t="s">
        <v>377</v>
      </c>
      <c r="L104" s="319">
        <v>1702038</v>
      </c>
      <c r="M104" s="315" t="s">
        <v>399</v>
      </c>
      <c r="N104" s="319">
        <v>1702038</v>
      </c>
      <c r="O104" s="315" t="s">
        <v>399</v>
      </c>
      <c r="P104" s="312" t="s">
        <v>403</v>
      </c>
      <c r="Q104" s="316" t="s">
        <v>404</v>
      </c>
      <c r="R104" s="312">
        <v>170203801</v>
      </c>
      <c r="S104" s="316" t="s">
        <v>404</v>
      </c>
      <c r="T104" s="317" t="s">
        <v>1460</v>
      </c>
      <c r="U104" s="345">
        <v>80</v>
      </c>
      <c r="V104" s="345"/>
      <c r="W104" s="318">
        <f t="shared" si="14"/>
        <v>80</v>
      </c>
      <c r="X104" s="385">
        <v>80</v>
      </c>
      <c r="Y104" s="320">
        <v>2020003630080</v>
      </c>
      <c r="Z104" s="344" t="s">
        <v>1350</v>
      </c>
      <c r="AA104" s="321" t="s">
        <v>402</v>
      </c>
      <c r="AB104" s="322"/>
      <c r="AC104" s="322"/>
      <c r="AD104" s="322"/>
      <c r="AE104" s="322"/>
      <c r="AF104" s="322"/>
      <c r="AG104" s="322"/>
      <c r="AH104" s="322"/>
      <c r="AI104" s="322"/>
      <c r="AJ104" s="322"/>
      <c r="AK104" s="322"/>
      <c r="AL104" s="322"/>
      <c r="AM104" s="322"/>
      <c r="AN104" s="322"/>
      <c r="AO104" s="322"/>
      <c r="AP104" s="322"/>
      <c r="AQ104" s="322"/>
      <c r="AR104" s="322"/>
      <c r="AS104" s="322"/>
      <c r="AT104" s="371">
        <f>18000000</f>
        <v>18000000</v>
      </c>
      <c r="AU104" s="371">
        <v>15647154</v>
      </c>
      <c r="AV104" s="371">
        <v>15647154</v>
      </c>
      <c r="AW104" s="394"/>
      <c r="AX104" s="331"/>
      <c r="AY104" s="331"/>
      <c r="AZ104" s="330">
        <v>105606585.66</v>
      </c>
      <c r="BA104" s="331">
        <v>105606585.66</v>
      </c>
      <c r="BB104" s="331">
        <v>105606585.66</v>
      </c>
      <c r="BC104" s="394"/>
      <c r="BD104" s="331"/>
      <c r="BE104" s="331"/>
      <c r="BF104" s="462">
        <f>AB104+AE104+AH104+AK104+AN104+AQ104+AT104+AW104+BC104+AZ104</f>
        <v>123606585.66</v>
      </c>
      <c r="BG104" s="462">
        <f>AC104+AF104+AI104+AL104+AO104+AR104+AU104+AX104+BD104+BA104</f>
        <v>121253739.66</v>
      </c>
      <c r="BH104" s="462">
        <f>AD104+AG104+AJ104+AM104+AP104+AS104+AV104+AY104+BE104+BB104</f>
        <v>121253739.66</v>
      </c>
      <c r="BI104" s="396" t="s">
        <v>1469</v>
      </c>
      <c r="BK104" s="327"/>
      <c r="BL104" s="328"/>
    </row>
    <row r="105" spans="1:64" s="326" customFormat="1" ht="117" customHeight="1" x14ac:dyDescent="0.2">
      <c r="A105" s="312">
        <v>312</v>
      </c>
      <c r="B105" s="314" t="s">
        <v>1202</v>
      </c>
      <c r="C105" s="312">
        <v>2</v>
      </c>
      <c r="D105" s="314" t="s">
        <v>1196</v>
      </c>
      <c r="E105" s="312">
        <v>17</v>
      </c>
      <c r="F105" s="314" t="s">
        <v>375</v>
      </c>
      <c r="G105" s="312">
        <v>1702</v>
      </c>
      <c r="H105" s="314" t="s">
        <v>376</v>
      </c>
      <c r="I105" s="312">
        <v>1702</v>
      </c>
      <c r="J105" s="315" t="s">
        <v>1232</v>
      </c>
      <c r="K105" s="321" t="s">
        <v>377</v>
      </c>
      <c r="L105" s="319">
        <v>1702023</v>
      </c>
      <c r="M105" s="315" t="s">
        <v>193</v>
      </c>
      <c r="N105" s="319">
        <v>1702023</v>
      </c>
      <c r="O105" s="315" t="s">
        <v>193</v>
      </c>
      <c r="P105" s="312" t="s">
        <v>405</v>
      </c>
      <c r="Q105" s="316" t="s">
        <v>406</v>
      </c>
      <c r="R105" s="312">
        <v>170202301</v>
      </c>
      <c r="S105" s="315" t="s">
        <v>406</v>
      </c>
      <c r="T105" s="317" t="s">
        <v>1459</v>
      </c>
      <c r="U105" s="345">
        <v>1</v>
      </c>
      <c r="V105" s="345"/>
      <c r="W105" s="318">
        <f t="shared" si="14"/>
        <v>1</v>
      </c>
      <c r="X105" s="385">
        <v>1</v>
      </c>
      <c r="Y105" s="320">
        <v>2020003630022</v>
      </c>
      <c r="Z105" s="321" t="s">
        <v>407</v>
      </c>
      <c r="AA105" s="321" t="s">
        <v>408</v>
      </c>
      <c r="AB105" s="322"/>
      <c r="AC105" s="322"/>
      <c r="AD105" s="322"/>
      <c r="AE105" s="322"/>
      <c r="AF105" s="322"/>
      <c r="AG105" s="322"/>
      <c r="AH105" s="322"/>
      <c r="AI105" s="322"/>
      <c r="AJ105" s="322"/>
      <c r="AK105" s="322"/>
      <c r="AL105" s="322"/>
      <c r="AM105" s="322"/>
      <c r="AN105" s="322"/>
      <c r="AO105" s="322"/>
      <c r="AP105" s="322"/>
      <c r="AQ105" s="322"/>
      <c r="AR105" s="322"/>
      <c r="AS105" s="322"/>
      <c r="AT105" s="370">
        <f>45000000+8655000</f>
        <v>53655000</v>
      </c>
      <c r="AU105" s="371">
        <v>53647750.109999999</v>
      </c>
      <c r="AV105" s="371">
        <v>53647750.109999999</v>
      </c>
      <c r="AW105" s="394"/>
      <c r="AX105" s="331"/>
      <c r="AY105" s="331"/>
      <c r="AZ105" s="330"/>
      <c r="BA105" s="331"/>
      <c r="BB105" s="331"/>
      <c r="BC105" s="394"/>
      <c r="BD105" s="331"/>
      <c r="BE105" s="331"/>
      <c r="BF105" s="462">
        <f t="shared" ref="BF105:BF168" si="18">AB105+AE105+AH105+AK105+AN105+AQ105+AT105+AW105+BC105</f>
        <v>53655000</v>
      </c>
      <c r="BG105" s="462">
        <f t="shared" ref="BG105:BG168" si="19">AC105+AF105+AI105+AL105+AO105+AR105+AU105+AX105+BD105</f>
        <v>53647750.109999999</v>
      </c>
      <c r="BH105" s="462">
        <f t="shared" ref="BH105:BH168" si="20">AD105+AG105+AJ105+AM105+AP105+AS105+AV105+AY105+BE105</f>
        <v>53647750.109999999</v>
      </c>
      <c r="BI105" s="396" t="s">
        <v>1469</v>
      </c>
      <c r="BK105" s="327"/>
      <c r="BL105" s="328"/>
    </row>
    <row r="106" spans="1:64" s="326" customFormat="1" ht="117" customHeight="1" x14ac:dyDescent="0.2">
      <c r="A106" s="312">
        <v>312</v>
      </c>
      <c r="B106" s="314" t="s">
        <v>1202</v>
      </c>
      <c r="C106" s="312">
        <v>2</v>
      </c>
      <c r="D106" s="314" t="s">
        <v>1196</v>
      </c>
      <c r="E106" s="312">
        <v>17</v>
      </c>
      <c r="F106" s="314" t="s">
        <v>375</v>
      </c>
      <c r="G106" s="312">
        <v>1702</v>
      </c>
      <c r="H106" s="314" t="s">
        <v>376</v>
      </c>
      <c r="I106" s="312">
        <v>1702</v>
      </c>
      <c r="J106" s="315" t="s">
        <v>1232</v>
      </c>
      <c r="K106" s="321" t="s">
        <v>377</v>
      </c>
      <c r="L106" s="319">
        <v>1702024</v>
      </c>
      <c r="M106" s="315" t="s">
        <v>409</v>
      </c>
      <c r="N106" s="319">
        <v>1702024</v>
      </c>
      <c r="O106" s="315" t="s">
        <v>409</v>
      </c>
      <c r="P106" s="361" t="s">
        <v>410</v>
      </c>
      <c r="Q106" s="316" t="s">
        <v>411</v>
      </c>
      <c r="R106" s="361">
        <v>170202400</v>
      </c>
      <c r="S106" s="316" t="s">
        <v>411</v>
      </c>
      <c r="T106" s="317" t="s">
        <v>1459</v>
      </c>
      <c r="U106" s="345">
        <v>12</v>
      </c>
      <c r="V106" s="345"/>
      <c r="W106" s="318">
        <f t="shared" si="14"/>
        <v>12</v>
      </c>
      <c r="X106" s="385">
        <v>12</v>
      </c>
      <c r="Y106" s="320">
        <v>2020003630022</v>
      </c>
      <c r="Z106" s="344" t="s">
        <v>407</v>
      </c>
      <c r="AA106" s="321" t="s">
        <v>408</v>
      </c>
      <c r="AB106" s="322"/>
      <c r="AC106" s="322"/>
      <c r="AD106" s="322"/>
      <c r="AE106" s="322"/>
      <c r="AF106" s="322"/>
      <c r="AG106" s="322"/>
      <c r="AH106" s="322"/>
      <c r="AI106" s="322"/>
      <c r="AJ106" s="322"/>
      <c r="AK106" s="322"/>
      <c r="AL106" s="322"/>
      <c r="AM106" s="322"/>
      <c r="AN106" s="322"/>
      <c r="AO106" s="322"/>
      <c r="AP106" s="322"/>
      <c r="AQ106" s="322"/>
      <c r="AR106" s="322"/>
      <c r="AS106" s="322"/>
      <c r="AT106" s="370">
        <f>45000000+6675000</f>
        <v>51675000</v>
      </c>
      <c r="AU106" s="371">
        <v>46537083.5</v>
      </c>
      <c r="AV106" s="371">
        <v>46537083.5</v>
      </c>
      <c r="AW106" s="394"/>
      <c r="AX106" s="331"/>
      <c r="AY106" s="331"/>
      <c r="AZ106" s="330"/>
      <c r="BA106" s="331"/>
      <c r="BB106" s="331"/>
      <c r="BC106" s="394"/>
      <c r="BD106" s="331"/>
      <c r="BE106" s="331"/>
      <c r="BF106" s="462">
        <f t="shared" si="18"/>
        <v>51675000</v>
      </c>
      <c r="BG106" s="462">
        <f t="shared" si="19"/>
        <v>46537083.5</v>
      </c>
      <c r="BH106" s="462">
        <f t="shared" si="20"/>
        <v>46537083.5</v>
      </c>
      <c r="BI106" s="396" t="s">
        <v>1469</v>
      </c>
      <c r="BK106" s="327"/>
      <c r="BL106" s="328"/>
    </row>
    <row r="107" spans="1:64" s="398" customFormat="1" ht="117" customHeight="1" x14ac:dyDescent="0.25">
      <c r="A107" s="312">
        <v>312</v>
      </c>
      <c r="B107" s="314" t="s">
        <v>1202</v>
      </c>
      <c r="C107" s="312">
        <v>2</v>
      </c>
      <c r="D107" s="314" t="s">
        <v>1196</v>
      </c>
      <c r="E107" s="312">
        <v>17</v>
      </c>
      <c r="F107" s="314" t="s">
        <v>375</v>
      </c>
      <c r="G107" s="312">
        <v>1702</v>
      </c>
      <c r="H107" s="314" t="s">
        <v>376</v>
      </c>
      <c r="I107" s="312">
        <v>1702</v>
      </c>
      <c r="J107" s="315" t="s">
        <v>1232</v>
      </c>
      <c r="K107" s="321" t="s">
        <v>377</v>
      </c>
      <c r="L107" s="319">
        <v>1702025</v>
      </c>
      <c r="M107" s="315" t="s">
        <v>412</v>
      </c>
      <c r="N107" s="319">
        <v>1702025</v>
      </c>
      <c r="O107" s="315" t="s">
        <v>412</v>
      </c>
      <c r="P107" s="361" t="s">
        <v>413</v>
      </c>
      <c r="Q107" s="316" t="s">
        <v>414</v>
      </c>
      <c r="R107" s="361">
        <v>170202500</v>
      </c>
      <c r="S107" s="316" t="s">
        <v>414</v>
      </c>
      <c r="T107" s="317" t="s">
        <v>1460</v>
      </c>
      <c r="U107" s="345">
        <v>25</v>
      </c>
      <c r="V107" s="345"/>
      <c r="W107" s="318">
        <f t="shared" si="14"/>
        <v>25</v>
      </c>
      <c r="X107" s="385">
        <v>10</v>
      </c>
      <c r="Y107" s="320">
        <v>2020003630081</v>
      </c>
      <c r="Z107" s="321" t="s">
        <v>1348</v>
      </c>
      <c r="AA107" s="321" t="s">
        <v>416</v>
      </c>
      <c r="AB107" s="322"/>
      <c r="AC107" s="322"/>
      <c r="AD107" s="322"/>
      <c r="AE107" s="322"/>
      <c r="AF107" s="322"/>
      <c r="AG107" s="322"/>
      <c r="AH107" s="322"/>
      <c r="AI107" s="322"/>
      <c r="AJ107" s="322"/>
      <c r="AK107" s="322"/>
      <c r="AL107" s="322"/>
      <c r="AM107" s="322"/>
      <c r="AN107" s="322"/>
      <c r="AO107" s="322"/>
      <c r="AP107" s="322"/>
      <c r="AQ107" s="322"/>
      <c r="AR107" s="322"/>
      <c r="AS107" s="322"/>
      <c r="AT107" s="370">
        <f>27000000-15460000</f>
        <v>11540000</v>
      </c>
      <c r="AU107" s="371">
        <v>11540000</v>
      </c>
      <c r="AV107" s="371">
        <v>11540000</v>
      </c>
      <c r="AW107" s="394"/>
      <c r="AX107" s="331"/>
      <c r="AY107" s="331"/>
      <c r="AZ107" s="330"/>
      <c r="BA107" s="331"/>
      <c r="BB107" s="331"/>
      <c r="BC107" s="394"/>
      <c r="BD107" s="331"/>
      <c r="BE107" s="331"/>
      <c r="BF107" s="462">
        <f t="shared" si="18"/>
        <v>11540000</v>
      </c>
      <c r="BG107" s="462">
        <f t="shared" si="19"/>
        <v>11540000</v>
      </c>
      <c r="BH107" s="462">
        <f t="shared" si="20"/>
        <v>11540000</v>
      </c>
      <c r="BI107" s="396" t="s">
        <v>1469</v>
      </c>
      <c r="BK107" s="327"/>
      <c r="BL107" s="328"/>
    </row>
    <row r="108" spans="1:64" s="398" customFormat="1" ht="117" customHeight="1" x14ac:dyDescent="0.25">
      <c r="A108" s="312">
        <v>312</v>
      </c>
      <c r="B108" s="314" t="s">
        <v>1202</v>
      </c>
      <c r="C108" s="312">
        <v>2</v>
      </c>
      <c r="D108" s="314" t="s">
        <v>1196</v>
      </c>
      <c r="E108" s="312">
        <v>17</v>
      </c>
      <c r="F108" s="314" t="s">
        <v>375</v>
      </c>
      <c r="G108" s="312">
        <v>1703</v>
      </c>
      <c r="H108" s="314" t="s">
        <v>417</v>
      </c>
      <c r="I108" s="312">
        <v>1703</v>
      </c>
      <c r="J108" s="315" t="s">
        <v>1233</v>
      </c>
      <c r="K108" s="321" t="s">
        <v>377</v>
      </c>
      <c r="L108" s="319">
        <v>1703013</v>
      </c>
      <c r="M108" s="315" t="s">
        <v>418</v>
      </c>
      <c r="N108" s="319">
        <v>1703013</v>
      </c>
      <c r="O108" s="315" t="s">
        <v>418</v>
      </c>
      <c r="P108" s="361" t="s">
        <v>419</v>
      </c>
      <c r="Q108" s="316" t="s">
        <v>420</v>
      </c>
      <c r="R108" s="361">
        <v>170301300</v>
      </c>
      <c r="S108" s="316" t="s">
        <v>420</v>
      </c>
      <c r="T108" s="317" t="s">
        <v>1460</v>
      </c>
      <c r="U108" s="345">
        <v>70</v>
      </c>
      <c r="V108" s="345"/>
      <c r="W108" s="318">
        <f t="shared" si="14"/>
        <v>70</v>
      </c>
      <c r="X108" s="385">
        <v>70</v>
      </c>
      <c r="Y108" s="320">
        <v>2020003630082</v>
      </c>
      <c r="Z108" s="344" t="s">
        <v>1349</v>
      </c>
      <c r="AA108" s="321" t="s">
        <v>422</v>
      </c>
      <c r="AB108" s="322"/>
      <c r="AC108" s="322"/>
      <c r="AD108" s="322"/>
      <c r="AE108" s="322"/>
      <c r="AF108" s="322"/>
      <c r="AG108" s="322"/>
      <c r="AH108" s="322"/>
      <c r="AI108" s="322"/>
      <c r="AJ108" s="322"/>
      <c r="AK108" s="322"/>
      <c r="AL108" s="322"/>
      <c r="AM108" s="322"/>
      <c r="AN108" s="322"/>
      <c r="AO108" s="322"/>
      <c r="AP108" s="322"/>
      <c r="AQ108" s="322"/>
      <c r="AR108" s="322"/>
      <c r="AS108" s="322"/>
      <c r="AT108" s="370">
        <f>75000000-24205000</f>
        <v>50795000</v>
      </c>
      <c r="AU108" s="371">
        <v>45168500</v>
      </c>
      <c r="AV108" s="371">
        <v>45168500</v>
      </c>
      <c r="AW108" s="394"/>
      <c r="AX108" s="331"/>
      <c r="AY108" s="331"/>
      <c r="AZ108" s="330"/>
      <c r="BA108" s="331"/>
      <c r="BB108" s="331"/>
      <c r="BC108" s="394"/>
      <c r="BD108" s="331"/>
      <c r="BE108" s="331"/>
      <c r="BF108" s="462">
        <f t="shared" si="18"/>
        <v>50795000</v>
      </c>
      <c r="BG108" s="462">
        <f t="shared" si="19"/>
        <v>45168500</v>
      </c>
      <c r="BH108" s="462">
        <f t="shared" si="20"/>
        <v>45168500</v>
      </c>
      <c r="BI108" s="396" t="s">
        <v>1469</v>
      </c>
      <c r="BK108" s="327"/>
      <c r="BL108" s="328"/>
    </row>
    <row r="109" spans="1:64" s="398" customFormat="1" ht="117" customHeight="1" x14ac:dyDescent="0.2">
      <c r="A109" s="312">
        <v>312</v>
      </c>
      <c r="B109" s="314" t="s">
        <v>1202</v>
      </c>
      <c r="C109" s="312">
        <v>2</v>
      </c>
      <c r="D109" s="314" t="s">
        <v>1196</v>
      </c>
      <c r="E109" s="312">
        <v>17</v>
      </c>
      <c r="F109" s="314" t="s">
        <v>375</v>
      </c>
      <c r="G109" s="312">
        <v>1704</v>
      </c>
      <c r="H109" s="314" t="s">
        <v>423</v>
      </c>
      <c r="I109" s="312">
        <v>1704</v>
      </c>
      <c r="J109" s="315" t="s">
        <v>1234</v>
      </c>
      <c r="K109" s="321" t="s">
        <v>377</v>
      </c>
      <c r="L109" s="319">
        <v>1704002</v>
      </c>
      <c r="M109" s="315" t="s">
        <v>68</v>
      </c>
      <c r="N109" s="319">
        <v>1704002</v>
      </c>
      <c r="O109" s="315" t="s">
        <v>68</v>
      </c>
      <c r="P109" s="312" t="s">
        <v>424</v>
      </c>
      <c r="Q109" s="316" t="s">
        <v>425</v>
      </c>
      <c r="R109" s="312">
        <v>170400203</v>
      </c>
      <c r="S109" s="316" t="s">
        <v>425</v>
      </c>
      <c r="T109" s="317" t="s">
        <v>1459</v>
      </c>
      <c r="U109" s="345">
        <v>1</v>
      </c>
      <c r="V109" s="345"/>
      <c r="W109" s="318">
        <f t="shared" si="14"/>
        <v>1</v>
      </c>
      <c r="X109" s="385">
        <v>1</v>
      </c>
      <c r="Y109" s="320">
        <v>2020003630025</v>
      </c>
      <c r="Z109" s="344" t="s">
        <v>426</v>
      </c>
      <c r="AA109" s="321" t="s">
        <v>427</v>
      </c>
      <c r="AB109" s="334"/>
      <c r="AC109" s="334"/>
      <c r="AD109" s="334"/>
      <c r="AE109" s="334"/>
      <c r="AF109" s="334"/>
      <c r="AG109" s="334"/>
      <c r="AH109" s="334"/>
      <c r="AI109" s="334"/>
      <c r="AJ109" s="334"/>
      <c r="AK109" s="334"/>
      <c r="AL109" s="334"/>
      <c r="AM109" s="334"/>
      <c r="AN109" s="334"/>
      <c r="AO109" s="334"/>
      <c r="AP109" s="334"/>
      <c r="AQ109" s="334"/>
      <c r="AR109" s="334"/>
      <c r="AS109" s="334"/>
      <c r="AT109" s="330">
        <f>42000000+13675000</f>
        <v>55675000</v>
      </c>
      <c r="AU109" s="331">
        <v>51347833.329999998</v>
      </c>
      <c r="AV109" s="331">
        <v>51347833.329999998</v>
      </c>
      <c r="AW109" s="394"/>
      <c r="AX109" s="331"/>
      <c r="AY109" s="331"/>
      <c r="AZ109" s="330"/>
      <c r="BA109" s="331"/>
      <c r="BB109" s="331"/>
      <c r="BC109" s="394"/>
      <c r="BD109" s="331"/>
      <c r="BE109" s="331"/>
      <c r="BF109" s="462">
        <f t="shared" si="18"/>
        <v>55675000</v>
      </c>
      <c r="BG109" s="462">
        <f t="shared" si="19"/>
        <v>51347833.329999998</v>
      </c>
      <c r="BH109" s="462">
        <f t="shared" si="20"/>
        <v>51347833.329999998</v>
      </c>
      <c r="BI109" s="396" t="s">
        <v>1469</v>
      </c>
      <c r="BK109" s="327"/>
      <c r="BL109" s="328"/>
    </row>
    <row r="110" spans="1:64" s="398" customFormat="1" ht="117" customHeight="1" x14ac:dyDescent="0.2">
      <c r="A110" s="312">
        <v>312</v>
      </c>
      <c r="B110" s="314" t="s">
        <v>1202</v>
      </c>
      <c r="C110" s="312">
        <v>2</v>
      </c>
      <c r="D110" s="314" t="s">
        <v>1196</v>
      </c>
      <c r="E110" s="312">
        <v>17</v>
      </c>
      <c r="F110" s="314" t="s">
        <v>375</v>
      </c>
      <c r="G110" s="312">
        <v>1704</v>
      </c>
      <c r="H110" s="314" t="s">
        <v>423</v>
      </c>
      <c r="I110" s="312">
        <v>1704</v>
      </c>
      <c r="J110" s="315" t="s">
        <v>1234</v>
      </c>
      <c r="K110" s="321" t="s">
        <v>377</v>
      </c>
      <c r="L110" s="319">
        <v>1704017</v>
      </c>
      <c r="M110" s="315" t="s">
        <v>428</v>
      </c>
      <c r="N110" s="319">
        <v>1704017</v>
      </c>
      <c r="O110" s="315" t="s">
        <v>428</v>
      </c>
      <c r="P110" s="312" t="s">
        <v>429</v>
      </c>
      <c r="Q110" s="316" t="s">
        <v>430</v>
      </c>
      <c r="R110" s="312">
        <v>170401700</v>
      </c>
      <c r="S110" s="316" t="s">
        <v>430</v>
      </c>
      <c r="T110" s="317" t="s">
        <v>1460</v>
      </c>
      <c r="U110" s="345">
        <v>150</v>
      </c>
      <c r="V110" s="345"/>
      <c r="W110" s="318">
        <f t="shared" si="14"/>
        <v>150</v>
      </c>
      <c r="X110" s="385">
        <v>150</v>
      </c>
      <c r="Y110" s="320">
        <v>2020003630025</v>
      </c>
      <c r="Z110" s="344" t="s">
        <v>426</v>
      </c>
      <c r="AA110" s="321" t="s">
        <v>427</v>
      </c>
      <c r="AB110" s="334"/>
      <c r="AC110" s="334"/>
      <c r="AD110" s="334"/>
      <c r="AE110" s="334"/>
      <c r="AF110" s="334"/>
      <c r="AG110" s="334"/>
      <c r="AH110" s="334"/>
      <c r="AI110" s="334"/>
      <c r="AJ110" s="334"/>
      <c r="AK110" s="334"/>
      <c r="AL110" s="334"/>
      <c r="AM110" s="334"/>
      <c r="AN110" s="334"/>
      <c r="AO110" s="334"/>
      <c r="AP110" s="334"/>
      <c r="AQ110" s="334"/>
      <c r="AR110" s="334"/>
      <c r="AS110" s="334"/>
      <c r="AT110" s="330">
        <f>28000000+1442500</f>
        <v>29442500</v>
      </c>
      <c r="AU110" s="331">
        <v>29426999.960000001</v>
      </c>
      <c r="AV110" s="331">
        <v>29426999.960000001</v>
      </c>
      <c r="AW110" s="394"/>
      <c r="AX110" s="331"/>
      <c r="AY110" s="331"/>
      <c r="AZ110" s="330"/>
      <c r="BA110" s="331"/>
      <c r="BB110" s="331"/>
      <c r="BC110" s="394"/>
      <c r="BD110" s="331"/>
      <c r="BE110" s="331"/>
      <c r="BF110" s="462">
        <f t="shared" si="18"/>
        <v>29442500</v>
      </c>
      <c r="BG110" s="462">
        <f t="shared" si="19"/>
        <v>29426999.960000001</v>
      </c>
      <c r="BH110" s="462">
        <f t="shared" si="20"/>
        <v>29426999.960000001</v>
      </c>
      <c r="BI110" s="396" t="s">
        <v>1469</v>
      </c>
      <c r="BK110" s="327"/>
      <c r="BL110" s="328"/>
    </row>
    <row r="111" spans="1:64" s="398" customFormat="1" ht="117" customHeight="1" x14ac:dyDescent="0.25">
      <c r="A111" s="312">
        <v>312</v>
      </c>
      <c r="B111" s="314" t="s">
        <v>1202</v>
      </c>
      <c r="C111" s="312">
        <v>2</v>
      </c>
      <c r="D111" s="314" t="s">
        <v>1196</v>
      </c>
      <c r="E111" s="312">
        <v>17</v>
      </c>
      <c r="F111" s="314" t="s">
        <v>375</v>
      </c>
      <c r="G111" s="312">
        <v>1706</v>
      </c>
      <c r="H111" s="314" t="s">
        <v>431</v>
      </c>
      <c r="I111" s="312">
        <v>1706</v>
      </c>
      <c r="J111" s="315" t="s">
        <v>1235</v>
      </c>
      <c r="K111" s="321" t="s">
        <v>377</v>
      </c>
      <c r="L111" s="319">
        <v>1706004</v>
      </c>
      <c r="M111" s="315" t="s">
        <v>432</v>
      </c>
      <c r="N111" s="319">
        <v>1706004</v>
      </c>
      <c r="O111" s="315" t="s">
        <v>432</v>
      </c>
      <c r="P111" s="312" t="s">
        <v>433</v>
      </c>
      <c r="Q111" s="316" t="s">
        <v>434</v>
      </c>
      <c r="R111" s="312">
        <v>170600400</v>
      </c>
      <c r="S111" s="316" t="s">
        <v>434</v>
      </c>
      <c r="T111" s="317" t="s">
        <v>1459</v>
      </c>
      <c r="U111" s="345">
        <v>10</v>
      </c>
      <c r="V111" s="345"/>
      <c r="W111" s="318">
        <f t="shared" si="14"/>
        <v>10</v>
      </c>
      <c r="X111" s="385">
        <v>8</v>
      </c>
      <c r="Y111" s="320">
        <v>2020003630083</v>
      </c>
      <c r="Z111" s="344" t="s">
        <v>435</v>
      </c>
      <c r="AA111" s="321" t="s">
        <v>436</v>
      </c>
      <c r="AB111" s="322"/>
      <c r="AC111" s="322"/>
      <c r="AD111" s="322"/>
      <c r="AE111" s="322"/>
      <c r="AF111" s="322"/>
      <c r="AG111" s="322"/>
      <c r="AH111" s="322"/>
      <c r="AI111" s="322"/>
      <c r="AJ111" s="322"/>
      <c r="AK111" s="322"/>
      <c r="AL111" s="322"/>
      <c r="AM111" s="322"/>
      <c r="AN111" s="322"/>
      <c r="AO111" s="322"/>
      <c r="AP111" s="322"/>
      <c r="AQ111" s="322"/>
      <c r="AR111" s="322"/>
      <c r="AS111" s="322"/>
      <c r="AT111" s="331">
        <f>20000000+125000000</f>
        <v>145000000</v>
      </c>
      <c r="AU111" s="331">
        <v>144967800</v>
      </c>
      <c r="AV111" s="331">
        <v>144967800</v>
      </c>
      <c r="AW111" s="394"/>
      <c r="AX111" s="331"/>
      <c r="AY111" s="331"/>
      <c r="AZ111" s="330"/>
      <c r="BA111" s="331"/>
      <c r="BB111" s="331"/>
      <c r="BC111" s="394"/>
      <c r="BD111" s="331"/>
      <c r="BE111" s="331"/>
      <c r="BF111" s="462">
        <f t="shared" si="18"/>
        <v>145000000</v>
      </c>
      <c r="BG111" s="462">
        <f t="shared" si="19"/>
        <v>144967800</v>
      </c>
      <c r="BH111" s="462">
        <f t="shared" si="20"/>
        <v>144967800</v>
      </c>
      <c r="BI111" s="396" t="s">
        <v>1469</v>
      </c>
      <c r="BK111" s="327"/>
      <c r="BL111" s="328"/>
    </row>
    <row r="112" spans="1:64" s="398" customFormat="1" ht="117" customHeight="1" x14ac:dyDescent="0.25">
      <c r="A112" s="312">
        <v>312</v>
      </c>
      <c r="B112" s="314" t="s">
        <v>1202</v>
      </c>
      <c r="C112" s="312">
        <v>2</v>
      </c>
      <c r="D112" s="314" t="s">
        <v>1196</v>
      </c>
      <c r="E112" s="312">
        <v>17</v>
      </c>
      <c r="F112" s="314" t="s">
        <v>375</v>
      </c>
      <c r="G112" s="312">
        <v>1707</v>
      </c>
      <c r="H112" s="314" t="s">
        <v>437</v>
      </c>
      <c r="I112" s="312">
        <v>1707</v>
      </c>
      <c r="J112" s="315" t="s">
        <v>1236</v>
      </c>
      <c r="K112" s="321" t="s">
        <v>377</v>
      </c>
      <c r="L112" s="319">
        <v>1707069</v>
      </c>
      <c r="M112" s="315" t="s">
        <v>438</v>
      </c>
      <c r="N112" s="319">
        <v>1707069</v>
      </c>
      <c r="O112" s="315" t="s">
        <v>438</v>
      </c>
      <c r="P112" s="312" t="s">
        <v>439</v>
      </c>
      <c r="Q112" s="315" t="s">
        <v>440</v>
      </c>
      <c r="R112" s="312">
        <v>170706900</v>
      </c>
      <c r="S112" s="316" t="s">
        <v>440</v>
      </c>
      <c r="T112" s="317" t="s">
        <v>1460</v>
      </c>
      <c r="U112" s="345">
        <v>5</v>
      </c>
      <c r="V112" s="345"/>
      <c r="W112" s="318">
        <f t="shared" si="14"/>
        <v>5</v>
      </c>
      <c r="X112" s="385">
        <v>5</v>
      </c>
      <c r="Y112" s="320">
        <v>2020003630084</v>
      </c>
      <c r="Z112" s="344" t="s">
        <v>1173</v>
      </c>
      <c r="AA112" s="321" t="s">
        <v>441</v>
      </c>
      <c r="AB112" s="322"/>
      <c r="AC112" s="322"/>
      <c r="AD112" s="322"/>
      <c r="AE112" s="322"/>
      <c r="AF112" s="322"/>
      <c r="AG112" s="322"/>
      <c r="AH112" s="322"/>
      <c r="AI112" s="322"/>
      <c r="AJ112" s="322"/>
      <c r="AK112" s="322"/>
      <c r="AL112" s="322"/>
      <c r="AM112" s="322"/>
      <c r="AN112" s="322"/>
      <c r="AO112" s="322"/>
      <c r="AP112" s="322"/>
      <c r="AQ112" s="322"/>
      <c r="AR112" s="322"/>
      <c r="AS112" s="322"/>
      <c r="AT112" s="370">
        <v>43000000</v>
      </c>
      <c r="AU112" s="371">
        <v>43000000</v>
      </c>
      <c r="AV112" s="371">
        <v>43000000</v>
      </c>
      <c r="AW112" s="394"/>
      <c r="AX112" s="331"/>
      <c r="AY112" s="331"/>
      <c r="AZ112" s="330"/>
      <c r="BA112" s="331"/>
      <c r="BB112" s="331"/>
      <c r="BC112" s="394"/>
      <c r="BD112" s="331"/>
      <c r="BE112" s="331"/>
      <c r="BF112" s="462">
        <f t="shared" si="18"/>
        <v>43000000</v>
      </c>
      <c r="BG112" s="462">
        <f t="shared" si="19"/>
        <v>43000000</v>
      </c>
      <c r="BH112" s="462">
        <f t="shared" si="20"/>
        <v>43000000</v>
      </c>
      <c r="BI112" s="396" t="s">
        <v>1469</v>
      </c>
      <c r="BK112" s="327"/>
      <c r="BL112" s="328"/>
    </row>
    <row r="113" spans="1:64" s="398" customFormat="1" ht="117" customHeight="1" x14ac:dyDescent="0.25">
      <c r="A113" s="312">
        <v>312</v>
      </c>
      <c r="B113" s="314" t="s">
        <v>1202</v>
      </c>
      <c r="C113" s="312">
        <v>2</v>
      </c>
      <c r="D113" s="314" t="s">
        <v>1196</v>
      </c>
      <c r="E113" s="312">
        <v>17</v>
      </c>
      <c r="F113" s="314" t="s">
        <v>375</v>
      </c>
      <c r="G113" s="312">
        <v>1708</v>
      </c>
      <c r="H113" s="314" t="s">
        <v>442</v>
      </c>
      <c r="I113" s="312">
        <v>1708</v>
      </c>
      <c r="J113" s="315" t="s">
        <v>1237</v>
      </c>
      <c r="K113" s="321" t="s">
        <v>377</v>
      </c>
      <c r="L113" s="319">
        <v>1708016</v>
      </c>
      <c r="M113" s="315" t="s">
        <v>68</v>
      </c>
      <c r="N113" s="319">
        <v>1708016</v>
      </c>
      <c r="O113" s="315" t="s">
        <v>68</v>
      </c>
      <c r="P113" s="361" t="s">
        <v>443</v>
      </c>
      <c r="Q113" s="316" t="s">
        <v>444</v>
      </c>
      <c r="R113" s="361">
        <v>170801600</v>
      </c>
      <c r="S113" s="316" t="s">
        <v>444</v>
      </c>
      <c r="T113" s="317" t="s">
        <v>1459</v>
      </c>
      <c r="U113" s="345">
        <v>2</v>
      </c>
      <c r="V113" s="345"/>
      <c r="W113" s="318">
        <f t="shared" si="14"/>
        <v>2</v>
      </c>
      <c r="X113" s="385">
        <v>2</v>
      </c>
      <c r="Y113" s="320">
        <v>2020003630026</v>
      </c>
      <c r="Z113" s="344" t="s">
        <v>445</v>
      </c>
      <c r="AA113" s="321" t="s">
        <v>446</v>
      </c>
      <c r="AB113" s="322"/>
      <c r="AC113" s="322"/>
      <c r="AD113" s="322"/>
      <c r="AE113" s="322"/>
      <c r="AF113" s="322"/>
      <c r="AG113" s="322"/>
      <c r="AH113" s="322"/>
      <c r="AI113" s="322"/>
      <c r="AJ113" s="322"/>
      <c r="AK113" s="322"/>
      <c r="AL113" s="322"/>
      <c r="AM113" s="322"/>
      <c r="AN113" s="322"/>
      <c r="AO113" s="322"/>
      <c r="AP113" s="322"/>
      <c r="AQ113" s="322"/>
      <c r="AR113" s="322"/>
      <c r="AS113" s="322"/>
      <c r="AT113" s="330">
        <f>20000000+7810000</f>
        <v>27810000</v>
      </c>
      <c r="AU113" s="331">
        <v>21820000</v>
      </c>
      <c r="AV113" s="331">
        <v>21820000</v>
      </c>
      <c r="AW113" s="394"/>
      <c r="AX113" s="331"/>
      <c r="AY113" s="331"/>
      <c r="AZ113" s="330"/>
      <c r="BA113" s="331"/>
      <c r="BB113" s="331"/>
      <c r="BC113" s="394"/>
      <c r="BD113" s="331"/>
      <c r="BE113" s="331"/>
      <c r="BF113" s="462">
        <f t="shared" si="18"/>
        <v>27810000</v>
      </c>
      <c r="BG113" s="462">
        <f t="shared" si="19"/>
        <v>21820000</v>
      </c>
      <c r="BH113" s="462">
        <f t="shared" si="20"/>
        <v>21820000</v>
      </c>
      <c r="BI113" s="396" t="s">
        <v>1469</v>
      </c>
      <c r="BK113" s="327"/>
      <c r="BL113" s="328"/>
    </row>
    <row r="114" spans="1:64" s="398" customFormat="1" ht="117" customHeight="1" x14ac:dyDescent="0.25">
      <c r="A114" s="312">
        <v>312</v>
      </c>
      <c r="B114" s="314" t="s">
        <v>1202</v>
      </c>
      <c r="C114" s="312">
        <v>2</v>
      </c>
      <c r="D114" s="314" t="s">
        <v>1196</v>
      </c>
      <c r="E114" s="312">
        <v>17</v>
      </c>
      <c r="F114" s="314" t="s">
        <v>375</v>
      </c>
      <c r="G114" s="312">
        <v>1708</v>
      </c>
      <c r="H114" s="314" t="s">
        <v>442</v>
      </c>
      <c r="I114" s="312">
        <v>1708</v>
      </c>
      <c r="J114" s="315" t="s">
        <v>1237</v>
      </c>
      <c r="K114" s="321" t="s">
        <v>377</v>
      </c>
      <c r="L114" s="319">
        <v>1708051</v>
      </c>
      <c r="M114" s="315" t="s">
        <v>447</v>
      </c>
      <c r="N114" s="319">
        <v>1708051</v>
      </c>
      <c r="O114" s="315" t="s">
        <v>447</v>
      </c>
      <c r="P114" s="361" t="s">
        <v>448</v>
      </c>
      <c r="Q114" s="316" t="s">
        <v>449</v>
      </c>
      <c r="R114" s="361">
        <v>170805100</v>
      </c>
      <c r="S114" s="316" t="s">
        <v>449</v>
      </c>
      <c r="T114" s="317" t="s">
        <v>1459</v>
      </c>
      <c r="U114" s="345">
        <v>1</v>
      </c>
      <c r="V114" s="345"/>
      <c r="W114" s="318">
        <f t="shared" si="14"/>
        <v>1</v>
      </c>
      <c r="X114" s="385">
        <v>1</v>
      </c>
      <c r="Y114" s="320">
        <v>2020003630026</v>
      </c>
      <c r="Z114" s="344" t="s">
        <v>445</v>
      </c>
      <c r="AA114" s="321" t="s">
        <v>446</v>
      </c>
      <c r="AB114" s="322"/>
      <c r="AC114" s="322"/>
      <c r="AD114" s="322"/>
      <c r="AE114" s="322"/>
      <c r="AF114" s="322"/>
      <c r="AG114" s="322"/>
      <c r="AH114" s="322"/>
      <c r="AI114" s="322"/>
      <c r="AJ114" s="322"/>
      <c r="AK114" s="322"/>
      <c r="AL114" s="322"/>
      <c r="AM114" s="322"/>
      <c r="AN114" s="322"/>
      <c r="AO114" s="322"/>
      <c r="AP114" s="322"/>
      <c r="AQ114" s="322"/>
      <c r="AR114" s="322"/>
      <c r="AS114" s="322"/>
      <c r="AT114" s="330">
        <v>20000000</v>
      </c>
      <c r="AU114" s="331">
        <v>12384398.83</v>
      </c>
      <c r="AV114" s="331">
        <v>7902471.1900000004</v>
      </c>
      <c r="AW114" s="394"/>
      <c r="AX114" s="331"/>
      <c r="AY114" s="331"/>
      <c r="AZ114" s="330"/>
      <c r="BA114" s="331"/>
      <c r="BB114" s="331"/>
      <c r="BC114" s="394"/>
      <c r="BD114" s="331"/>
      <c r="BE114" s="331"/>
      <c r="BF114" s="462">
        <f t="shared" si="18"/>
        <v>20000000</v>
      </c>
      <c r="BG114" s="462">
        <f t="shared" si="19"/>
        <v>12384398.83</v>
      </c>
      <c r="BH114" s="462">
        <f t="shared" si="20"/>
        <v>7902471.1900000004</v>
      </c>
      <c r="BI114" s="396" t="s">
        <v>1469</v>
      </c>
      <c r="BK114" s="327"/>
      <c r="BL114" s="328"/>
    </row>
    <row r="115" spans="1:64" s="398" customFormat="1" ht="117" customHeight="1" x14ac:dyDescent="0.2">
      <c r="A115" s="312">
        <v>312</v>
      </c>
      <c r="B115" s="314" t="s">
        <v>1202</v>
      </c>
      <c r="C115" s="312">
        <v>2</v>
      </c>
      <c r="D115" s="314" t="s">
        <v>1196</v>
      </c>
      <c r="E115" s="312">
        <v>17</v>
      </c>
      <c r="F115" s="314" t="s">
        <v>375</v>
      </c>
      <c r="G115" s="312">
        <v>1709</v>
      </c>
      <c r="H115" s="314" t="s">
        <v>450</v>
      </c>
      <c r="I115" s="312">
        <v>1709</v>
      </c>
      <c r="J115" s="315" t="s">
        <v>1238</v>
      </c>
      <c r="K115" s="321" t="s">
        <v>377</v>
      </c>
      <c r="L115" s="319">
        <v>1709019</v>
      </c>
      <c r="M115" s="315" t="s">
        <v>451</v>
      </c>
      <c r="N115" s="319">
        <v>1709019</v>
      </c>
      <c r="O115" s="315" t="s">
        <v>451</v>
      </c>
      <c r="P115" s="361">
        <v>170901900</v>
      </c>
      <c r="Q115" s="316" t="s">
        <v>451</v>
      </c>
      <c r="R115" s="361">
        <v>170901900</v>
      </c>
      <c r="S115" s="316" t="s">
        <v>451</v>
      </c>
      <c r="T115" s="317" t="s">
        <v>1460</v>
      </c>
      <c r="U115" s="345">
        <v>5</v>
      </c>
      <c r="V115" s="345">
        <v>1</v>
      </c>
      <c r="W115" s="318">
        <f t="shared" si="14"/>
        <v>6</v>
      </c>
      <c r="X115" s="385">
        <v>0</v>
      </c>
      <c r="Y115" s="320">
        <v>2020003630024</v>
      </c>
      <c r="Z115" s="344" t="s">
        <v>1169</v>
      </c>
      <c r="AA115" s="321" t="s">
        <v>452</v>
      </c>
      <c r="AB115" s="334"/>
      <c r="AC115" s="334"/>
      <c r="AD115" s="334"/>
      <c r="AE115" s="334"/>
      <c r="AF115" s="334"/>
      <c r="AG115" s="334"/>
      <c r="AH115" s="334"/>
      <c r="AI115" s="334"/>
      <c r="AJ115" s="334"/>
      <c r="AK115" s="334"/>
      <c r="AL115" s="334"/>
      <c r="AM115" s="334"/>
      <c r="AN115" s="334"/>
      <c r="AO115" s="334"/>
      <c r="AP115" s="334"/>
      <c r="AQ115" s="334"/>
      <c r="AR115" s="334"/>
      <c r="AS115" s="334"/>
      <c r="AT115" s="330">
        <f>43000000-23088939</f>
        <v>19911061</v>
      </c>
      <c r="AU115" s="331"/>
      <c r="AV115" s="331"/>
      <c r="AW115" s="394"/>
      <c r="AX115" s="331"/>
      <c r="AY115" s="331"/>
      <c r="AZ115" s="330"/>
      <c r="BA115" s="331"/>
      <c r="BB115" s="331"/>
      <c r="BC115" s="394"/>
      <c r="BD115" s="331"/>
      <c r="BE115" s="331"/>
      <c r="BF115" s="462">
        <f t="shared" si="18"/>
        <v>19911061</v>
      </c>
      <c r="BG115" s="462">
        <f t="shared" si="19"/>
        <v>0</v>
      </c>
      <c r="BH115" s="462">
        <f t="shared" si="20"/>
        <v>0</v>
      </c>
      <c r="BI115" s="396" t="s">
        <v>1469</v>
      </c>
      <c r="BK115" s="327"/>
      <c r="BL115" s="328"/>
    </row>
    <row r="116" spans="1:64" s="398" customFormat="1" ht="117" customHeight="1" x14ac:dyDescent="0.2">
      <c r="A116" s="312">
        <v>312</v>
      </c>
      <c r="B116" s="314" t="s">
        <v>1202</v>
      </c>
      <c r="C116" s="312">
        <v>2</v>
      </c>
      <c r="D116" s="314" t="s">
        <v>1196</v>
      </c>
      <c r="E116" s="312">
        <v>17</v>
      </c>
      <c r="F116" s="314" t="s">
        <v>375</v>
      </c>
      <c r="G116" s="312">
        <v>1709</v>
      </c>
      <c r="H116" s="314" t="s">
        <v>450</v>
      </c>
      <c r="I116" s="312">
        <v>1709</v>
      </c>
      <c r="J116" s="315" t="s">
        <v>1238</v>
      </c>
      <c r="K116" s="321" t="s">
        <v>377</v>
      </c>
      <c r="L116" s="319">
        <v>1709034</v>
      </c>
      <c r="M116" s="315" t="s">
        <v>453</v>
      </c>
      <c r="N116" s="319">
        <v>1709034</v>
      </c>
      <c r="O116" s="315" t="s">
        <v>453</v>
      </c>
      <c r="P116" s="361" t="s">
        <v>454</v>
      </c>
      <c r="Q116" s="316" t="s">
        <v>453</v>
      </c>
      <c r="R116" s="361">
        <v>170903400</v>
      </c>
      <c r="S116" s="316" t="s">
        <v>453</v>
      </c>
      <c r="T116" s="317" t="s">
        <v>1460</v>
      </c>
      <c r="U116" s="345">
        <v>3</v>
      </c>
      <c r="V116" s="345"/>
      <c r="W116" s="318">
        <f t="shared" si="14"/>
        <v>3</v>
      </c>
      <c r="X116" s="385">
        <v>2</v>
      </c>
      <c r="Y116" s="320">
        <v>2020003630024</v>
      </c>
      <c r="Z116" s="344" t="s">
        <v>1169</v>
      </c>
      <c r="AA116" s="321" t="s">
        <v>452</v>
      </c>
      <c r="AB116" s="334"/>
      <c r="AC116" s="334"/>
      <c r="AD116" s="334"/>
      <c r="AE116" s="334"/>
      <c r="AF116" s="334"/>
      <c r="AG116" s="334"/>
      <c r="AH116" s="334"/>
      <c r="AI116" s="334"/>
      <c r="AJ116" s="334"/>
      <c r="AK116" s="334"/>
      <c r="AL116" s="334"/>
      <c r="AM116" s="334"/>
      <c r="AN116" s="334"/>
      <c r="AO116" s="334"/>
      <c r="AP116" s="334"/>
      <c r="AQ116" s="334"/>
      <c r="AR116" s="334"/>
      <c r="AS116" s="334"/>
      <c r="AT116" s="330">
        <f>43000000+23088939</f>
        <v>66088939</v>
      </c>
      <c r="AU116" s="331">
        <v>24293637</v>
      </c>
      <c r="AV116" s="331">
        <v>24293637</v>
      </c>
      <c r="AW116" s="394"/>
      <c r="AX116" s="331"/>
      <c r="AY116" s="331"/>
      <c r="AZ116" s="330"/>
      <c r="BA116" s="331"/>
      <c r="BB116" s="331"/>
      <c r="BC116" s="394"/>
      <c r="BD116" s="331"/>
      <c r="BE116" s="331"/>
      <c r="BF116" s="462">
        <f t="shared" si="18"/>
        <v>66088939</v>
      </c>
      <c r="BG116" s="462">
        <f t="shared" si="19"/>
        <v>24293637</v>
      </c>
      <c r="BH116" s="462">
        <f t="shared" si="20"/>
        <v>24293637</v>
      </c>
      <c r="BI116" s="396" t="s">
        <v>1469</v>
      </c>
      <c r="BK116" s="327"/>
      <c r="BL116" s="328"/>
    </row>
    <row r="117" spans="1:64" s="326" customFormat="1" ht="117" customHeight="1" x14ac:dyDescent="0.2">
      <c r="A117" s="312">
        <v>312</v>
      </c>
      <c r="B117" s="314" t="s">
        <v>1202</v>
      </c>
      <c r="C117" s="312">
        <v>2</v>
      </c>
      <c r="D117" s="314" t="s">
        <v>1196</v>
      </c>
      <c r="E117" s="312">
        <v>17</v>
      </c>
      <c r="F117" s="314" t="s">
        <v>375</v>
      </c>
      <c r="G117" s="312">
        <v>1709</v>
      </c>
      <c r="H117" s="314" t="s">
        <v>450</v>
      </c>
      <c r="I117" s="312">
        <v>1709</v>
      </c>
      <c r="J117" s="315" t="s">
        <v>1238</v>
      </c>
      <c r="K117" s="321" t="s">
        <v>377</v>
      </c>
      <c r="L117" s="319">
        <v>1709093</v>
      </c>
      <c r="M117" s="315" t="s">
        <v>455</v>
      </c>
      <c r="N117" s="319">
        <v>1709093</v>
      </c>
      <c r="O117" s="315" t="s">
        <v>455</v>
      </c>
      <c r="P117" s="312" t="s">
        <v>456</v>
      </c>
      <c r="Q117" s="316" t="s">
        <v>457</v>
      </c>
      <c r="R117" s="312">
        <v>170909300</v>
      </c>
      <c r="S117" s="316" t="s">
        <v>457</v>
      </c>
      <c r="T117" s="317" t="s">
        <v>1460</v>
      </c>
      <c r="U117" s="345">
        <v>2</v>
      </c>
      <c r="V117" s="345"/>
      <c r="W117" s="318">
        <f t="shared" si="14"/>
        <v>2</v>
      </c>
      <c r="X117" s="385">
        <v>0</v>
      </c>
      <c r="Y117" s="320">
        <v>2020003630024</v>
      </c>
      <c r="Z117" s="344" t="s">
        <v>1169</v>
      </c>
      <c r="AA117" s="321" t="s">
        <v>452</v>
      </c>
      <c r="AB117" s="334"/>
      <c r="AC117" s="334"/>
      <c r="AD117" s="334"/>
      <c r="AE117" s="334"/>
      <c r="AF117" s="334"/>
      <c r="AG117" s="334"/>
      <c r="AH117" s="334"/>
      <c r="AI117" s="334"/>
      <c r="AJ117" s="334"/>
      <c r="AK117" s="334"/>
      <c r="AL117" s="334"/>
      <c r="AM117" s="334"/>
      <c r="AN117" s="334"/>
      <c r="AO117" s="334"/>
      <c r="AP117" s="334"/>
      <c r="AQ117" s="334"/>
      <c r="AR117" s="334"/>
      <c r="AS117" s="334"/>
      <c r="AT117" s="330">
        <v>22000000</v>
      </c>
      <c r="AU117" s="331"/>
      <c r="AV117" s="331"/>
      <c r="AW117" s="394"/>
      <c r="AX117" s="331"/>
      <c r="AY117" s="331"/>
      <c r="AZ117" s="330"/>
      <c r="BA117" s="331"/>
      <c r="BB117" s="331"/>
      <c r="BC117" s="394"/>
      <c r="BD117" s="331"/>
      <c r="BE117" s="331"/>
      <c r="BF117" s="462">
        <f t="shared" si="18"/>
        <v>22000000</v>
      </c>
      <c r="BG117" s="462">
        <f t="shared" si="19"/>
        <v>0</v>
      </c>
      <c r="BH117" s="462">
        <f t="shared" si="20"/>
        <v>0</v>
      </c>
      <c r="BI117" s="396" t="s">
        <v>1469</v>
      </c>
      <c r="BK117" s="327"/>
      <c r="BL117" s="328"/>
    </row>
    <row r="118" spans="1:64" s="399" customFormat="1" ht="117" customHeight="1" x14ac:dyDescent="0.25">
      <c r="A118" s="312">
        <v>312</v>
      </c>
      <c r="B118" s="314" t="s">
        <v>1202</v>
      </c>
      <c r="C118" s="312">
        <v>2</v>
      </c>
      <c r="D118" s="314" t="s">
        <v>1196</v>
      </c>
      <c r="E118" s="312">
        <v>35</v>
      </c>
      <c r="F118" s="314" t="s">
        <v>334</v>
      </c>
      <c r="G118" s="312">
        <v>3502</v>
      </c>
      <c r="H118" s="314" t="s">
        <v>1362</v>
      </c>
      <c r="I118" s="312">
        <v>3502</v>
      </c>
      <c r="J118" s="315" t="s">
        <v>1252</v>
      </c>
      <c r="K118" s="321" t="s">
        <v>458</v>
      </c>
      <c r="L118" s="319">
        <v>3502017</v>
      </c>
      <c r="M118" s="315" t="s">
        <v>459</v>
      </c>
      <c r="N118" s="319">
        <v>3502017</v>
      </c>
      <c r="O118" s="315" t="s">
        <v>459</v>
      </c>
      <c r="P118" s="361" t="s">
        <v>460</v>
      </c>
      <c r="Q118" s="316" t="s">
        <v>461</v>
      </c>
      <c r="R118" s="361">
        <v>350201701</v>
      </c>
      <c r="S118" s="316" t="s">
        <v>461</v>
      </c>
      <c r="T118" s="317" t="s">
        <v>1459</v>
      </c>
      <c r="U118" s="345">
        <v>6</v>
      </c>
      <c r="V118" s="345"/>
      <c r="W118" s="318">
        <f t="shared" si="14"/>
        <v>6</v>
      </c>
      <c r="X118" s="385">
        <v>6</v>
      </c>
      <c r="Y118" s="320">
        <v>2020003630085</v>
      </c>
      <c r="Z118" s="344" t="s">
        <v>462</v>
      </c>
      <c r="AA118" s="321" t="s">
        <v>463</v>
      </c>
      <c r="AB118" s="322"/>
      <c r="AC118" s="322"/>
      <c r="AD118" s="322"/>
      <c r="AE118" s="322"/>
      <c r="AF118" s="322"/>
      <c r="AG118" s="322"/>
      <c r="AH118" s="322"/>
      <c r="AI118" s="322"/>
      <c r="AJ118" s="322"/>
      <c r="AK118" s="322"/>
      <c r="AL118" s="322"/>
      <c r="AM118" s="322"/>
      <c r="AN118" s="322"/>
      <c r="AO118" s="322"/>
      <c r="AP118" s="322"/>
      <c r="AQ118" s="322"/>
      <c r="AR118" s="322"/>
      <c r="AS118" s="322"/>
      <c r="AT118" s="330">
        <f>18000000+9558000</f>
        <v>27558000</v>
      </c>
      <c r="AU118" s="331">
        <v>27558000</v>
      </c>
      <c r="AV118" s="331">
        <v>27558000</v>
      </c>
      <c r="AW118" s="394"/>
      <c r="AX118" s="331"/>
      <c r="AY118" s="331"/>
      <c r="AZ118" s="330"/>
      <c r="BA118" s="331"/>
      <c r="BB118" s="331"/>
      <c r="BC118" s="394"/>
      <c r="BD118" s="331"/>
      <c r="BE118" s="331"/>
      <c r="BF118" s="462">
        <f t="shared" si="18"/>
        <v>27558000</v>
      </c>
      <c r="BG118" s="462">
        <f t="shared" si="19"/>
        <v>27558000</v>
      </c>
      <c r="BH118" s="462">
        <f t="shared" si="20"/>
        <v>27558000</v>
      </c>
      <c r="BI118" s="396" t="s">
        <v>1469</v>
      </c>
      <c r="BK118" s="327"/>
      <c r="BL118" s="328"/>
    </row>
    <row r="119" spans="1:64" s="326" customFormat="1" ht="117" customHeight="1" x14ac:dyDescent="0.2">
      <c r="A119" s="312">
        <v>312</v>
      </c>
      <c r="B119" s="314" t="s">
        <v>1202</v>
      </c>
      <c r="C119" s="312">
        <v>2</v>
      </c>
      <c r="D119" s="314" t="s">
        <v>1196</v>
      </c>
      <c r="E119" s="312">
        <v>35</v>
      </c>
      <c r="F119" s="314" t="s">
        <v>334</v>
      </c>
      <c r="G119" s="312">
        <v>3502</v>
      </c>
      <c r="H119" s="314" t="s">
        <v>1362</v>
      </c>
      <c r="I119" s="312">
        <v>3502</v>
      </c>
      <c r="J119" s="315" t="s">
        <v>1252</v>
      </c>
      <c r="K119" s="384" t="s">
        <v>336</v>
      </c>
      <c r="L119" s="319">
        <v>3502007</v>
      </c>
      <c r="M119" s="315" t="s">
        <v>464</v>
      </c>
      <c r="N119" s="319">
        <v>3502007</v>
      </c>
      <c r="O119" s="315" t="s">
        <v>464</v>
      </c>
      <c r="P119" s="312" t="s">
        <v>343</v>
      </c>
      <c r="Q119" s="316" t="s">
        <v>344</v>
      </c>
      <c r="R119" s="312">
        <v>350200700</v>
      </c>
      <c r="S119" s="315" t="s">
        <v>344</v>
      </c>
      <c r="T119" s="317" t="s">
        <v>1459</v>
      </c>
      <c r="U119" s="320">
        <v>5</v>
      </c>
      <c r="V119" s="320"/>
      <c r="W119" s="318">
        <f t="shared" si="14"/>
        <v>5</v>
      </c>
      <c r="X119" s="312">
        <v>4</v>
      </c>
      <c r="Y119" s="320">
        <v>2020003630085</v>
      </c>
      <c r="Z119" s="344" t="s">
        <v>1382</v>
      </c>
      <c r="AA119" s="321" t="s">
        <v>463</v>
      </c>
      <c r="AB119" s="322"/>
      <c r="AC119" s="322"/>
      <c r="AD119" s="322"/>
      <c r="AE119" s="322"/>
      <c r="AF119" s="322"/>
      <c r="AG119" s="322"/>
      <c r="AH119" s="322"/>
      <c r="AI119" s="322"/>
      <c r="AJ119" s="322"/>
      <c r="AK119" s="322"/>
      <c r="AL119" s="322"/>
      <c r="AM119" s="322"/>
      <c r="AN119" s="322"/>
      <c r="AO119" s="322"/>
      <c r="AP119" s="322"/>
      <c r="AQ119" s="322"/>
      <c r="AR119" s="322"/>
      <c r="AS119" s="322"/>
      <c r="AT119" s="330">
        <v>18000000</v>
      </c>
      <c r="AU119" s="331">
        <v>18000000</v>
      </c>
      <c r="AV119" s="331">
        <v>18000000</v>
      </c>
      <c r="AW119" s="394"/>
      <c r="AX119" s="331"/>
      <c r="AY119" s="331"/>
      <c r="AZ119" s="330"/>
      <c r="BA119" s="331"/>
      <c r="BB119" s="331"/>
      <c r="BC119" s="394"/>
      <c r="BD119" s="331"/>
      <c r="BE119" s="331"/>
      <c r="BF119" s="462">
        <f t="shared" si="18"/>
        <v>18000000</v>
      </c>
      <c r="BG119" s="462">
        <f t="shared" si="19"/>
        <v>18000000</v>
      </c>
      <c r="BH119" s="462">
        <f t="shared" si="20"/>
        <v>18000000</v>
      </c>
      <c r="BI119" s="396" t="s">
        <v>1469</v>
      </c>
      <c r="BK119" s="327"/>
      <c r="BL119" s="328"/>
    </row>
    <row r="120" spans="1:64" s="326" customFormat="1" ht="117" customHeight="1" x14ac:dyDescent="0.2">
      <c r="A120" s="312">
        <v>312</v>
      </c>
      <c r="B120" s="314" t="s">
        <v>1202</v>
      </c>
      <c r="C120" s="312">
        <v>3</v>
      </c>
      <c r="D120" s="314" t="s">
        <v>1197</v>
      </c>
      <c r="E120" s="312">
        <v>32</v>
      </c>
      <c r="F120" s="314" t="s">
        <v>170</v>
      </c>
      <c r="G120" s="312" t="s">
        <v>465</v>
      </c>
      <c r="H120" s="314" t="s">
        <v>466</v>
      </c>
      <c r="I120" s="312" t="s">
        <v>465</v>
      </c>
      <c r="J120" s="315" t="s">
        <v>1245</v>
      </c>
      <c r="K120" s="321" t="s">
        <v>172</v>
      </c>
      <c r="L120" s="319">
        <v>3201013</v>
      </c>
      <c r="M120" s="315" t="s">
        <v>467</v>
      </c>
      <c r="N120" s="319">
        <v>3201013</v>
      </c>
      <c r="O120" s="315" t="s">
        <v>467</v>
      </c>
      <c r="P120" s="361" t="s">
        <v>468</v>
      </c>
      <c r="Q120" s="316" t="s">
        <v>469</v>
      </c>
      <c r="R120" s="361">
        <v>320101300</v>
      </c>
      <c r="S120" s="316" t="s">
        <v>469</v>
      </c>
      <c r="T120" s="317" t="s">
        <v>1460</v>
      </c>
      <c r="U120" s="345">
        <v>1</v>
      </c>
      <c r="V120" s="345"/>
      <c r="W120" s="318">
        <f t="shared" si="14"/>
        <v>1</v>
      </c>
      <c r="X120" s="385">
        <v>1</v>
      </c>
      <c r="Y120" s="320">
        <v>2020003630027</v>
      </c>
      <c r="Z120" s="344" t="s">
        <v>470</v>
      </c>
      <c r="AA120" s="321" t="s">
        <v>471</v>
      </c>
      <c r="AB120" s="366"/>
      <c r="AC120" s="366"/>
      <c r="AD120" s="366"/>
      <c r="AE120" s="366"/>
      <c r="AF120" s="366"/>
      <c r="AG120" s="366"/>
      <c r="AH120" s="366"/>
      <c r="AI120" s="366"/>
      <c r="AJ120" s="366"/>
      <c r="AK120" s="366"/>
      <c r="AL120" s="366"/>
      <c r="AM120" s="366"/>
      <c r="AN120" s="366"/>
      <c r="AO120" s="366"/>
      <c r="AP120" s="366"/>
      <c r="AQ120" s="366"/>
      <c r="AR120" s="366"/>
      <c r="AS120" s="366"/>
      <c r="AT120" s="330">
        <f>32000000+5770000+25005000</f>
        <v>62775000</v>
      </c>
      <c r="AU120" s="331">
        <v>53930000</v>
      </c>
      <c r="AV120" s="331">
        <v>53930000</v>
      </c>
      <c r="AW120" s="394"/>
      <c r="AX120" s="331"/>
      <c r="AY120" s="331"/>
      <c r="AZ120" s="330"/>
      <c r="BA120" s="331"/>
      <c r="BB120" s="331"/>
      <c r="BC120" s="394"/>
      <c r="BD120" s="331"/>
      <c r="BE120" s="331"/>
      <c r="BF120" s="462">
        <f t="shared" si="18"/>
        <v>62775000</v>
      </c>
      <c r="BG120" s="462">
        <f t="shared" si="19"/>
        <v>53930000</v>
      </c>
      <c r="BH120" s="462">
        <f t="shared" si="20"/>
        <v>53930000</v>
      </c>
      <c r="BI120" s="396" t="s">
        <v>1469</v>
      </c>
      <c r="BK120" s="327"/>
      <c r="BL120" s="328"/>
    </row>
    <row r="121" spans="1:64" s="326" customFormat="1" ht="117" customHeight="1" x14ac:dyDescent="0.2">
      <c r="A121" s="312">
        <v>312</v>
      </c>
      <c r="B121" s="314" t="s">
        <v>1202</v>
      </c>
      <c r="C121" s="312">
        <v>3</v>
      </c>
      <c r="D121" s="314" t="s">
        <v>1197</v>
      </c>
      <c r="E121" s="312">
        <v>32</v>
      </c>
      <c r="F121" s="314" t="s">
        <v>170</v>
      </c>
      <c r="G121" s="312" t="s">
        <v>465</v>
      </c>
      <c r="H121" s="314" t="s">
        <v>466</v>
      </c>
      <c r="I121" s="312" t="s">
        <v>465</v>
      </c>
      <c r="J121" s="315" t="s">
        <v>1245</v>
      </c>
      <c r="K121" s="321" t="s">
        <v>172</v>
      </c>
      <c r="L121" s="319">
        <v>3201008</v>
      </c>
      <c r="M121" s="315" t="s">
        <v>472</v>
      </c>
      <c r="N121" s="319">
        <v>3201008</v>
      </c>
      <c r="O121" s="315" t="s">
        <v>472</v>
      </c>
      <c r="P121" s="361" t="s">
        <v>473</v>
      </c>
      <c r="Q121" s="316" t="s">
        <v>474</v>
      </c>
      <c r="R121" s="361">
        <v>320100805</v>
      </c>
      <c r="S121" s="316" t="s">
        <v>474</v>
      </c>
      <c r="T121" s="317" t="s">
        <v>1460</v>
      </c>
      <c r="U121" s="345">
        <v>3</v>
      </c>
      <c r="V121" s="345"/>
      <c r="W121" s="318">
        <f t="shared" si="14"/>
        <v>3</v>
      </c>
      <c r="X121" s="385">
        <v>0</v>
      </c>
      <c r="Y121" s="320">
        <v>2020003630027</v>
      </c>
      <c r="Z121" s="344" t="s">
        <v>470</v>
      </c>
      <c r="AA121" s="321" t="s">
        <v>471</v>
      </c>
      <c r="AB121" s="366"/>
      <c r="AC121" s="366"/>
      <c r="AD121" s="366"/>
      <c r="AE121" s="366"/>
      <c r="AF121" s="366"/>
      <c r="AG121" s="366"/>
      <c r="AH121" s="366"/>
      <c r="AI121" s="366"/>
      <c r="AJ121" s="366"/>
      <c r="AK121" s="366"/>
      <c r="AL121" s="366"/>
      <c r="AM121" s="366"/>
      <c r="AN121" s="366"/>
      <c r="AO121" s="366"/>
      <c r="AP121" s="366"/>
      <c r="AQ121" s="366"/>
      <c r="AR121" s="366"/>
      <c r="AS121" s="366"/>
      <c r="AT121" s="330">
        <v>50000000</v>
      </c>
      <c r="AU121" s="331">
        <v>0</v>
      </c>
      <c r="AV121" s="331">
        <v>0</v>
      </c>
      <c r="AW121" s="394"/>
      <c r="AX121" s="331"/>
      <c r="AY121" s="331"/>
      <c r="AZ121" s="330"/>
      <c r="BA121" s="331"/>
      <c r="BB121" s="331"/>
      <c r="BC121" s="394"/>
      <c r="BD121" s="331"/>
      <c r="BE121" s="331"/>
      <c r="BF121" s="462">
        <f t="shared" si="18"/>
        <v>50000000</v>
      </c>
      <c r="BG121" s="462">
        <f t="shared" si="19"/>
        <v>0</v>
      </c>
      <c r="BH121" s="462">
        <f t="shared" si="20"/>
        <v>0</v>
      </c>
      <c r="BI121" s="396" t="s">
        <v>1469</v>
      </c>
      <c r="BK121" s="327"/>
      <c r="BL121" s="328"/>
    </row>
    <row r="122" spans="1:64" s="326" customFormat="1" ht="117" customHeight="1" x14ac:dyDescent="0.2">
      <c r="A122" s="312">
        <v>312</v>
      </c>
      <c r="B122" s="314" t="s">
        <v>1202</v>
      </c>
      <c r="C122" s="312">
        <v>3</v>
      </c>
      <c r="D122" s="314" t="s">
        <v>1197</v>
      </c>
      <c r="E122" s="312">
        <v>32</v>
      </c>
      <c r="F122" s="314" t="s">
        <v>170</v>
      </c>
      <c r="G122" s="312">
        <v>3202</v>
      </c>
      <c r="H122" s="314" t="s">
        <v>475</v>
      </c>
      <c r="I122" s="312">
        <v>3202</v>
      </c>
      <c r="J122" s="315" t="s">
        <v>1246</v>
      </c>
      <c r="K122" s="321" t="s">
        <v>172</v>
      </c>
      <c r="L122" s="319">
        <v>3202037</v>
      </c>
      <c r="M122" s="315" t="s">
        <v>478</v>
      </c>
      <c r="N122" s="319">
        <v>3202037</v>
      </c>
      <c r="O122" s="315" t="s">
        <v>478</v>
      </c>
      <c r="P122" s="361" t="s">
        <v>479</v>
      </c>
      <c r="Q122" s="316" t="s">
        <v>480</v>
      </c>
      <c r="R122" s="361">
        <v>320203704</v>
      </c>
      <c r="S122" s="316" t="s">
        <v>480</v>
      </c>
      <c r="T122" s="317" t="s">
        <v>1460</v>
      </c>
      <c r="U122" s="345">
        <v>90</v>
      </c>
      <c r="V122" s="345">
        <v>9</v>
      </c>
      <c r="W122" s="318">
        <f t="shared" si="14"/>
        <v>99</v>
      </c>
      <c r="X122" s="385">
        <v>0</v>
      </c>
      <c r="Y122" s="320">
        <v>2020003630086</v>
      </c>
      <c r="Z122" s="344" t="s">
        <v>1381</v>
      </c>
      <c r="AA122" s="321" t="s">
        <v>477</v>
      </c>
      <c r="AB122" s="322"/>
      <c r="AC122" s="322"/>
      <c r="AD122" s="322"/>
      <c r="AE122" s="322"/>
      <c r="AF122" s="322"/>
      <c r="AG122" s="322"/>
      <c r="AH122" s="322"/>
      <c r="AI122" s="322"/>
      <c r="AJ122" s="322"/>
      <c r="AK122" s="322"/>
      <c r="AL122" s="322"/>
      <c r="AM122" s="322"/>
      <c r="AN122" s="322"/>
      <c r="AO122" s="322"/>
      <c r="AP122" s="322"/>
      <c r="AQ122" s="322"/>
      <c r="AR122" s="322"/>
      <c r="AS122" s="322"/>
      <c r="AT122" s="330">
        <v>50000000</v>
      </c>
      <c r="AU122" s="331"/>
      <c r="AV122" s="331"/>
      <c r="AW122" s="394"/>
      <c r="AX122" s="331"/>
      <c r="AY122" s="331"/>
      <c r="AZ122" s="330"/>
      <c r="BA122" s="331"/>
      <c r="BB122" s="331"/>
      <c r="BC122" s="394"/>
      <c r="BD122" s="331"/>
      <c r="BE122" s="331"/>
      <c r="BF122" s="462">
        <f t="shared" si="18"/>
        <v>50000000</v>
      </c>
      <c r="BG122" s="462">
        <f t="shared" si="19"/>
        <v>0</v>
      </c>
      <c r="BH122" s="462">
        <f t="shared" si="20"/>
        <v>0</v>
      </c>
      <c r="BI122" s="396" t="s">
        <v>1469</v>
      </c>
      <c r="BK122" s="327"/>
      <c r="BL122" s="328"/>
    </row>
    <row r="123" spans="1:64" s="326" customFormat="1" ht="117" customHeight="1" x14ac:dyDescent="0.2">
      <c r="A123" s="312">
        <v>312</v>
      </c>
      <c r="B123" s="314" t="s">
        <v>1202</v>
      </c>
      <c r="C123" s="312">
        <v>3</v>
      </c>
      <c r="D123" s="314" t="s">
        <v>1197</v>
      </c>
      <c r="E123" s="312">
        <v>32</v>
      </c>
      <c r="F123" s="314" t="s">
        <v>170</v>
      </c>
      <c r="G123" s="312">
        <v>3202</v>
      </c>
      <c r="H123" s="314" t="s">
        <v>475</v>
      </c>
      <c r="I123" s="312">
        <v>3202</v>
      </c>
      <c r="J123" s="315" t="s">
        <v>1246</v>
      </c>
      <c r="K123" s="321" t="s">
        <v>172</v>
      </c>
      <c r="L123" s="312" t="s">
        <v>31</v>
      </c>
      <c r="M123" s="315" t="s">
        <v>481</v>
      </c>
      <c r="N123" s="388">
        <v>3202037</v>
      </c>
      <c r="O123" s="315" t="s">
        <v>478</v>
      </c>
      <c r="P123" s="312" t="s">
        <v>31</v>
      </c>
      <c r="Q123" s="316" t="s">
        <v>482</v>
      </c>
      <c r="R123" s="388">
        <v>320203700</v>
      </c>
      <c r="S123" s="316" t="s">
        <v>483</v>
      </c>
      <c r="T123" s="317" t="s">
        <v>1460</v>
      </c>
      <c r="U123" s="345">
        <v>60</v>
      </c>
      <c r="V123" s="400">
        <v>1.7</v>
      </c>
      <c r="W123" s="363">
        <f t="shared" si="14"/>
        <v>61.7</v>
      </c>
      <c r="X123" s="385">
        <v>62</v>
      </c>
      <c r="Y123" s="320">
        <v>2020003630086</v>
      </c>
      <c r="Z123" s="344" t="s">
        <v>1381</v>
      </c>
      <c r="AA123" s="321" t="s">
        <v>477</v>
      </c>
      <c r="AB123" s="322"/>
      <c r="AC123" s="322"/>
      <c r="AD123" s="322"/>
      <c r="AE123" s="322"/>
      <c r="AF123" s="322"/>
      <c r="AG123" s="322"/>
      <c r="AH123" s="322"/>
      <c r="AI123" s="322"/>
      <c r="AJ123" s="322"/>
      <c r="AK123" s="322"/>
      <c r="AL123" s="322"/>
      <c r="AM123" s="322"/>
      <c r="AN123" s="322"/>
      <c r="AO123" s="322"/>
      <c r="AP123" s="322"/>
      <c r="AQ123" s="322"/>
      <c r="AR123" s="322"/>
      <c r="AS123" s="322"/>
      <c r="AT123" s="330">
        <f>599170989+13333647+693747421.84</f>
        <v>1306252057.8400002</v>
      </c>
      <c r="AU123" s="331">
        <v>434477166.32999998</v>
      </c>
      <c r="AV123" s="331">
        <v>410894499.32999998</v>
      </c>
      <c r="AW123" s="394"/>
      <c r="AX123" s="331"/>
      <c r="AY123" s="331"/>
      <c r="AZ123" s="330"/>
      <c r="BA123" s="331"/>
      <c r="BB123" s="331"/>
      <c r="BC123" s="394"/>
      <c r="BD123" s="331"/>
      <c r="BE123" s="331"/>
      <c r="BF123" s="462">
        <f t="shared" si="18"/>
        <v>1306252057.8400002</v>
      </c>
      <c r="BG123" s="462">
        <f t="shared" si="19"/>
        <v>434477166.32999998</v>
      </c>
      <c r="BH123" s="462">
        <f t="shared" si="20"/>
        <v>410894499.32999998</v>
      </c>
      <c r="BI123" s="396" t="s">
        <v>1469</v>
      </c>
      <c r="BK123" s="327"/>
      <c r="BL123" s="328"/>
    </row>
    <row r="124" spans="1:64" s="326" customFormat="1" ht="117" customHeight="1" x14ac:dyDescent="0.2">
      <c r="A124" s="312">
        <v>312</v>
      </c>
      <c r="B124" s="314" t="s">
        <v>1202</v>
      </c>
      <c r="C124" s="312">
        <v>3</v>
      </c>
      <c r="D124" s="314" t="s">
        <v>1197</v>
      </c>
      <c r="E124" s="312">
        <v>32</v>
      </c>
      <c r="F124" s="314" t="s">
        <v>170</v>
      </c>
      <c r="G124" s="312">
        <v>3202</v>
      </c>
      <c r="H124" s="314" t="s">
        <v>475</v>
      </c>
      <c r="I124" s="312">
        <v>3202</v>
      </c>
      <c r="J124" s="315" t="s">
        <v>1246</v>
      </c>
      <c r="K124" s="321" t="s">
        <v>172</v>
      </c>
      <c r="L124" s="312">
        <v>3202017</v>
      </c>
      <c r="M124" s="315" t="s">
        <v>484</v>
      </c>
      <c r="N124" s="319">
        <v>3202043</v>
      </c>
      <c r="O124" s="315" t="s">
        <v>485</v>
      </c>
      <c r="P124" s="312" t="s">
        <v>486</v>
      </c>
      <c r="Q124" s="316" t="s">
        <v>487</v>
      </c>
      <c r="R124" s="361">
        <v>320204300</v>
      </c>
      <c r="S124" s="316" t="s">
        <v>488</v>
      </c>
      <c r="T124" s="317" t="s">
        <v>1459</v>
      </c>
      <c r="U124" s="401">
        <v>1</v>
      </c>
      <c r="V124" s="401"/>
      <c r="W124" s="318">
        <f t="shared" si="14"/>
        <v>1</v>
      </c>
      <c r="X124" s="402">
        <v>1</v>
      </c>
      <c r="Y124" s="320">
        <v>2020003630086</v>
      </c>
      <c r="Z124" s="344" t="s">
        <v>1381</v>
      </c>
      <c r="AA124" s="321" t="s">
        <v>477</v>
      </c>
      <c r="AB124" s="322"/>
      <c r="AC124" s="322"/>
      <c r="AD124" s="322"/>
      <c r="AE124" s="322"/>
      <c r="AF124" s="322"/>
      <c r="AG124" s="322"/>
      <c r="AH124" s="322"/>
      <c r="AI124" s="322"/>
      <c r="AJ124" s="322"/>
      <c r="AK124" s="322"/>
      <c r="AL124" s="322"/>
      <c r="AM124" s="322"/>
      <c r="AN124" s="322"/>
      <c r="AO124" s="322"/>
      <c r="AP124" s="322"/>
      <c r="AQ124" s="322"/>
      <c r="AR124" s="322"/>
      <c r="AS124" s="322"/>
      <c r="AT124" s="330">
        <f>256787568+173436855</f>
        <v>430224423</v>
      </c>
      <c r="AU124" s="331">
        <v>57178000</v>
      </c>
      <c r="AV124" s="331">
        <v>57178000</v>
      </c>
      <c r="AW124" s="394"/>
      <c r="AX124" s="331"/>
      <c r="AY124" s="331"/>
      <c r="AZ124" s="330"/>
      <c r="BA124" s="331"/>
      <c r="BB124" s="331"/>
      <c r="BC124" s="394"/>
      <c r="BD124" s="331"/>
      <c r="BE124" s="331"/>
      <c r="BF124" s="462">
        <f t="shared" si="18"/>
        <v>430224423</v>
      </c>
      <c r="BG124" s="462">
        <f t="shared" si="19"/>
        <v>57178000</v>
      </c>
      <c r="BH124" s="462">
        <f t="shared" si="20"/>
        <v>57178000</v>
      </c>
      <c r="BI124" s="396" t="s">
        <v>1469</v>
      </c>
      <c r="BK124" s="327"/>
      <c r="BL124" s="328"/>
    </row>
    <row r="125" spans="1:64" s="326" customFormat="1" ht="117" customHeight="1" x14ac:dyDescent="0.2">
      <c r="A125" s="312">
        <v>312</v>
      </c>
      <c r="B125" s="314" t="s">
        <v>1202</v>
      </c>
      <c r="C125" s="312">
        <v>3</v>
      </c>
      <c r="D125" s="314" t="s">
        <v>1197</v>
      </c>
      <c r="E125" s="312">
        <v>32</v>
      </c>
      <c r="F125" s="314" t="s">
        <v>170</v>
      </c>
      <c r="G125" s="312">
        <v>3202</v>
      </c>
      <c r="H125" s="314" t="s">
        <v>475</v>
      </c>
      <c r="I125" s="312">
        <v>3202</v>
      </c>
      <c r="J125" s="315" t="s">
        <v>1246</v>
      </c>
      <c r="K125" s="321" t="s">
        <v>172</v>
      </c>
      <c r="L125" s="312" t="s">
        <v>31</v>
      </c>
      <c r="M125" s="315" t="s">
        <v>489</v>
      </c>
      <c r="N125" s="319">
        <v>3202014</v>
      </c>
      <c r="O125" s="315" t="s">
        <v>1135</v>
      </c>
      <c r="P125" s="312" t="s">
        <v>31</v>
      </c>
      <c r="Q125" s="316" t="s">
        <v>490</v>
      </c>
      <c r="R125" s="361">
        <v>320201402</v>
      </c>
      <c r="S125" s="316" t="s">
        <v>491</v>
      </c>
      <c r="T125" s="317" t="s">
        <v>1459</v>
      </c>
      <c r="U125" s="401">
        <v>1</v>
      </c>
      <c r="V125" s="401"/>
      <c r="W125" s="318">
        <f t="shared" si="14"/>
        <v>1</v>
      </c>
      <c r="X125" s="402">
        <v>1</v>
      </c>
      <c r="Y125" s="320">
        <v>2020003630028</v>
      </c>
      <c r="Z125" s="344" t="s">
        <v>492</v>
      </c>
      <c r="AA125" s="321" t="s">
        <v>493</v>
      </c>
      <c r="AB125" s="322"/>
      <c r="AC125" s="322"/>
      <c r="AD125" s="322"/>
      <c r="AE125" s="322"/>
      <c r="AF125" s="322"/>
      <c r="AG125" s="322"/>
      <c r="AH125" s="322"/>
      <c r="AI125" s="322"/>
      <c r="AJ125" s="322"/>
      <c r="AK125" s="322"/>
      <c r="AL125" s="322"/>
      <c r="AM125" s="322"/>
      <c r="AN125" s="322"/>
      <c r="AO125" s="322"/>
      <c r="AP125" s="322"/>
      <c r="AQ125" s="322"/>
      <c r="AR125" s="322"/>
      <c r="AS125" s="322"/>
      <c r="AT125" s="330">
        <f>36000000+15395000</f>
        <v>51395000</v>
      </c>
      <c r="AU125" s="331">
        <v>45472500</v>
      </c>
      <c r="AV125" s="331">
        <v>45472500</v>
      </c>
      <c r="AW125" s="394"/>
      <c r="AX125" s="331"/>
      <c r="AY125" s="331"/>
      <c r="AZ125" s="330"/>
      <c r="BA125" s="331"/>
      <c r="BB125" s="331"/>
      <c r="BC125" s="394"/>
      <c r="BD125" s="331"/>
      <c r="BE125" s="331"/>
      <c r="BF125" s="462">
        <f t="shared" si="18"/>
        <v>51395000</v>
      </c>
      <c r="BG125" s="462">
        <f t="shared" si="19"/>
        <v>45472500</v>
      </c>
      <c r="BH125" s="462">
        <f t="shared" si="20"/>
        <v>45472500</v>
      </c>
      <c r="BI125" s="396" t="s">
        <v>1469</v>
      </c>
      <c r="BK125" s="327"/>
      <c r="BL125" s="328"/>
    </row>
    <row r="126" spans="1:64" s="326" customFormat="1" ht="117" customHeight="1" x14ac:dyDescent="0.2">
      <c r="A126" s="312">
        <v>312</v>
      </c>
      <c r="B126" s="314" t="s">
        <v>1202</v>
      </c>
      <c r="C126" s="312">
        <v>3</v>
      </c>
      <c r="D126" s="314" t="s">
        <v>1197</v>
      </c>
      <c r="E126" s="312">
        <v>32</v>
      </c>
      <c r="F126" s="314" t="s">
        <v>170</v>
      </c>
      <c r="G126" s="312">
        <v>3202</v>
      </c>
      <c r="H126" s="314" t="s">
        <v>475</v>
      </c>
      <c r="I126" s="312">
        <v>3202</v>
      </c>
      <c r="J126" s="315" t="s">
        <v>1246</v>
      </c>
      <c r="K126" s="321" t="s">
        <v>172</v>
      </c>
      <c r="L126" s="312" t="s">
        <v>31</v>
      </c>
      <c r="M126" s="315" t="s">
        <v>494</v>
      </c>
      <c r="N126" s="312">
        <v>3202014</v>
      </c>
      <c r="O126" s="315" t="s">
        <v>1135</v>
      </c>
      <c r="P126" s="312" t="s">
        <v>31</v>
      </c>
      <c r="Q126" s="316" t="s">
        <v>495</v>
      </c>
      <c r="R126" s="312">
        <v>320201402</v>
      </c>
      <c r="S126" s="316" t="s">
        <v>491</v>
      </c>
      <c r="T126" s="317" t="s">
        <v>1460</v>
      </c>
      <c r="U126" s="401">
        <v>1</v>
      </c>
      <c r="V126" s="401"/>
      <c r="W126" s="318">
        <f t="shared" si="14"/>
        <v>1</v>
      </c>
      <c r="X126" s="402">
        <v>1</v>
      </c>
      <c r="Y126" s="320">
        <v>2020003630087</v>
      </c>
      <c r="Z126" s="315" t="s">
        <v>496</v>
      </c>
      <c r="AA126" s="321" t="s">
        <v>497</v>
      </c>
      <c r="AB126" s="322"/>
      <c r="AC126" s="322"/>
      <c r="AD126" s="322"/>
      <c r="AE126" s="322"/>
      <c r="AF126" s="322"/>
      <c r="AG126" s="322"/>
      <c r="AH126" s="322"/>
      <c r="AI126" s="322"/>
      <c r="AJ126" s="322"/>
      <c r="AK126" s="322"/>
      <c r="AL126" s="322"/>
      <c r="AM126" s="322"/>
      <c r="AN126" s="322"/>
      <c r="AO126" s="322"/>
      <c r="AP126" s="322"/>
      <c r="AQ126" s="322"/>
      <c r="AR126" s="322"/>
      <c r="AS126" s="322"/>
      <c r="AT126" s="330">
        <f>54000000+3600000+5550000+5830000</f>
        <v>68980000</v>
      </c>
      <c r="AU126" s="331">
        <v>52104667</v>
      </c>
      <c r="AV126" s="331">
        <v>52104667</v>
      </c>
      <c r="AW126" s="394"/>
      <c r="AX126" s="331"/>
      <c r="AY126" s="331"/>
      <c r="AZ126" s="330"/>
      <c r="BA126" s="331"/>
      <c r="BB126" s="331"/>
      <c r="BC126" s="394"/>
      <c r="BD126" s="331"/>
      <c r="BE126" s="331"/>
      <c r="BF126" s="462">
        <f t="shared" si="18"/>
        <v>68980000</v>
      </c>
      <c r="BG126" s="462">
        <f t="shared" si="19"/>
        <v>52104667</v>
      </c>
      <c r="BH126" s="462">
        <f t="shared" si="20"/>
        <v>52104667</v>
      </c>
      <c r="BI126" s="396" t="s">
        <v>1469</v>
      </c>
      <c r="BK126" s="327"/>
      <c r="BL126" s="328"/>
    </row>
    <row r="127" spans="1:64" s="326" customFormat="1" ht="117" customHeight="1" x14ac:dyDescent="0.2">
      <c r="A127" s="312">
        <v>312</v>
      </c>
      <c r="B127" s="314" t="s">
        <v>1202</v>
      </c>
      <c r="C127" s="312">
        <v>3</v>
      </c>
      <c r="D127" s="314" t="s">
        <v>1197</v>
      </c>
      <c r="E127" s="312">
        <v>32</v>
      </c>
      <c r="F127" s="314" t="s">
        <v>170</v>
      </c>
      <c r="G127" s="312" t="s">
        <v>498</v>
      </c>
      <c r="H127" s="314" t="s">
        <v>499</v>
      </c>
      <c r="I127" s="312" t="s">
        <v>498</v>
      </c>
      <c r="J127" s="315" t="s">
        <v>1247</v>
      </c>
      <c r="K127" s="321" t="s">
        <v>172</v>
      </c>
      <c r="L127" s="319">
        <v>3204012</v>
      </c>
      <c r="M127" s="315" t="s">
        <v>500</v>
      </c>
      <c r="N127" s="319">
        <v>3204012</v>
      </c>
      <c r="O127" s="315" t="s">
        <v>500</v>
      </c>
      <c r="P127" s="361" t="s">
        <v>501</v>
      </c>
      <c r="Q127" s="316" t="s">
        <v>502</v>
      </c>
      <c r="R127" s="361">
        <v>320401200</v>
      </c>
      <c r="S127" s="316" t="s">
        <v>502</v>
      </c>
      <c r="T127" s="317" t="s">
        <v>1460</v>
      </c>
      <c r="U127" s="345">
        <v>4</v>
      </c>
      <c r="V127" s="345">
        <v>1</v>
      </c>
      <c r="W127" s="318">
        <f t="shared" si="14"/>
        <v>5</v>
      </c>
      <c r="X127" s="385">
        <v>5</v>
      </c>
      <c r="Y127" s="320">
        <v>2020003630029</v>
      </c>
      <c r="Z127" s="344" t="s">
        <v>503</v>
      </c>
      <c r="AA127" s="321" t="s">
        <v>504</v>
      </c>
      <c r="AB127" s="322"/>
      <c r="AC127" s="322"/>
      <c r="AD127" s="322"/>
      <c r="AE127" s="322"/>
      <c r="AF127" s="322"/>
      <c r="AG127" s="322"/>
      <c r="AH127" s="322"/>
      <c r="AI127" s="322"/>
      <c r="AJ127" s="322"/>
      <c r="AK127" s="322"/>
      <c r="AL127" s="322"/>
      <c r="AM127" s="322"/>
      <c r="AN127" s="322"/>
      <c r="AO127" s="322"/>
      <c r="AP127" s="322"/>
      <c r="AQ127" s="322"/>
      <c r="AR127" s="322"/>
      <c r="AS127" s="322"/>
      <c r="AT127" s="330">
        <f>120000000+50000000+16200000-50000000</f>
        <v>136200000</v>
      </c>
      <c r="AU127" s="331">
        <v>134756534</v>
      </c>
      <c r="AV127" s="331">
        <v>134756534</v>
      </c>
      <c r="AW127" s="394"/>
      <c r="AX127" s="331"/>
      <c r="AY127" s="331"/>
      <c r="AZ127" s="330"/>
      <c r="BA127" s="331"/>
      <c r="BB127" s="331"/>
      <c r="BC127" s="394"/>
      <c r="BD127" s="331"/>
      <c r="BE127" s="331"/>
      <c r="BF127" s="462">
        <f t="shared" si="18"/>
        <v>136200000</v>
      </c>
      <c r="BG127" s="462">
        <f t="shared" si="19"/>
        <v>134756534</v>
      </c>
      <c r="BH127" s="462">
        <f t="shared" si="20"/>
        <v>134756534</v>
      </c>
      <c r="BI127" s="396" t="s">
        <v>1469</v>
      </c>
      <c r="BK127" s="327"/>
      <c r="BL127" s="328"/>
    </row>
    <row r="128" spans="1:64" s="326" customFormat="1" ht="117" customHeight="1" x14ac:dyDescent="0.2">
      <c r="A128" s="312">
        <v>312</v>
      </c>
      <c r="B128" s="314" t="s">
        <v>1202</v>
      </c>
      <c r="C128" s="312">
        <v>3</v>
      </c>
      <c r="D128" s="314" t="s">
        <v>1197</v>
      </c>
      <c r="E128" s="312">
        <v>32</v>
      </c>
      <c r="F128" s="314" t="s">
        <v>170</v>
      </c>
      <c r="G128" s="312">
        <v>3205</v>
      </c>
      <c r="H128" s="314" t="s">
        <v>171</v>
      </c>
      <c r="I128" s="312">
        <v>3205</v>
      </c>
      <c r="J128" s="315" t="s">
        <v>1248</v>
      </c>
      <c r="K128" s="321" t="s">
        <v>172</v>
      </c>
      <c r="L128" s="319" t="s">
        <v>505</v>
      </c>
      <c r="M128" s="315" t="s">
        <v>506</v>
      </c>
      <c r="N128" s="319" t="s">
        <v>505</v>
      </c>
      <c r="O128" s="315" t="s">
        <v>506</v>
      </c>
      <c r="P128" s="312" t="s">
        <v>507</v>
      </c>
      <c r="Q128" s="315" t="s">
        <v>508</v>
      </c>
      <c r="R128" s="312">
        <v>320500900</v>
      </c>
      <c r="S128" s="316" t="s">
        <v>508</v>
      </c>
      <c r="T128" s="317" t="s">
        <v>1460</v>
      </c>
      <c r="U128" s="345">
        <v>200</v>
      </c>
      <c r="V128" s="345">
        <v>200</v>
      </c>
      <c r="W128" s="318">
        <f t="shared" si="14"/>
        <v>400</v>
      </c>
      <c r="X128" s="385">
        <v>4800</v>
      </c>
      <c r="Y128" s="320">
        <v>2020003630030</v>
      </c>
      <c r="Z128" s="344" t="s">
        <v>1182</v>
      </c>
      <c r="AA128" s="321" t="s">
        <v>509</v>
      </c>
      <c r="AB128" s="390"/>
      <c r="AC128" s="390"/>
      <c r="AD128" s="390"/>
      <c r="AE128" s="322"/>
      <c r="AF128" s="322"/>
      <c r="AG128" s="322"/>
      <c r="AH128" s="322"/>
      <c r="AI128" s="322"/>
      <c r="AJ128" s="322"/>
      <c r="AK128" s="322"/>
      <c r="AL128" s="322"/>
      <c r="AM128" s="322"/>
      <c r="AN128" s="322"/>
      <c r="AO128" s="322"/>
      <c r="AP128" s="322"/>
      <c r="AQ128" s="322"/>
      <c r="AR128" s="322"/>
      <c r="AS128" s="322"/>
      <c r="AT128" s="330">
        <f>20000000+62000000</f>
        <v>82000000</v>
      </c>
      <c r="AU128" s="331">
        <v>62000000</v>
      </c>
      <c r="AV128" s="331">
        <v>62000000</v>
      </c>
      <c r="AW128" s="394"/>
      <c r="AX128" s="331"/>
      <c r="AY128" s="331"/>
      <c r="AZ128" s="330"/>
      <c r="BA128" s="331"/>
      <c r="BB128" s="331"/>
      <c r="BC128" s="394"/>
      <c r="BD128" s="331"/>
      <c r="BE128" s="331"/>
      <c r="BF128" s="462">
        <f t="shared" si="18"/>
        <v>82000000</v>
      </c>
      <c r="BG128" s="462">
        <f t="shared" si="19"/>
        <v>62000000</v>
      </c>
      <c r="BH128" s="462">
        <f t="shared" si="20"/>
        <v>62000000</v>
      </c>
      <c r="BI128" s="396" t="s">
        <v>1469</v>
      </c>
      <c r="BK128" s="327"/>
      <c r="BL128" s="328"/>
    </row>
    <row r="129" spans="1:64" s="326" customFormat="1" ht="117" customHeight="1" x14ac:dyDescent="0.2">
      <c r="A129" s="312">
        <v>312</v>
      </c>
      <c r="B129" s="314" t="s">
        <v>1202</v>
      </c>
      <c r="C129" s="312">
        <v>3</v>
      </c>
      <c r="D129" s="314" t="s">
        <v>1197</v>
      </c>
      <c r="E129" s="312">
        <v>32</v>
      </c>
      <c r="F129" s="314" t="s">
        <v>170</v>
      </c>
      <c r="G129" s="312">
        <v>3205</v>
      </c>
      <c r="H129" s="314" t="s">
        <v>171</v>
      </c>
      <c r="I129" s="312">
        <v>3205</v>
      </c>
      <c r="J129" s="315" t="s">
        <v>1248</v>
      </c>
      <c r="K129" s="321" t="s">
        <v>172</v>
      </c>
      <c r="L129" s="319" t="s">
        <v>510</v>
      </c>
      <c r="M129" s="315" t="s">
        <v>511</v>
      </c>
      <c r="N129" s="319" t="s">
        <v>510</v>
      </c>
      <c r="O129" s="315" t="s">
        <v>511</v>
      </c>
      <c r="P129" s="312" t="s">
        <v>512</v>
      </c>
      <c r="Q129" s="315" t="s">
        <v>513</v>
      </c>
      <c r="R129" s="312">
        <v>320501400</v>
      </c>
      <c r="S129" s="316" t="s">
        <v>513</v>
      </c>
      <c r="T129" s="317" t="s">
        <v>1460</v>
      </c>
      <c r="U129" s="345">
        <v>20</v>
      </c>
      <c r="V129" s="345">
        <v>10</v>
      </c>
      <c r="W129" s="318">
        <f t="shared" si="14"/>
        <v>30</v>
      </c>
      <c r="X129" s="385">
        <v>16</v>
      </c>
      <c r="Y129" s="320">
        <v>2020003630030</v>
      </c>
      <c r="Z129" s="344" t="s">
        <v>1182</v>
      </c>
      <c r="AA129" s="321" t="s">
        <v>509</v>
      </c>
      <c r="AB129" s="390"/>
      <c r="AC129" s="390"/>
      <c r="AD129" s="390"/>
      <c r="AE129" s="322"/>
      <c r="AF129" s="322"/>
      <c r="AG129" s="322"/>
      <c r="AH129" s="322"/>
      <c r="AI129" s="322"/>
      <c r="AJ129" s="322"/>
      <c r="AK129" s="322"/>
      <c r="AL129" s="322"/>
      <c r="AM129" s="322"/>
      <c r="AN129" s="322"/>
      <c r="AO129" s="322"/>
      <c r="AP129" s="322"/>
      <c r="AQ129" s="322"/>
      <c r="AR129" s="322"/>
      <c r="AS129" s="322"/>
      <c r="AT129" s="330">
        <f>20000000+20000000+3770000</f>
        <v>43770000</v>
      </c>
      <c r="AU129" s="331">
        <v>31080000</v>
      </c>
      <c r="AV129" s="331">
        <v>31080000</v>
      </c>
      <c r="AW129" s="394"/>
      <c r="AX129" s="331"/>
      <c r="AY129" s="331"/>
      <c r="AZ129" s="330"/>
      <c r="BA129" s="331"/>
      <c r="BB129" s="331"/>
      <c r="BC129" s="394"/>
      <c r="BD129" s="331"/>
      <c r="BE129" s="331"/>
      <c r="BF129" s="462">
        <f t="shared" si="18"/>
        <v>43770000</v>
      </c>
      <c r="BG129" s="462">
        <f t="shared" si="19"/>
        <v>31080000</v>
      </c>
      <c r="BH129" s="462">
        <f t="shared" si="20"/>
        <v>31080000</v>
      </c>
      <c r="BI129" s="396" t="s">
        <v>1469</v>
      </c>
      <c r="BK129" s="327"/>
      <c r="BL129" s="328"/>
    </row>
    <row r="130" spans="1:64" s="326" customFormat="1" ht="117" customHeight="1" x14ac:dyDescent="0.2">
      <c r="A130" s="312">
        <v>312</v>
      </c>
      <c r="B130" s="314" t="s">
        <v>1202</v>
      </c>
      <c r="C130" s="312">
        <v>3</v>
      </c>
      <c r="D130" s="314" t="s">
        <v>1197</v>
      </c>
      <c r="E130" s="312">
        <v>32</v>
      </c>
      <c r="F130" s="314" t="s">
        <v>170</v>
      </c>
      <c r="G130" s="312">
        <v>3205</v>
      </c>
      <c r="H130" s="314" t="s">
        <v>171</v>
      </c>
      <c r="I130" s="312">
        <v>3205</v>
      </c>
      <c r="J130" s="315" t="s">
        <v>1248</v>
      </c>
      <c r="K130" s="321" t="s">
        <v>172</v>
      </c>
      <c r="L130" s="319">
        <v>3205010</v>
      </c>
      <c r="M130" s="315" t="s">
        <v>173</v>
      </c>
      <c r="N130" s="319">
        <v>3205010</v>
      </c>
      <c r="O130" s="315" t="s">
        <v>173</v>
      </c>
      <c r="P130" s="312" t="s">
        <v>174</v>
      </c>
      <c r="Q130" s="315" t="s">
        <v>175</v>
      </c>
      <c r="R130" s="312">
        <v>320501000</v>
      </c>
      <c r="S130" s="316" t="s">
        <v>175</v>
      </c>
      <c r="T130" s="317" t="s">
        <v>1460</v>
      </c>
      <c r="U130" s="345">
        <v>1</v>
      </c>
      <c r="V130" s="345">
        <v>1</v>
      </c>
      <c r="W130" s="318">
        <f t="shared" si="14"/>
        <v>2</v>
      </c>
      <c r="X130" s="385">
        <v>2</v>
      </c>
      <c r="Y130" s="320">
        <v>2020003630030</v>
      </c>
      <c r="Z130" s="344" t="s">
        <v>1182</v>
      </c>
      <c r="AA130" s="321" t="s">
        <v>509</v>
      </c>
      <c r="AB130" s="390"/>
      <c r="AC130" s="390"/>
      <c r="AD130" s="390"/>
      <c r="AE130" s="322"/>
      <c r="AF130" s="322"/>
      <c r="AG130" s="322"/>
      <c r="AH130" s="322"/>
      <c r="AI130" s="322"/>
      <c r="AJ130" s="322"/>
      <c r="AK130" s="322"/>
      <c r="AL130" s="322"/>
      <c r="AM130" s="322"/>
      <c r="AN130" s="322"/>
      <c r="AO130" s="322"/>
      <c r="AP130" s="322"/>
      <c r="AQ130" s="322"/>
      <c r="AR130" s="322"/>
      <c r="AS130" s="322"/>
      <c r="AT130" s="330">
        <v>42000000</v>
      </c>
      <c r="AU130" s="331">
        <v>0</v>
      </c>
      <c r="AV130" s="331">
        <v>0</v>
      </c>
      <c r="AW130" s="394"/>
      <c r="AX130" s="331"/>
      <c r="AY130" s="331"/>
      <c r="AZ130" s="330"/>
      <c r="BA130" s="331"/>
      <c r="BB130" s="331"/>
      <c r="BC130" s="394"/>
      <c r="BD130" s="331"/>
      <c r="BE130" s="331"/>
      <c r="BF130" s="462">
        <f t="shared" si="18"/>
        <v>42000000</v>
      </c>
      <c r="BG130" s="462">
        <f t="shared" si="19"/>
        <v>0</v>
      </c>
      <c r="BH130" s="462">
        <f t="shared" si="20"/>
        <v>0</v>
      </c>
      <c r="BI130" s="396" t="s">
        <v>1469</v>
      </c>
      <c r="BK130" s="327"/>
      <c r="BL130" s="328"/>
    </row>
    <row r="131" spans="1:64" s="326" customFormat="1" ht="117" customHeight="1" x14ac:dyDescent="0.2">
      <c r="A131" s="312">
        <v>312</v>
      </c>
      <c r="B131" s="314" t="s">
        <v>1202</v>
      </c>
      <c r="C131" s="312">
        <v>3</v>
      </c>
      <c r="D131" s="314" t="s">
        <v>1197</v>
      </c>
      <c r="E131" s="312">
        <v>32</v>
      </c>
      <c r="F131" s="314" t="s">
        <v>170</v>
      </c>
      <c r="G131" s="312" t="s">
        <v>514</v>
      </c>
      <c r="H131" s="314" t="s">
        <v>515</v>
      </c>
      <c r="I131" s="312" t="s">
        <v>514</v>
      </c>
      <c r="J131" s="315" t="s">
        <v>1249</v>
      </c>
      <c r="K131" s="321" t="s">
        <v>172</v>
      </c>
      <c r="L131" s="319" t="s">
        <v>516</v>
      </c>
      <c r="M131" s="315" t="s">
        <v>517</v>
      </c>
      <c r="N131" s="319" t="s">
        <v>516</v>
      </c>
      <c r="O131" s="315" t="s">
        <v>517</v>
      </c>
      <c r="P131" s="361" t="s">
        <v>518</v>
      </c>
      <c r="Q131" s="316" t="s">
        <v>519</v>
      </c>
      <c r="R131" s="361">
        <v>320600500</v>
      </c>
      <c r="S131" s="316" t="s">
        <v>519</v>
      </c>
      <c r="T131" s="317" t="s">
        <v>1460</v>
      </c>
      <c r="U131" s="345">
        <v>4</v>
      </c>
      <c r="V131" s="345">
        <v>2</v>
      </c>
      <c r="W131" s="318">
        <f t="shared" si="14"/>
        <v>6</v>
      </c>
      <c r="X131" s="385">
        <v>7</v>
      </c>
      <c r="Y131" s="320">
        <v>2020003630088</v>
      </c>
      <c r="Z131" s="344" t="s">
        <v>1183</v>
      </c>
      <c r="AA131" s="321" t="s">
        <v>520</v>
      </c>
      <c r="AB131" s="322"/>
      <c r="AC131" s="322"/>
      <c r="AD131" s="322"/>
      <c r="AE131" s="322"/>
      <c r="AF131" s="322"/>
      <c r="AG131" s="322"/>
      <c r="AH131" s="322"/>
      <c r="AI131" s="322"/>
      <c r="AJ131" s="322"/>
      <c r="AK131" s="322"/>
      <c r="AL131" s="322"/>
      <c r="AM131" s="322"/>
      <c r="AN131" s="322"/>
      <c r="AO131" s="322"/>
      <c r="AP131" s="322"/>
      <c r="AQ131" s="322"/>
      <c r="AR131" s="322"/>
      <c r="AS131" s="322"/>
      <c r="AT131" s="330">
        <v>25000000</v>
      </c>
      <c r="AU131" s="331">
        <v>9279600</v>
      </c>
      <c r="AV131" s="331">
        <v>9279600</v>
      </c>
      <c r="AW131" s="394"/>
      <c r="AX131" s="331"/>
      <c r="AY131" s="331"/>
      <c r="AZ131" s="330"/>
      <c r="BA131" s="331"/>
      <c r="BB131" s="331"/>
      <c r="BC131" s="394"/>
      <c r="BD131" s="331"/>
      <c r="BE131" s="331"/>
      <c r="BF131" s="462">
        <f t="shared" si="18"/>
        <v>25000000</v>
      </c>
      <c r="BG131" s="462">
        <f t="shared" si="19"/>
        <v>9279600</v>
      </c>
      <c r="BH131" s="462">
        <f t="shared" si="20"/>
        <v>9279600</v>
      </c>
      <c r="BI131" s="396" t="s">
        <v>1469</v>
      </c>
      <c r="BK131" s="327"/>
      <c r="BL131" s="328"/>
    </row>
    <row r="132" spans="1:64" s="326" customFormat="1" ht="117" customHeight="1" x14ac:dyDescent="0.2">
      <c r="A132" s="312">
        <v>312</v>
      </c>
      <c r="B132" s="314" t="s">
        <v>1202</v>
      </c>
      <c r="C132" s="312">
        <v>3</v>
      </c>
      <c r="D132" s="314" t="s">
        <v>1197</v>
      </c>
      <c r="E132" s="312">
        <v>32</v>
      </c>
      <c r="F132" s="314" t="s">
        <v>170</v>
      </c>
      <c r="G132" s="312" t="s">
        <v>514</v>
      </c>
      <c r="H132" s="314" t="s">
        <v>515</v>
      </c>
      <c r="I132" s="312" t="s">
        <v>514</v>
      </c>
      <c r="J132" s="315" t="s">
        <v>1249</v>
      </c>
      <c r="K132" s="321" t="s">
        <v>172</v>
      </c>
      <c r="L132" s="319">
        <v>3206014</v>
      </c>
      <c r="M132" s="315" t="s">
        <v>521</v>
      </c>
      <c r="N132" s="319">
        <v>3206014</v>
      </c>
      <c r="O132" s="315" t="s">
        <v>521</v>
      </c>
      <c r="P132" s="361" t="s">
        <v>522</v>
      </c>
      <c r="Q132" s="316" t="s">
        <v>523</v>
      </c>
      <c r="R132" s="361">
        <v>320601400</v>
      </c>
      <c r="S132" s="316" t="s">
        <v>523</v>
      </c>
      <c r="T132" s="317" t="s">
        <v>1460</v>
      </c>
      <c r="U132" s="345">
        <v>2000</v>
      </c>
      <c r="V132" s="345">
        <v>18</v>
      </c>
      <c r="W132" s="318">
        <f t="shared" si="14"/>
        <v>2018</v>
      </c>
      <c r="X132" s="385">
        <v>15443</v>
      </c>
      <c r="Y132" s="320">
        <v>2020003630088</v>
      </c>
      <c r="Z132" s="344" t="s">
        <v>1183</v>
      </c>
      <c r="AA132" s="321" t="s">
        <v>520</v>
      </c>
      <c r="AB132" s="322"/>
      <c r="AC132" s="322"/>
      <c r="AD132" s="322"/>
      <c r="AE132" s="322"/>
      <c r="AF132" s="322"/>
      <c r="AG132" s="322"/>
      <c r="AH132" s="322"/>
      <c r="AI132" s="322"/>
      <c r="AJ132" s="322"/>
      <c r="AK132" s="322"/>
      <c r="AL132" s="322"/>
      <c r="AM132" s="322"/>
      <c r="AN132" s="322"/>
      <c r="AO132" s="322"/>
      <c r="AP132" s="322"/>
      <c r="AQ132" s="322"/>
      <c r="AR132" s="322"/>
      <c r="AS132" s="322"/>
      <c r="AT132" s="330">
        <f>18000000+5000000</f>
        <v>23000000</v>
      </c>
      <c r="AU132" s="331">
        <v>20327500</v>
      </c>
      <c r="AV132" s="331">
        <v>20327500</v>
      </c>
      <c r="AW132" s="394"/>
      <c r="AX132" s="331"/>
      <c r="AY132" s="331"/>
      <c r="AZ132" s="330"/>
      <c r="BA132" s="331"/>
      <c r="BB132" s="331"/>
      <c r="BC132" s="394"/>
      <c r="BD132" s="331"/>
      <c r="BE132" s="331"/>
      <c r="BF132" s="462">
        <f t="shared" si="18"/>
        <v>23000000</v>
      </c>
      <c r="BG132" s="462">
        <f t="shared" si="19"/>
        <v>20327500</v>
      </c>
      <c r="BH132" s="462">
        <f t="shared" si="20"/>
        <v>20327500</v>
      </c>
      <c r="BI132" s="396" t="s">
        <v>1469</v>
      </c>
      <c r="BK132" s="327"/>
      <c r="BL132" s="328"/>
    </row>
    <row r="133" spans="1:64" s="326" customFormat="1" ht="117" customHeight="1" x14ac:dyDescent="0.2">
      <c r="A133" s="312">
        <v>312</v>
      </c>
      <c r="B133" s="314" t="s">
        <v>1202</v>
      </c>
      <c r="C133" s="312">
        <v>3</v>
      </c>
      <c r="D133" s="314" t="s">
        <v>1197</v>
      </c>
      <c r="E133" s="312">
        <v>32</v>
      </c>
      <c r="F133" s="314" t="s">
        <v>170</v>
      </c>
      <c r="G133" s="312" t="s">
        <v>514</v>
      </c>
      <c r="H133" s="314" t="s">
        <v>515</v>
      </c>
      <c r="I133" s="312" t="s">
        <v>514</v>
      </c>
      <c r="J133" s="315" t="s">
        <v>1249</v>
      </c>
      <c r="K133" s="321" t="s">
        <v>172</v>
      </c>
      <c r="L133" s="319" t="s">
        <v>524</v>
      </c>
      <c r="M133" s="315" t="s">
        <v>525</v>
      </c>
      <c r="N133" s="319" t="s">
        <v>524</v>
      </c>
      <c r="O133" s="315" t="s">
        <v>525</v>
      </c>
      <c r="P133" s="361" t="s">
        <v>526</v>
      </c>
      <c r="Q133" s="316" t="s">
        <v>527</v>
      </c>
      <c r="R133" s="361">
        <v>320601500</v>
      </c>
      <c r="S133" s="316" t="s">
        <v>527</v>
      </c>
      <c r="T133" s="317" t="s">
        <v>1460</v>
      </c>
      <c r="U133" s="345">
        <v>30</v>
      </c>
      <c r="V133" s="345">
        <v>20</v>
      </c>
      <c r="W133" s="318">
        <f t="shared" si="14"/>
        <v>50</v>
      </c>
      <c r="X133" s="385">
        <v>120</v>
      </c>
      <c r="Y133" s="320">
        <v>2020003630088</v>
      </c>
      <c r="Z133" s="344" t="s">
        <v>1183</v>
      </c>
      <c r="AA133" s="321" t="s">
        <v>520</v>
      </c>
      <c r="AB133" s="322"/>
      <c r="AC133" s="322"/>
      <c r="AD133" s="322"/>
      <c r="AE133" s="322"/>
      <c r="AF133" s="322"/>
      <c r="AG133" s="322"/>
      <c r="AH133" s="322"/>
      <c r="AI133" s="322"/>
      <c r="AJ133" s="322"/>
      <c r="AK133" s="322"/>
      <c r="AL133" s="322"/>
      <c r="AM133" s="322"/>
      <c r="AN133" s="322"/>
      <c r="AO133" s="322"/>
      <c r="AP133" s="322"/>
      <c r="AQ133" s="322"/>
      <c r="AR133" s="322"/>
      <c r="AS133" s="322"/>
      <c r="AT133" s="330">
        <f>75000000+75000000</f>
        <v>150000000</v>
      </c>
      <c r="AU133" s="331">
        <v>150000000</v>
      </c>
      <c r="AV133" s="331">
        <v>150000000</v>
      </c>
      <c r="AW133" s="394"/>
      <c r="AX133" s="331"/>
      <c r="AY133" s="331"/>
      <c r="AZ133" s="330"/>
      <c r="BA133" s="331"/>
      <c r="BB133" s="331"/>
      <c r="BC133" s="394"/>
      <c r="BD133" s="331"/>
      <c r="BE133" s="331"/>
      <c r="BF133" s="462">
        <f t="shared" si="18"/>
        <v>150000000</v>
      </c>
      <c r="BG133" s="462">
        <f t="shared" si="19"/>
        <v>150000000</v>
      </c>
      <c r="BH133" s="462">
        <f t="shared" si="20"/>
        <v>150000000</v>
      </c>
      <c r="BI133" s="396" t="s">
        <v>1469</v>
      </c>
      <c r="BK133" s="327"/>
      <c r="BL133" s="328"/>
    </row>
    <row r="134" spans="1:64" s="326" customFormat="1" ht="150.75" customHeight="1" x14ac:dyDescent="0.2">
      <c r="A134" s="312">
        <v>313</v>
      </c>
      <c r="B134" s="314" t="s">
        <v>1492</v>
      </c>
      <c r="C134" s="312">
        <v>4</v>
      </c>
      <c r="D134" s="314" t="s">
        <v>1191</v>
      </c>
      <c r="E134" s="312">
        <v>45</v>
      </c>
      <c r="F134" s="314" t="s">
        <v>28</v>
      </c>
      <c r="G134" s="312" t="s">
        <v>31</v>
      </c>
      <c r="H134" s="314" t="s">
        <v>1226</v>
      </c>
      <c r="I134" s="312">
        <v>4599</v>
      </c>
      <c r="J134" s="315" t="s">
        <v>1227</v>
      </c>
      <c r="K134" s="321" t="s">
        <v>30</v>
      </c>
      <c r="L134" s="312" t="s">
        <v>31</v>
      </c>
      <c r="M134" s="321" t="s">
        <v>529</v>
      </c>
      <c r="N134" s="312">
        <v>4599023</v>
      </c>
      <c r="O134" s="315" t="s">
        <v>96</v>
      </c>
      <c r="P134" s="312" t="s">
        <v>31</v>
      </c>
      <c r="Q134" s="333" t="s">
        <v>530</v>
      </c>
      <c r="R134" s="312">
        <v>459902304</v>
      </c>
      <c r="S134" s="316" t="s">
        <v>531</v>
      </c>
      <c r="T134" s="317" t="s">
        <v>1459</v>
      </c>
      <c r="U134" s="401">
        <v>1</v>
      </c>
      <c r="V134" s="401"/>
      <c r="W134" s="318">
        <f t="shared" si="14"/>
        <v>1</v>
      </c>
      <c r="X134" s="402">
        <v>0.7</v>
      </c>
      <c r="Y134" s="379">
        <v>2021003630005</v>
      </c>
      <c r="Z134" s="321" t="s">
        <v>532</v>
      </c>
      <c r="AA134" s="321" t="s">
        <v>533</v>
      </c>
      <c r="AB134" s="322"/>
      <c r="AC134" s="322"/>
      <c r="AD134" s="322"/>
      <c r="AE134" s="322"/>
      <c r="AF134" s="322"/>
      <c r="AG134" s="322"/>
      <c r="AH134" s="322"/>
      <c r="AI134" s="322"/>
      <c r="AJ134" s="322"/>
      <c r="AK134" s="322"/>
      <c r="AL134" s="322"/>
      <c r="AM134" s="322"/>
      <c r="AN134" s="322"/>
      <c r="AO134" s="322"/>
      <c r="AP134" s="322"/>
      <c r="AQ134" s="322"/>
      <c r="AR134" s="322"/>
      <c r="AS134" s="322"/>
      <c r="AT134" s="342">
        <f>250000000-100000000+58000000+53200000+20000000</f>
        <v>281200000</v>
      </c>
      <c r="AU134" s="342">
        <v>281130067</v>
      </c>
      <c r="AV134" s="342">
        <v>281130067</v>
      </c>
      <c r="AW134" s="323"/>
      <c r="AX134" s="322"/>
      <c r="AY134" s="322"/>
      <c r="AZ134" s="324"/>
      <c r="BA134" s="322"/>
      <c r="BB134" s="322"/>
      <c r="BC134" s="323"/>
      <c r="BD134" s="322"/>
      <c r="BE134" s="322"/>
      <c r="BF134" s="462">
        <f t="shared" si="18"/>
        <v>281200000</v>
      </c>
      <c r="BG134" s="462">
        <f t="shared" si="19"/>
        <v>281130067</v>
      </c>
      <c r="BH134" s="462">
        <f t="shared" si="20"/>
        <v>281130067</v>
      </c>
      <c r="BI134" s="315" t="s">
        <v>1492</v>
      </c>
      <c r="BK134" s="327"/>
      <c r="BL134" s="328"/>
    </row>
    <row r="135" spans="1:64" s="326" customFormat="1" ht="117" customHeight="1" x14ac:dyDescent="0.2">
      <c r="A135" s="312">
        <v>313</v>
      </c>
      <c r="B135" s="314" t="s">
        <v>1492</v>
      </c>
      <c r="C135" s="312">
        <v>4</v>
      </c>
      <c r="D135" s="314" t="s">
        <v>1191</v>
      </c>
      <c r="E135" s="312">
        <v>45</v>
      </c>
      <c r="F135" s="314" t="s">
        <v>28</v>
      </c>
      <c r="G135" s="312" t="s">
        <v>31</v>
      </c>
      <c r="H135" s="314" t="s">
        <v>1226</v>
      </c>
      <c r="I135" s="312">
        <v>4599</v>
      </c>
      <c r="J135" s="315" t="s">
        <v>1227</v>
      </c>
      <c r="K135" s="321" t="s">
        <v>30</v>
      </c>
      <c r="L135" s="312" t="s">
        <v>31</v>
      </c>
      <c r="M135" s="315" t="s">
        <v>534</v>
      </c>
      <c r="N135" s="312">
        <v>4599029</v>
      </c>
      <c r="O135" s="315" t="s">
        <v>50</v>
      </c>
      <c r="P135" s="312" t="s">
        <v>31</v>
      </c>
      <c r="Q135" s="316" t="s">
        <v>535</v>
      </c>
      <c r="R135" s="388">
        <v>459902900</v>
      </c>
      <c r="S135" s="316" t="s">
        <v>52</v>
      </c>
      <c r="T135" s="317" t="s">
        <v>1459</v>
      </c>
      <c r="U135" s="401">
        <v>1</v>
      </c>
      <c r="V135" s="401"/>
      <c r="W135" s="318">
        <f t="shared" si="14"/>
        <v>1</v>
      </c>
      <c r="X135" s="402">
        <v>1</v>
      </c>
      <c r="Y135" s="320">
        <v>2020003630090</v>
      </c>
      <c r="Z135" s="315" t="s">
        <v>536</v>
      </c>
      <c r="AA135" s="321" t="s">
        <v>537</v>
      </c>
      <c r="AB135" s="322"/>
      <c r="AC135" s="322"/>
      <c r="AD135" s="322"/>
      <c r="AE135" s="322"/>
      <c r="AF135" s="322"/>
      <c r="AG135" s="322"/>
      <c r="AH135" s="322"/>
      <c r="AI135" s="322"/>
      <c r="AJ135" s="322"/>
      <c r="AK135" s="322"/>
      <c r="AL135" s="322"/>
      <c r="AM135" s="322"/>
      <c r="AN135" s="322"/>
      <c r="AO135" s="322"/>
      <c r="AP135" s="322"/>
      <c r="AQ135" s="322"/>
      <c r="AR135" s="322"/>
      <c r="AS135" s="322"/>
      <c r="AT135" s="342">
        <f>300000000+520000000+160000000+100000000+90000000+499400000+50000000</f>
        <v>1719400000</v>
      </c>
      <c r="AU135" s="342">
        <v>1714691791.1300001</v>
      </c>
      <c r="AV135" s="342">
        <v>1703841786.98</v>
      </c>
      <c r="AW135" s="323"/>
      <c r="AX135" s="322"/>
      <c r="AY135" s="322"/>
      <c r="AZ135" s="324"/>
      <c r="BA135" s="322"/>
      <c r="BB135" s="322"/>
      <c r="BC135" s="323"/>
      <c r="BD135" s="322"/>
      <c r="BE135" s="322"/>
      <c r="BF135" s="462">
        <f t="shared" si="18"/>
        <v>1719400000</v>
      </c>
      <c r="BG135" s="462">
        <f t="shared" si="19"/>
        <v>1714691791.1300001</v>
      </c>
      <c r="BH135" s="462">
        <f t="shared" si="20"/>
        <v>1703841786.98</v>
      </c>
      <c r="BI135" s="315" t="s">
        <v>1492</v>
      </c>
      <c r="BK135" s="327"/>
      <c r="BL135" s="328"/>
    </row>
    <row r="136" spans="1:64" s="326" customFormat="1" ht="117" customHeight="1" x14ac:dyDescent="0.2">
      <c r="A136" s="312">
        <v>313</v>
      </c>
      <c r="B136" s="314" t="s">
        <v>1492</v>
      </c>
      <c r="C136" s="312">
        <v>4</v>
      </c>
      <c r="D136" s="314" t="s">
        <v>1191</v>
      </c>
      <c r="E136" s="312">
        <v>45</v>
      </c>
      <c r="F136" s="314" t="s">
        <v>28</v>
      </c>
      <c r="G136" s="312">
        <v>4502</v>
      </c>
      <c r="H136" s="314" t="s">
        <v>1223</v>
      </c>
      <c r="I136" s="312">
        <v>4502</v>
      </c>
      <c r="J136" s="315" t="s">
        <v>1222</v>
      </c>
      <c r="K136" s="321" t="s">
        <v>48</v>
      </c>
      <c r="L136" s="312" t="s">
        <v>31</v>
      </c>
      <c r="M136" s="315" t="s">
        <v>538</v>
      </c>
      <c r="N136" s="312">
        <v>4502001</v>
      </c>
      <c r="O136" s="315" t="s">
        <v>58</v>
      </c>
      <c r="P136" s="312" t="s">
        <v>31</v>
      </c>
      <c r="Q136" s="316" t="s">
        <v>539</v>
      </c>
      <c r="R136" s="312">
        <v>450200100</v>
      </c>
      <c r="S136" s="316" t="s">
        <v>60</v>
      </c>
      <c r="T136" s="317" t="s">
        <v>1459</v>
      </c>
      <c r="U136" s="345">
        <v>30</v>
      </c>
      <c r="V136" s="345"/>
      <c r="W136" s="318">
        <f t="shared" si="14"/>
        <v>30</v>
      </c>
      <c r="X136" s="385">
        <v>30</v>
      </c>
      <c r="Y136" s="320">
        <v>2020003630031</v>
      </c>
      <c r="Z136" s="315" t="s">
        <v>540</v>
      </c>
      <c r="AA136" s="321" t="s">
        <v>541</v>
      </c>
      <c r="AB136" s="366"/>
      <c r="AC136" s="366"/>
      <c r="AD136" s="366"/>
      <c r="AE136" s="366"/>
      <c r="AF136" s="366"/>
      <c r="AG136" s="366"/>
      <c r="AH136" s="366"/>
      <c r="AI136" s="366"/>
      <c r="AJ136" s="366"/>
      <c r="AK136" s="366"/>
      <c r="AL136" s="366"/>
      <c r="AM136" s="366"/>
      <c r="AN136" s="366"/>
      <c r="AO136" s="366"/>
      <c r="AP136" s="366"/>
      <c r="AQ136" s="366"/>
      <c r="AR136" s="366"/>
      <c r="AS136" s="366"/>
      <c r="AT136" s="342">
        <f>145000000+40052800+26400000+30000000+30000000</f>
        <v>271452800</v>
      </c>
      <c r="AU136" s="342">
        <v>269574997</v>
      </c>
      <c r="AV136" s="342">
        <v>269574997</v>
      </c>
      <c r="AW136" s="367"/>
      <c r="AX136" s="366"/>
      <c r="AY136" s="366"/>
      <c r="AZ136" s="368"/>
      <c r="BA136" s="366"/>
      <c r="BB136" s="366"/>
      <c r="BC136" s="367"/>
      <c r="BD136" s="366"/>
      <c r="BE136" s="366"/>
      <c r="BF136" s="462">
        <f t="shared" si="18"/>
        <v>271452800</v>
      </c>
      <c r="BG136" s="462">
        <f t="shared" si="19"/>
        <v>269574997</v>
      </c>
      <c r="BH136" s="462">
        <f t="shared" si="20"/>
        <v>269574997</v>
      </c>
      <c r="BI136" s="315" t="s">
        <v>1492</v>
      </c>
      <c r="BK136" s="327"/>
      <c r="BL136" s="328"/>
    </row>
    <row r="137" spans="1:64" s="326" customFormat="1" ht="149.25" customHeight="1" x14ac:dyDescent="0.2">
      <c r="A137" s="312">
        <v>313</v>
      </c>
      <c r="B137" s="314" t="s">
        <v>1492</v>
      </c>
      <c r="C137" s="312">
        <v>4</v>
      </c>
      <c r="D137" s="314" t="s">
        <v>1191</v>
      </c>
      <c r="E137" s="312">
        <v>45</v>
      </c>
      <c r="F137" s="314" t="s">
        <v>28</v>
      </c>
      <c r="G137" s="312" t="s">
        <v>31</v>
      </c>
      <c r="H137" s="314" t="s">
        <v>1226</v>
      </c>
      <c r="I137" s="312">
        <v>4599</v>
      </c>
      <c r="J137" s="315" t="s">
        <v>1227</v>
      </c>
      <c r="K137" s="321" t="s">
        <v>30</v>
      </c>
      <c r="L137" s="312" t="s">
        <v>31</v>
      </c>
      <c r="M137" s="321" t="s">
        <v>529</v>
      </c>
      <c r="N137" s="312">
        <v>4599023</v>
      </c>
      <c r="O137" s="315" t="s">
        <v>96</v>
      </c>
      <c r="P137" s="312" t="s">
        <v>31</v>
      </c>
      <c r="Q137" s="333" t="s">
        <v>530</v>
      </c>
      <c r="R137" s="312">
        <v>459902304</v>
      </c>
      <c r="S137" s="316" t="s">
        <v>531</v>
      </c>
      <c r="T137" s="317" t="s">
        <v>1459</v>
      </c>
      <c r="U137" s="401">
        <v>1</v>
      </c>
      <c r="V137" s="401"/>
      <c r="W137" s="318">
        <f>U137+V137</f>
        <v>1</v>
      </c>
      <c r="X137" s="385">
        <v>0</v>
      </c>
      <c r="Y137" s="320">
        <v>2022003630012</v>
      </c>
      <c r="Z137" s="315" t="s">
        <v>1497</v>
      </c>
      <c r="AA137" s="321" t="s">
        <v>1498</v>
      </c>
      <c r="AB137" s="366"/>
      <c r="AC137" s="366"/>
      <c r="AD137" s="366"/>
      <c r="AE137" s="366"/>
      <c r="AF137" s="366"/>
      <c r="AG137" s="366"/>
      <c r="AH137" s="366"/>
      <c r="AI137" s="366"/>
      <c r="AJ137" s="366"/>
      <c r="AK137" s="366"/>
      <c r="AL137" s="366"/>
      <c r="AM137" s="366"/>
      <c r="AN137" s="366"/>
      <c r="AO137" s="366"/>
      <c r="AP137" s="366"/>
      <c r="AQ137" s="366"/>
      <c r="AR137" s="366"/>
      <c r="AS137" s="366"/>
      <c r="AT137" s="343">
        <v>400000000</v>
      </c>
      <c r="AU137" s="342"/>
      <c r="AV137" s="342"/>
      <c r="AW137" s="367"/>
      <c r="AX137" s="366"/>
      <c r="AY137" s="366"/>
      <c r="AZ137" s="368"/>
      <c r="BA137" s="366"/>
      <c r="BB137" s="366"/>
      <c r="BC137" s="367"/>
      <c r="BD137" s="366"/>
      <c r="BE137" s="366"/>
      <c r="BF137" s="462">
        <f t="shared" si="18"/>
        <v>400000000</v>
      </c>
      <c r="BG137" s="462">
        <f t="shared" si="19"/>
        <v>0</v>
      </c>
      <c r="BH137" s="462">
        <f t="shared" si="20"/>
        <v>0</v>
      </c>
      <c r="BI137" s="315" t="s">
        <v>1492</v>
      </c>
      <c r="BK137" s="327"/>
      <c r="BL137" s="328"/>
    </row>
    <row r="138" spans="1:64" s="326" customFormat="1" ht="117" customHeight="1" x14ac:dyDescent="0.2">
      <c r="A138" s="312">
        <v>314</v>
      </c>
      <c r="B138" s="314" t="s">
        <v>1203</v>
      </c>
      <c r="C138" s="312">
        <v>1</v>
      </c>
      <c r="D138" s="314" t="s">
        <v>1200</v>
      </c>
      <c r="E138" s="312">
        <v>22</v>
      </c>
      <c r="F138" s="314" t="s">
        <v>124</v>
      </c>
      <c r="G138" s="312">
        <v>2201</v>
      </c>
      <c r="H138" s="314" t="s">
        <v>229</v>
      </c>
      <c r="I138" s="312">
        <v>2201</v>
      </c>
      <c r="J138" s="315" t="s">
        <v>1241</v>
      </c>
      <c r="K138" s="321" t="s">
        <v>543</v>
      </c>
      <c r="L138" s="312">
        <v>2201030</v>
      </c>
      <c r="M138" s="315" t="s">
        <v>544</v>
      </c>
      <c r="N138" s="312">
        <v>2201030</v>
      </c>
      <c r="O138" s="315" t="s">
        <v>544</v>
      </c>
      <c r="P138" s="391">
        <v>220103000</v>
      </c>
      <c r="Q138" s="316" t="s">
        <v>545</v>
      </c>
      <c r="R138" s="391">
        <v>220103000</v>
      </c>
      <c r="S138" s="316" t="s">
        <v>545</v>
      </c>
      <c r="T138" s="317" t="s">
        <v>1459</v>
      </c>
      <c r="U138" s="345">
        <v>2500</v>
      </c>
      <c r="V138" s="345"/>
      <c r="W138" s="318">
        <f t="shared" si="14"/>
        <v>2500</v>
      </c>
      <c r="X138" s="329">
        <v>2031</v>
      </c>
      <c r="Y138" s="320">
        <v>2020003630091</v>
      </c>
      <c r="Z138" s="315" t="s">
        <v>546</v>
      </c>
      <c r="AA138" s="321" t="s">
        <v>547</v>
      </c>
      <c r="AB138" s="322"/>
      <c r="AC138" s="322"/>
      <c r="AD138" s="322"/>
      <c r="AE138" s="322"/>
      <c r="AF138" s="322"/>
      <c r="AG138" s="322"/>
      <c r="AH138" s="322"/>
      <c r="AI138" s="322"/>
      <c r="AJ138" s="322"/>
      <c r="AK138" s="322"/>
      <c r="AL138" s="322"/>
      <c r="AM138" s="322"/>
      <c r="AN138" s="322">
        <f>1410325000-78898983-78898984-18569221.41-2316467.37-1831292.63</f>
        <v>1229810051.5899999</v>
      </c>
      <c r="AO138" s="322">
        <v>1229327252.5000002</v>
      </c>
      <c r="AP138" s="322">
        <v>1229327252.5000002</v>
      </c>
      <c r="AQ138" s="322"/>
      <c r="AR138" s="322"/>
      <c r="AS138" s="322"/>
      <c r="AT138" s="343"/>
      <c r="AU138" s="342"/>
      <c r="AV138" s="342"/>
      <c r="AW138" s="323"/>
      <c r="AX138" s="322"/>
      <c r="AY138" s="322"/>
      <c r="AZ138" s="324"/>
      <c r="BA138" s="322"/>
      <c r="BB138" s="322"/>
      <c r="BC138" s="323"/>
      <c r="BD138" s="322"/>
      <c r="BE138" s="322"/>
      <c r="BF138" s="462">
        <f t="shared" si="18"/>
        <v>1229810051.5899999</v>
      </c>
      <c r="BG138" s="462">
        <f t="shared" si="19"/>
        <v>1229327252.5000002</v>
      </c>
      <c r="BH138" s="462">
        <f t="shared" si="20"/>
        <v>1229327252.5000002</v>
      </c>
      <c r="BI138" s="332" t="s">
        <v>1472</v>
      </c>
      <c r="BK138" s="327"/>
      <c r="BL138" s="328"/>
    </row>
    <row r="139" spans="1:64" s="326" customFormat="1" ht="117" customHeight="1" x14ac:dyDescent="0.2">
      <c r="A139" s="312">
        <v>314</v>
      </c>
      <c r="B139" s="314" t="s">
        <v>1203</v>
      </c>
      <c r="C139" s="312">
        <v>1</v>
      </c>
      <c r="D139" s="314" t="s">
        <v>1200</v>
      </c>
      <c r="E139" s="312">
        <v>22</v>
      </c>
      <c r="F139" s="314" t="s">
        <v>124</v>
      </c>
      <c r="G139" s="312">
        <v>2201</v>
      </c>
      <c r="H139" s="314" t="s">
        <v>229</v>
      </c>
      <c r="I139" s="312">
        <v>2201</v>
      </c>
      <c r="J139" s="315" t="s">
        <v>1241</v>
      </c>
      <c r="K139" s="321" t="s">
        <v>548</v>
      </c>
      <c r="L139" s="312">
        <v>2201033</v>
      </c>
      <c r="M139" s="315" t="s">
        <v>549</v>
      </c>
      <c r="N139" s="312">
        <v>2201033</v>
      </c>
      <c r="O139" s="315" t="s">
        <v>549</v>
      </c>
      <c r="P139" s="391">
        <v>220103300</v>
      </c>
      <c r="Q139" s="316" t="s">
        <v>550</v>
      </c>
      <c r="R139" s="391">
        <v>220103300</v>
      </c>
      <c r="S139" s="316" t="s">
        <v>550</v>
      </c>
      <c r="T139" s="317" t="s">
        <v>1460</v>
      </c>
      <c r="U139" s="345">
        <v>9000</v>
      </c>
      <c r="V139" s="345"/>
      <c r="W139" s="318">
        <f t="shared" si="14"/>
        <v>9000</v>
      </c>
      <c r="X139" s="329">
        <v>11068</v>
      </c>
      <c r="Y139" s="320">
        <v>2020003630091</v>
      </c>
      <c r="Z139" s="315" t="s">
        <v>546</v>
      </c>
      <c r="AA139" s="321" t="s">
        <v>547</v>
      </c>
      <c r="AB139" s="322"/>
      <c r="AC139" s="322"/>
      <c r="AD139" s="322"/>
      <c r="AE139" s="322"/>
      <c r="AF139" s="322"/>
      <c r="AG139" s="322"/>
      <c r="AH139" s="322"/>
      <c r="AI139" s="322"/>
      <c r="AJ139" s="322"/>
      <c r="AK139" s="322"/>
      <c r="AL139" s="322"/>
      <c r="AM139" s="322"/>
      <c r="AN139" s="322"/>
      <c r="AO139" s="322"/>
      <c r="AP139" s="322"/>
      <c r="AQ139" s="322"/>
      <c r="AR139" s="322"/>
      <c r="AS139" s="322"/>
      <c r="AT139" s="392">
        <f>18000000-8000000</f>
        <v>10000000</v>
      </c>
      <c r="AU139" s="365">
        <v>4713632</v>
      </c>
      <c r="AV139" s="365">
        <v>4713632</v>
      </c>
      <c r="AW139" s="323"/>
      <c r="AX139" s="322"/>
      <c r="AY139" s="322"/>
      <c r="AZ139" s="324"/>
      <c r="BA139" s="322"/>
      <c r="BB139" s="322"/>
      <c r="BC139" s="323"/>
      <c r="BD139" s="322"/>
      <c r="BE139" s="322"/>
      <c r="BF139" s="462">
        <f t="shared" si="18"/>
        <v>10000000</v>
      </c>
      <c r="BG139" s="462">
        <f t="shared" si="19"/>
        <v>4713632</v>
      </c>
      <c r="BH139" s="462">
        <f t="shared" si="20"/>
        <v>4713632</v>
      </c>
      <c r="BI139" s="332" t="s">
        <v>1472</v>
      </c>
      <c r="BK139" s="327"/>
      <c r="BL139" s="328"/>
    </row>
    <row r="140" spans="1:64" s="326" customFormat="1" ht="117" customHeight="1" x14ac:dyDescent="0.2">
      <c r="A140" s="312">
        <v>314</v>
      </c>
      <c r="B140" s="314" t="s">
        <v>1203</v>
      </c>
      <c r="C140" s="312">
        <v>1</v>
      </c>
      <c r="D140" s="314" t="s">
        <v>1200</v>
      </c>
      <c r="E140" s="312">
        <v>22</v>
      </c>
      <c r="F140" s="314" t="s">
        <v>124</v>
      </c>
      <c r="G140" s="312">
        <v>2201</v>
      </c>
      <c r="H140" s="314" t="s">
        <v>229</v>
      </c>
      <c r="I140" s="312">
        <v>2201</v>
      </c>
      <c r="J140" s="315" t="s">
        <v>1241</v>
      </c>
      <c r="K140" s="321" t="s">
        <v>551</v>
      </c>
      <c r="L140" s="312">
        <v>2201032</v>
      </c>
      <c r="M140" s="315" t="s">
        <v>552</v>
      </c>
      <c r="N140" s="312">
        <v>2201032</v>
      </c>
      <c r="O140" s="315" t="s">
        <v>552</v>
      </c>
      <c r="P140" s="319">
        <v>220103200</v>
      </c>
      <c r="Q140" s="316" t="s">
        <v>553</v>
      </c>
      <c r="R140" s="319">
        <v>220103200</v>
      </c>
      <c r="S140" s="316" t="s">
        <v>553</v>
      </c>
      <c r="T140" s="317" t="s">
        <v>1460</v>
      </c>
      <c r="U140" s="345">
        <v>200</v>
      </c>
      <c r="V140" s="345"/>
      <c r="W140" s="318">
        <f t="shared" si="14"/>
        <v>200</v>
      </c>
      <c r="X140" s="329">
        <v>261</v>
      </c>
      <c r="Y140" s="320">
        <v>2020003630091</v>
      </c>
      <c r="Z140" s="315" t="s">
        <v>546</v>
      </c>
      <c r="AA140" s="321" t="s">
        <v>547</v>
      </c>
      <c r="AB140" s="322"/>
      <c r="AC140" s="322"/>
      <c r="AD140" s="322"/>
      <c r="AE140" s="322"/>
      <c r="AF140" s="322"/>
      <c r="AG140" s="322"/>
      <c r="AH140" s="322"/>
      <c r="AI140" s="322"/>
      <c r="AJ140" s="322"/>
      <c r="AK140" s="322"/>
      <c r="AL140" s="322"/>
      <c r="AM140" s="322"/>
      <c r="AN140" s="322"/>
      <c r="AO140" s="322"/>
      <c r="AP140" s="322"/>
      <c r="AQ140" s="322"/>
      <c r="AR140" s="322"/>
      <c r="AS140" s="322"/>
      <c r="AT140" s="392">
        <f>10000000-5000000+12310000</f>
        <v>17310000</v>
      </c>
      <c r="AU140" s="365">
        <v>17275000</v>
      </c>
      <c r="AV140" s="365">
        <v>17275000</v>
      </c>
      <c r="AW140" s="323"/>
      <c r="AX140" s="322"/>
      <c r="AY140" s="322"/>
      <c r="AZ140" s="324"/>
      <c r="BA140" s="322"/>
      <c r="BB140" s="322"/>
      <c r="BC140" s="323"/>
      <c r="BD140" s="322"/>
      <c r="BE140" s="322"/>
      <c r="BF140" s="462">
        <f t="shared" si="18"/>
        <v>17310000</v>
      </c>
      <c r="BG140" s="462">
        <f t="shared" si="19"/>
        <v>17275000</v>
      </c>
      <c r="BH140" s="462">
        <f t="shared" si="20"/>
        <v>17275000</v>
      </c>
      <c r="BI140" s="332" t="s">
        <v>1472</v>
      </c>
      <c r="BK140" s="327"/>
      <c r="BL140" s="328"/>
    </row>
    <row r="141" spans="1:64" s="326" customFormat="1" ht="117" customHeight="1" x14ac:dyDescent="0.2">
      <c r="A141" s="312">
        <v>314</v>
      </c>
      <c r="B141" s="314" t="s">
        <v>1203</v>
      </c>
      <c r="C141" s="312">
        <v>1</v>
      </c>
      <c r="D141" s="314" t="s">
        <v>1200</v>
      </c>
      <c r="E141" s="312">
        <v>22</v>
      </c>
      <c r="F141" s="314" t="s">
        <v>124</v>
      </c>
      <c r="G141" s="312">
        <v>2201</v>
      </c>
      <c r="H141" s="314" t="s">
        <v>229</v>
      </c>
      <c r="I141" s="312">
        <v>2201</v>
      </c>
      <c r="J141" s="315" t="s">
        <v>1241</v>
      </c>
      <c r="K141" s="321" t="s">
        <v>554</v>
      </c>
      <c r="L141" s="312">
        <v>2201055</v>
      </c>
      <c r="M141" s="315" t="s">
        <v>555</v>
      </c>
      <c r="N141" s="312">
        <v>2201055</v>
      </c>
      <c r="O141" s="315" t="s">
        <v>555</v>
      </c>
      <c r="P141" s="391">
        <v>220105500</v>
      </c>
      <c r="Q141" s="316" t="s">
        <v>556</v>
      </c>
      <c r="R141" s="391">
        <v>220105500</v>
      </c>
      <c r="S141" s="316" t="s">
        <v>556</v>
      </c>
      <c r="T141" s="317" t="s">
        <v>1459</v>
      </c>
      <c r="U141" s="345">
        <v>1</v>
      </c>
      <c r="V141" s="345"/>
      <c r="W141" s="318">
        <f t="shared" si="14"/>
        <v>1</v>
      </c>
      <c r="X141" s="329">
        <v>1</v>
      </c>
      <c r="Y141" s="320">
        <v>2020003630091</v>
      </c>
      <c r="Z141" s="344" t="s">
        <v>546</v>
      </c>
      <c r="AA141" s="321" t="s">
        <v>547</v>
      </c>
      <c r="AB141" s="322"/>
      <c r="AC141" s="322"/>
      <c r="AD141" s="322"/>
      <c r="AE141" s="322"/>
      <c r="AF141" s="322"/>
      <c r="AG141" s="322"/>
      <c r="AH141" s="322"/>
      <c r="AI141" s="322"/>
      <c r="AJ141" s="322"/>
      <c r="AK141" s="322"/>
      <c r="AL141" s="322"/>
      <c r="AM141" s="322"/>
      <c r="AN141" s="322">
        <f>51000000-4254320</f>
        <v>46745680</v>
      </c>
      <c r="AO141" s="322">
        <v>46745680</v>
      </c>
      <c r="AP141" s="322">
        <v>46745680</v>
      </c>
      <c r="AQ141" s="322"/>
      <c r="AR141" s="322"/>
      <c r="AS141" s="322"/>
      <c r="AT141" s="343">
        <v>0</v>
      </c>
      <c r="AU141" s="342"/>
      <c r="AV141" s="342"/>
      <c r="AW141" s="323"/>
      <c r="AX141" s="322"/>
      <c r="AY141" s="322"/>
      <c r="AZ141" s="324"/>
      <c r="BA141" s="322"/>
      <c r="BB141" s="322"/>
      <c r="BC141" s="323"/>
      <c r="BD141" s="322"/>
      <c r="BE141" s="322"/>
      <c r="BF141" s="462">
        <f t="shared" si="18"/>
        <v>46745680</v>
      </c>
      <c r="BG141" s="462">
        <f t="shared" si="19"/>
        <v>46745680</v>
      </c>
      <c r="BH141" s="462">
        <f t="shared" si="20"/>
        <v>46745680</v>
      </c>
      <c r="BI141" s="332" t="s">
        <v>1472</v>
      </c>
      <c r="BK141" s="327"/>
      <c r="BL141" s="328"/>
    </row>
    <row r="142" spans="1:64" s="326" customFormat="1" ht="117" customHeight="1" x14ac:dyDescent="0.2">
      <c r="A142" s="312">
        <v>314</v>
      </c>
      <c r="B142" s="314" t="s">
        <v>1203</v>
      </c>
      <c r="C142" s="312">
        <v>1</v>
      </c>
      <c r="D142" s="314" t="s">
        <v>1200</v>
      </c>
      <c r="E142" s="312">
        <v>22</v>
      </c>
      <c r="F142" s="314" t="s">
        <v>124</v>
      </c>
      <c r="G142" s="312">
        <v>2201</v>
      </c>
      <c r="H142" s="314" t="s">
        <v>229</v>
      </c>
      <c r="I142" s="312">
        <v>2201</v>
      </c>
      <c r="J142" s="315" t="s">
        <v>1241</v>
      </c>
      <c r="K142" s="321" t="s">
        <v>557</v>
      </c>
      <c r="L142" s="312">
        <v>2201067</v>
      </c>
      <c r="M142" s="315" t="s">
        <v>558</v>
      </c>
      <c r="N142" s="312">
        <v>2201067</v>
      </c>
      <c r="O142" s="315" t="s">
        <v>558</v>
      </c>
      <c r="P142" s="319">
        <v>220106700</v>
      </c>
      <c r="Q142" s="316" t="s">
        <v>559</v>
      </c>
      <c r="R142" s="319">
        <v>220106700</v>
      </c>
      <c r="S142" s="316" t="s">
        <v>559</v>
      </c>
      <c r="T142" s="317" t="s">
        <v>1459</v>
      </c>
      <c r="U142" s="345">
        <v>54</v>
      </c>
      <c r="V142" s="345"/>
      <c r="W142" s="318">
        <f t="shared" si="14"/>
        <v>54</v>
      </c>
      <c r="X142" s="329">
        <v>54</v>
      </c>
      <c r="Y142" s="320">
        <v>2020003630091</v>
      </c>
      <c r="Z142" s="344" t="s">
        <v>546</v>
      </c>
      <c r="AA142" s="321" t="s">
        <v>547</v>
      </c>
      <c r="AB142" s="322"/>
      <c r="AC142" s="322"/>
      <c r="AD142" s="322"/>
      <c r="AE142" s="322"/>
      <c r="AF142" s="322"/>
      <c r="AG142" s="322"/>
      <c r="AH142" s="322"/>
      <c r="AI142" s="322"/>
      <c r="AJ142" s="322"/>
      <c r="AK142" s="322"/>
      <c r="AL142" s="322"/>
      <c r="AM142" s="322"/>
      <c r="AN142" s="322"/>
      <c r="AO142" s="322"/>
      <c r="AP142" s="322"/>
      <c r="AQ142" s="322"/>
      <c r="AR142" s="322"/>
      <c r="AS142" s="322"/>
      <c r="AT142" s="392">
        <v>10000000</v>
      </c>
      <c r="AU142" s="365">
        <v>10000000</v>
      </c>
      <c r="AV142" s="365">
        <v>10000000</v>
      </c>
      <c r="AW142" s="323"/>
      <c r="AX142" s="322"/>
      <c r="AY142" s="322"/>
      <c r="AZ142" s="324"/>
      <c r="BA142" s="322"/>
      <c r="BB142" s="322"/>
      <c r="BC142" s="323"/>
      <c r="BD142" s="322"/>
      <c r="BE142" s="322"/>
      <c r="BF142" s="462">
        <f t="shared" si="18"/>
        <v>10000000</v>
      </c>
      <c r="BG142" s="462">
        <f t="shared" si="19"/>
        <v>10000000</v>
      </c>
      <c r="BH142" s="462">
        <f t="shared" si="20"/>
        <v>10000000</v>
      </c>
      <c r="BI142" s="332" t="s">
        <v>1472</v>
      </c>
      <c r="BK142" s="327"/>
      <c r="BL142" s="328"/>
    </row>
    <row r="143" spans="1:64" s="326" customFormat="1" ht="117" customHeight="1" x14ac:dyDescent="0.2">
      <c r="A143" s="312">
        <v>314</v>
      </c>
      <c r="B143" s="314" t="s">
        <v>1203</v>
      </c>
      <c r="C143" s="312">
        <v>1</v>
      </c>
      <c r="D143" s="314" t="s">
        <v>1200</v>
      </c>
      <c r="E143" s="312">
        <v>22</v>
      </c>
      <c r="F143" s="314" t="s">
        <v>124</v>
      </c>
      <c r="G143" s="312">
        <v>2201</v>
      </c>
      <c r="H143" s="314" t="s">
        <v>229</v>
      </c>
      <c r="I143" s="312">
        <v>2201</v>
      </c>
      <c r="J143" s="315" t="s">
        <v>1241</v>
      </c>
      <c r="K143" s="321" t="s">
        <v>557</v>
      </c>
      <c r="L143" s="312">
        <v>2201028</v>
      </c>
      <c r="M143" s="315" t="s">
        <v>560</v>
      </c>
      <c r="N143" s="312">
        <v>2201028</v>
      </c>
      <c r="O143" s="315" t="s">
        <v>560</v>
      </c>
      <c r="P143" s="391">
        <v>220102801</v>
      </c>
      <c r="Q143" s="316" t="s">
        <v>561</v>
      </c>
      <c r="R143" s="391">
        <v>220102801</v>
      </c>
      <c r="S143" s="316" t="s">
        <v>561</v>
      </c>
      <c r="T143" s="317" t="s">
        <v>1459</v>
      </c>
      <c r="U143" s="345">
        <v>36000</v>
      </c>
      <c r="V143" s="345"/>
      <c r="W143" s="318">
        <f t="shared" si="14"/>
        <v>36000</v>
      </c>
      <c r="X143" s="329">
        <v>29625</v>
      </c>
      <c r="Y143" s="320">
        <v>2020003630091</v>
      </c>
      <c r="Z143" s="315" t="s">
        <v>546</v>
      </c>
      <c r="AA143" s="321" t="s">
        <v>547</v>
      </c>
      <c r="AB143" s="322"/>
      <c r="AC143" s="322"/>
      <c r="AD143" s="322"/>
      <c r="AE143" s="322"/>
      <c r="AF143" s="322"/>
      <c r="AG143" s="322"/>
      <c r="AH143" s="322"/>
      <c r="AI143" s="322"/>
      <c r="AJ143" s="322"/>
      <c r="AK143" s="322"/>
      <c r="AL143" s="322"/>
      <c r="AM143" s="322"/>
      <c r="AN143" s="322">
        <f>1675000+3309366-84366</f>
        <v>4900000</v>
      </c>
      <c r="AO143" s="365">
        <v>4900000</v>
      </c>
      <c r="AP143" s="365">
        <v>4900000</v>
      </c>
      <c r="AQ143" s="322"/>
      <c r="AR143" s="322"/>
      <c r="AS143" s="322"/>
      <c r="AT143" s="392">
        <f>250000000+225377120.55+1391068738+4200000000-50000000-30000000-844841845-200000000-67000000-130000000-432599927-58610315-1070000000-15000000-91900000-263170671</f>
        <v>2813323100.5500002</v>
      </c>
      <c r="AU143" s="365">
        <v>2363480638.5</v>
      </c>
      <c r="AV143" s="365">
        <v>2113480638.5</v>
      </c>
      <c r="AW143" s="365">
        <v>150081.03</v>
      </c>
      <c r="AX143" s="365"/>
      <c r="AY143" s="365"/>
      <c r="AZ143" s="392"/>
      <c r="BA143" s="365"/>
      <c r="BB143" s="365"/>
      <c r="BC143" s="386">
        <f>10000000+11000000000+872663092.48+581849058.05+433811595.4-1742525233-290000000+365686555</f>
        <v>11231485067.929998</v>
      </c>
      <c r="BD143" s="365">
        <v>10534139821</v>
      </c>
      <c r="BE143" s="365">
        <v>8462170626.9799995</v>
      </c>
      <c r="BF143" s="462">
        <f t="shared" si="18"/>
        <v>14049858249.509998</v>
      </c>
      <c r="BG143" s="462">
        <f t="shared" si="19"/>
        <v>12902520459.5</v>
      </c>
      <c r="BH143" s="462">
        <f t="shared" si="20"/>
        <v>10580551265.48</v>
      </c>
      <c r="BI143" s="332" t="s">
        <v>1472</v>
      </c>
      <c r="BK143" s="327"/>
      <c r="BL143" s="328"/>
    </row>
    <row r="144" spans="1:64" s="326" customFormat="1" ht="117" customHeight="1" x14ac:dyDescent="0.2">
      <c r="A144" s="312">
        <v>314</v>
      </c>
      <c r="B144" s="314" t="s">
        <v>1203</v>
      </c>
      <c r="C144" s="312">
        <v>1</v>
      </c>
      <c r="D144" s="314" t="s">
        <v>1200</v>
      </c>
      <c r="E144" s="312">
        <v>22</v>
      </c>
      <c r="F144" s="314" t="s">
        <v>124</v>
      </c>
      <c r="G144" s="312">
        <v>2201</v>
      </c>
      <c r="H144" s="314" t="s">
        <v>229</v>
      </c>
      <c r="I144" s="312">
        <v>2201</v>
      </c>
      <c r="J144" s="315" t="s">
        <v>1241</v>
      </c>
      <c r="K144" s="321" t="s">
        <v>557</v>
      </c>
      <c r="L144" s="312">
        <v>2201029</v>
      </c>
      <c r="M144" s="315" t="s">
        <v>562</v>
      </c>
      <c r="N144" s="312">
        <v>2201029</v>
      </c>
      <c r="O144" s="315" t="s">
        <v>562</v>
      </c>
      <c r="P144" s="391">
        <v>220102900</v>
      </c>
      <c r="Q144" s="316" t="s">
        <v>563</v>
      </c>
      <c r="R144" s="391">
        <v>220102900</v>
      </c>
      <c r="S144" s="316" t="s">
        <v>563</v>
      </c>
      <c r="T144" s="317" t="s">
        <v>1460</v>
      </c>
      <c r="U144" s="345">
        <v>1500</v>
      </c>
      <c r="V144" s="345">
        <v>204</v>
      </c>
      <c r="W144" s="318">
        <f t="shared" si="14"/>
        <v>1704</v>
      </c>
      <c r="X144" s="329">
        <v>2444</v>
      </c>
      <c r="Y144" s="320">
        <v>2020003630091</v>
      </c>
      <c r="Z144" s="315" t="s">
        <v>546</v>
      </c>
      <c r="AA144" s="321" t="s">
        <v>547</v>
      </c>
      <c r="AB144" s="322"/>
      <c r="AC144" s="322"/>
      <c r="AD144" s="322"/>
      <c r="AE144" s="322">
        <f>10000000+60000000+50000000</f>
        <v>120000000</v>
      </c>
      <c r="AF144" s="322">
        <v>120000000</v>
      </c>
      <c r="AG144" s="322">
        <v>120000000</v>
      </c>
      <c r="AH144" s="322"/>
      <c r="AI144" s="322"/>
      <c r="AJ144" s="322"/>
      <c r="AK144" s="322"/>
      <c r="AL144" s="322"/>
      <c r="AM144" s="322"/>
      <c r="AN144" s="322"/>
      <c r="AO144" s="322"/>
      <c r="AP144" s="322"/>
      <c r="AQ144" s="322"/>
      <c r="AR144" s="322"/>
      <c r="AS144" s="322"/>
      <c r="AT144" s="392">
        <f>380000000+32000000+30000000+15000000</f>
        <v>457000000</v>
      </c>
      <c r="AU144" s="365">
        <v>442000000</v>
      </c>
      <c r="AV144" s="365">
        <v>442000000</v>
      </c>
      <c r="AW144" s="323"/>
      <c r="AX144" s="322"/>
      <c r="AY144" s="322"/>
      <c r="AZ144" s="324"/>
      <c r="BA144" s="322"/>
      <c r="BB144" s="322"/>
      <c r="BC144" s="323"/>
      <c r="BD144" s="322"/>
      <c r="BE144" s="322"/>
      <c r="BF144" s="462">
        <f t="shared" si="18"/>
        <v>577000000</v>
      </c>
      <c r="BG144" s="462">
        <f t="shared" si="19"/>
        <v>562000000</v>
      </c>
      <c r="BH144" s="462">
        <f t="shared" si="20"/>
        <v>562000000</v>
      </c>
      <c r="BI144" s="332" t="s">
        <v>1472</v>
      </c>
      <c r="BK144" s="327"/>
      <c r="BL144" s="328"/>
    </row>
    <row r="145" spans="1:64" s="326" customFormat="1" ht="117" customHeight="1" x14ac:dyDescent="0.2">
      <c r="A145" s="312">
        <v>314</v>
      </c>
      <c r="B145" s="314" t="s">
        <v>1203</v>
      </c>
      <c r="C145" s="312">
        <v>1</v>
      </c>
      <c r="D145" s="314" t="s">
        <v>1200</v>
      </c>
      <c r="E145" s="312">
        <v>22</v>
      </c>
      <c r="F145" s="314" t="s">
        <v>124</v>
      </c>
      <c r="G145" s="312">
        <v>2201</v>
      </c>
      <c r="H145" s="314" t="s">
        <v>229</v>
      </c>
      <c r="I145" s="312">
        <v>2201</v>
      </c>
      <c r="J145" s="315" t="s">
        <v>1241</v>
      </c>
      <c r="K145" s="321" t="s">
        <v>126</v>
      </c>
      <c r="L145" s="312" t="s">
        <v>31</v>
      </c>
      <c r="M145" s="315" t="s">
        <v>564</v>
      </c>
      <c r="N145" s="312">
        <v>2201062</v>
      </c>
      <c r="O145" s="315" t="s">
        <v>128</v>
      </c>
      <c r="P145" s="312" t="s">
        <v>31</v>
      </c>
      <c r="Q145" s="316" t="s">
        <v>129</v>
      </c>
      <c r="R145" s="312">
        <v>220106200</v>
      </c>
      <c r="S145" s="315" t="s">
        <v>565</v>
      </c>
      <c r="T145" s="317" t="s">
        <v>1460</v>
      </c>
      <c r="U145" s="320">
        <v>15</v>
      </c>
      <c r="V145" s="320">
        <v>6</v>
      </c>
      <c r="W145" s="318">
        <f t="shared" si="14"/>
        <v>21</v>
      </c>
      <c r="X145" s="329">
        <v>10</v>
      </c>
      <c r="Y145" s="320">
        <v>2020003630091</v>
      </c>
      <c r="Z145" s="315" t="s">
        <v>546</v>
      </c>
      <c r="AA145" s="321" t="s">
        <v>547</v>
      </c>
      <c r="AB145" s="322"/>
      <c r="AC145" s="322"/>
      <c r="AD145" s="322"/>
      <c r="AE145" s="322"/>
      <c r="AF145" s="322"/>
      <c r="AG145" s="322"/>
      <c r="AH145" s="322"/>
      <c r="AI145" s="322"/>
      <c r="AJ145" s="322"/>
      <c r="AK145" s="322"/>
      <c r="AL145" s="322"/>
      <c r="AM145" s="322"/>
      <c r="AN145" s="322"/>
      <c r="AO145" s="322"/>
      <c r="AP145" s="322"/>
      <c r="AQ145" s="322"/>
      <c r="AR145" s="322"/>
      <c r="AS145" s="322"/>
      <c r="AT145" s="343">
        <f>30000000+19800000+6600000-3100000</f>
        <v>53300000</v>
      </c>
      <c r="AU145" s="342">
        <v>53242074</v>
      </c>
      <c r="AV145" s="342">
        <v>53242074</v>
      </c>
      <c r="AW145" s="323"/>
      <c r="AX145" s="322"/>
      <c r="AY145" s="322"/>
      <c r="AZ145" s="324"/>
      <c r="BA145" s="322"/>
      <c r="BB145" s="322"/>
      <c r="BC145" s="323"/>
      <c r="BD145" s="322"/>
      <c r="BE145" s="322"/>
      <c r="BF145" s="462">
        <f t="shared" si="18"/>
        <v>53300000</v>
      </c>
      <c r="BG145" s="462">
        <f t="shared" si="19"/>
        <v>53242074</v>
      </c>
      <c r="BH145" s="462">
        <f t="shared" si="20"/>
        <v>53242074</v>
      </c>
      <c r="BI145" s="332" t="s">
        <v>1472</v>
      </c>
      <c r="BK145" s="327"/>
      <c r="BL145" s="328"/>
    </row>
    <row r="146" spans="1:64" s="326" customFormat="1" ht="117" customHeight="1" x14ac:dyDescent="0.2">
      <c r="A146" s="312">
        <v>314</v>
      </c>
      <c r="B146" s="314" t="s">
        <v>1203</v>
      </c>
      <c r="C146" s="312">
        <v>1</v>
      </c>
      <c r="D146" s="314" t="s">
        <v>1200</v>
      </c>
      <c r="E146" s="312">
        <v>22</v>
      </c>
      <c r="F146" s="314" t="s">
        <v>124</v>
      </c>
      <c r="G146" s="312">
        <v>2201</v>
      </c>
      <c r="H146" s="314" t="s">
        <v>229</v>
      </c>
      <c r="I146" s="312">
        <v>2201</v>
      </c>
      <c r="J146" s="315" t="s">
        <v>1241</v>
      </c>
      <c r="K146" s="321" t="s">
        <v>566</v>
      </c>
      <c r="L146" s="312">
        <v>2201063</v>
      </c>
      <c r="M146" s="315" t="s">
        <v>567</v>
      </c>
      <c r="N146" s="312">
        <v>2201063</v>
      </c>
      <c r="O146" s="315" t="s">
        <v>567</v>
      </c>
      <c r="P146" s="319">
        <v>220106300</v>
      </c>
      <c r="Q146" s="316" t="s">
        <v>568</v>
      </c>
      <c r="R146" s="319">
        <v>220106300</v>
      </c>
      <c r="S146" s="315" t="s">
        <v>568</v>
      </c>
      <c r="T146" s="317" t="s">
        <v>1460</v>
      </c>
      <c r="U146" s="345">
        <v>2</v>
      </c>
      <c r="V146" s="345"/>
      <c r="W146" s="318">
        <f t="shared" ref="W146:W209" si="21">U146+V146</f>
        <v>2</v>
      </c>
      <c r="X146" s="329">
        <v>1</v>
      </c>
      <c r="Y146" s="320">
        <v>2020003630091</v>
      </c>
      <c r="Z146" s="344" t="s">
        <v>546</v>
      </c>
      <c r="AA146" s="321" t="s">
        <v>547</v>
      </c>
      <c r="AB146" s="322"/>
      <c r="AC146" s="322"/>
      <c r="AD146" s="322"/>
      <c r="AE146" s="322"/>
      <c r="AF146" s="322"/>
      <c r="AG146" s="322"/>
      <c r="AH146" s="322"/>
      <c r="AI146" s="322"/>
      <c r="AJ146" s="322"/>
      <c r="AK146" s="322"/>
      <c r="AL146" s="322"/>
      <c r="AM146" s="322"/>
      <c r="AN146" s="322"/>
      <c r="AO146" s="322"/>
      <c r="AP146" s="322"/>
      <c r="AQ146" s="322"/>
      <c r="AR146" s="322"/>
      <c r="AS146" s="322"/>
      <c r="AT146" s="392">
        <v>30000000</v>
      </c>
      <c r="AU146" s="365">
        <v>0</v>
      </c>
      <c r="AV146" s="365">
        <v>0</v>
      </c>
      <c r="AW146" s="323"/>
      <c r="AX146" s="322"/>
      <c r="AY146" s="322"/>
      <c r="AZ146" s="324"/>
      <c r="BA146" s="322"/>
      <c r="BB146" s="322"/>
      <c r="BC146" s="323"/>
      <c r="BD146" s="322"/>
      <c r="BE146" s="322"/>
      <c r="BF146" s="462">
        <f t="shared" si="18"/>
        <v>30000000</v>
      </c>
      <c r="BG146" s="462">
        <f t="shared" si="19"/>
        <v>0</v>
      </c>
      <c r="BH146" s="462">
        <f t="shared" si="20"/>
        <v>0</v>
      </c>
      <c r="BI146" s="332" t="s">
        <v>1472</v>
      </c>
      <c r="BK146" s="327"/>
      <c r="BL146" s="328"/>
    </row>
    <row r="147" spans="1:64" s="326" customFormat="1" ht="117" customHeight="1" x14ac:dyDescent="0.2">
      <c r="A147" s="312">
        <v>314</v>
      </c>
      <c r="B147" s="314" t="s">
        <v>1203</v>
      </c>
      <c r="C147" s="312">
        <v>1</v>
      </c>
      <c r="D147" s="314" t="s">
        <v>1200</v>
      </c>
      <c r="E147" s="312">
        <v>22</v>
      </c>
      <c r="F147" s="314" t="s">
        <v>124</v>
      </c>
      <c r="G147" s="312">
        <v>2201</v>
      </c>
      <c r="H147" s="314" t="s">
        <v>229</v>
      </c>
      <c r="I147" s="312">
        <v>2201</v>
      </c>
      <c r="J147" s="315" t="s">
        <v>1241</v>
      </c>
      <c r="K147" s="321" t="s">
        <v>566</v>
      </c>
      <c r="L147" s="312">
        <v>2201069</v>
      </c>
      <c r="M147" s="315" t="s">
        <v>569</v>
      </c>
      <c r="N147" s="312">
        <v>2201069</v>
      </c>
      <c r="O147" s="315" t="s">
        <v>569</v>
      </c>
      <c r="P147" s="319">
        <v>220106900</v>
      </c>
      <c r="Q147" s="316" t="s">
        <v>570</v>
      </c>
      <c r="R147" s="319">
        <v>220106900</v>
      </c>
      <c r="S147" s="316" t="s">
        <v>570</v>
      </c>
      <c r="T147" s="317" t="s">
        <v>1460</v>
      </c>
      <c r="U147" s="345">
        <v>5</v>
      </c>
      <c r="V147" s="345"/>
      <c r="W147" s="318">
        <f t="shared" si="21"/>
        <v>5</v>
      </c>
      <c r="X147" s="329">
        <v>3</v>
      </c>
      <c r="Y147" s="320">
        <v>2020003630091</v>
      </c>
      <c r="Z147" s="344" t="s">
        <v>546</v>
      </c>
      <c r="AA147" s="321" t="s">
        <v>547</v>
      </c>
      <c r="AB147" s="322"/>
      <c r="AC147" s="322"/>
      <c r="AD147" s="322"/>
      <c r="AE147" s="322">
        <f>200000000-60000000-50000000</f>
        <v>90000000</v>
      </c>
      <c r="AF147" s="322">
        <v>15000000</v>
      </c>
      <c r="AG147" s="322">
        <v>15000000</v>
      </c>
      <c r="AH147" s="322"/>
      <c r="AI147" s="322"/>
      <c r="AJ147" s="322"/>
      <c r="AK147" s="322"/>
      <c r="AL147" s="322"/>
      <c r="AM147" s="322"/>
      <c r="AN147" s="322">
        <f>5000000+3303649.73+74496423.36</f>
        <v>82800073.090000004</v>
      </c>
      <c r="AO147" s="322">
        <v>0</v>
      </c>
      <c r="AP147" s="322">
        <v>0</v>
      </c>
      <c r="AQ147" s="322"/>
      <c r="AR147" s="322"/>
      <c r="AS147" s="322"/>
      <c r="AT147" s="392">
        <f>20000000+102199927</f>
        <v>122199927</v>
      </c>
      <c r="AU147" s="365">
        <v>10000000</v>
      </c>
      <c r="AV147" s="365">
        <v>10000000</v>
      </c>
      <c r="AW147" s="323"/>
      <c r="AX147" s="322"/>
      <c r="AY147" s="322"/>
      <c r="AZ147" s="324"/>
      <c r="BA147" s="322"/>
      <c r="BB147" s="322"/>
      <c r="BC147" s="323"/>
      <c r="BD147" s="322"/>
      <c r="BE147" s="322"/>
      <c r="BF147" s="462">
        <f t="shared" si="18"/>
        <v>295000000.09000003</v>
      </c>
      <c r="BG147" s="462">
        <f t="shared" si="19"/>
        <v>25000000</v>
      </c>
      <c r="BH147" s="462">
        <f t="shared" si="20"/>
        <v>25000000</v>
      </c>
      <c r="BI147" s="332" t="s">
        <v>1472</v>
      </c>
      <c r="BK147" s="327"/>
      <c r="BL147" s="328"/>
    </row>
    <row r="148" spans="1:64" s="326" customFormat="1" ht="117" customHeight="1" x14ac:dyDescent="0.2">
      <c r="A148" s="312">
        <v>314</v>
      </c>
      <c r="B148" s="314" t="s">
        <v>1203</v>
      </c>
      <c r="C148" s="312">
        <v>1</v>
      </c>
      <c r="D148" s="314" t="s">
        <v>1200</v>
      </c>
      <c r="E148" s="312">
        <v>22</v>
      </c>
      <c r="F148" s="314" t="s">
        <v>124</v>
      </c>
      <c r="G148" s="312">
        <v>2201</v>
      </c>
      <c r="H148" s="314" t="s">
        <v>229</v>
      </c>
      <c r="I148" s="312">
        <v>2201</v>
      </c>
      <c r="J148" s="315" t="s">
        <v>1241</v>
      </c>
      <c r="K148" s="321" t="s">
        <v>571</v>
      </c>
      <c r="L148" s="312">
        <v>2201018</v>
      </c>
      <c r="M148" s="315" t="s">
        <v>572</v>
      </c>
      <c r="N148" s="312">
        <v>2201018</v>
      </c>
      <c r="O148" s="315" t="s">
        <v>572</v>
      </c>
      <c r="P148" s="319">
        <v>220101802</v>
      </c>
      <c r="Q148" s="316" t="s">
        <v>573</v>
      </c>
      <c r="R148" s="319">
        <v>220101802</v>
      </c>
      <c r="S148" s="316" t="s">
        <v>573</v>
      </c>
      <c r="T148" s="317" t="s">
        <v>1459</v>
      </c>
      <c r="U148" s="345">
        <v>1</v>
      </c>
      <c r="V148" s="345"/>
      <c r="W148" s="318">
        <f t="shared" si="21"/>
        <v>1</v>
      </c>
      <c r="X148" s="385">
        <v>1</v>
      </c>
      <c r="Y148" s="320">
        <v>2020003630092</v>
      </c>
      <c r="Z148" s="315" t="s">
        <v>574</v>
      </c>
      <c r="AA148" s="321" t="s">
        <v>575</v>
      </c>
      <c r="AB148" s="322"/>
      <c r="AC148" s="322"/>
      <c r="AD148" s="322"/>
      <c r="AE148" s="322"/>
      <c r="AF148" s="322"/>
      <c r="AG148" s="322"/>
      <c r="AH148" s="322"/>
      <c r="AI148" s="322"/>
      <c r="AJ148" s="322"/>
      <c r="AK148" s="322"/>
      <c r="AL148" s="322"/>
      <c r="AM148" s="322"/>
      <c r="AN148" s="322"/>
      <c r="AO148" s="322"/>
      <c r="AP148" s="322"/>
      <c r="AQ148" s="322"/>
      <c r="AR148" s="322"/>
      <c r="AS148" s="322"/>
      <c r="AT148" s="392">
        <f>6000000-1000000+2310000+5770000</f>
        <v>13080000</v>
      </c>
      <c r="AU148" s="365">
        <v>13080000</v>
      </c>
      <c r="AV148" s="365">
        <v>13080000</v>
      </c>
      <c r="AW148" s="323"/>
      <c r="AX148" s="322"/>
      <c r="AY148" s="322"/>
      <c r="AZ148" s="324"/>
      <c r="BA148" s="322"/>
      <c r="BB148" s="322"/>
      <c r="BC148" s="323"/>
      <c r="BD148" s="322"/>
      <c r="BE148" s="322"/>
      <c r="BF148" s="462">
        <f t="shared" si="18"/>
        <v>13080000</v>
      </c>
      <c r="BG148" s="462">
        <f t="shared" si="19"/>
        <v>13080000</v>
      </c>
      <c r="BH148" s="462">
        <f t="shared" si="20"/>
        <v>13080000</v>
      </c>
      <c r="BI148" s="332" t="s">
        <v>1472</v>
      </c>
      <c r="BK148" s="327"/>
      <c r="BL148" s="328"/>
    </row>
    <row r="149" spans="1:64" s="326" customFormat="1" ht="117" customHeight="1" x14ac:dyDescent="0.2">
      <c r="A149" s="312">
        <v>314</v>
      </c>
      <c r="B149" s="314" t="s">
        <v>1203</v>
      </c>
      <c r="C149" s="312">
        <v>1</v>
      </c>
      <c r="D149" s="314" t="s">
        <v>1200</v>
      </c>
      <c r="E149" s="312">
        <v>22</v>
      </c>
      <c r="F149" s="314" t="s">
        <v>124</v>
      </c>
      <c r="G149" s="312">
        <v>2201</v>
      </c>
      <c r="H149" s="314" t="s">
        <v>229</v>
      </c>
      <c r="I149" s="312">
        <v>2201</v>
      </c>
      <c r="J149" s="315" t="s">
        <v>1241</v>
      </c>
      <c r="K149" s="321" t="s">
        <v>576</v>
      </c>
      <c r="L149" s="312">
        <v>2201037</v>
      </c>
      <c r="M149" s="315" t="s">
        <v>577</v>
      </c>
      <c r="N149" s="312">
        <v>2201037</v>
      </c>
      <c r="O149" s="315" t="s">
        <v>577</v>
      </c>
      <c r="P149" s="391">
        <v>220103700</v>
      </c>
      <c r="Q149" s="316" t="s">
        <v>578</v>
      </c>
      <c r="R149" s="391">
        <v>220103700</v>
      </c>
      <c r="S149" s="316" t="s">
        <v>578</v>
      </c>
      <c r="T149" s="317" t="s">
        <v>1459</v>
      </c>
      <c r="U149" s="345">
        <v>54</v>
      </c>
      <c r="V149" s="345"/>
      <c r="W149" s="318">
        <f t="shared" si="21"/>
        <v>54</v>
      </c>
      <c r="X149" s="385">
        <v>54</v>
      </c>
      <c r="Y149" s="320">
        <v>2020003630092</v>
      </c>
      <c r="Z149" s="315" t="s">
        <v>574</v>
      </c>
      <c r="AA149" s="321" t="s">
        <v>575</v>
      </c>
      <c r="AB149" s="322"/>
      <c r="AC149" s="322"/>
      <c r="AD149" s="322"/>
      <c r="AE149" s="322"/>
      <c r="AF149" s="322"/>
      <c r="AG149" s="322"/>
      <c r="AH149" s="322"/>
      <c r="AI149" s="322"/>
      <c r="AJ149" s="322"/>
      <c r="AK149" s="322"/>
      <c r="AL149" s="322"/>
      <c r="AM149" s="322"/>
      <c r="AN149" s="322"/>
      <c r="AO149" s="322"/>
      <c r="AP149" s="322"/>
      <c r="AQ149" s="322"/>
      <c r="AR149" s="322"/>
      <c r="AS149" s="322"/>
      <c r="AT149" s="392">
        <v>10000000</v>
      </c>
      <c r="AU149" s="365">
        <v>10000000</v>
      </c>
      <c r="AV149" s="365">
        <v>10000000</v>
      </c>
      <c r="AW149" s="323"/>
      <c r="AX149" s="322"/>
      <c r="AY149" s="322"/>
      <c r="AZ149" s="324"/>
      <c r="BA149" s="322"/>
      <c r="BB149" s="322"/>
      <c r="BC149" s="323"/>
      <c r="BD149" s="322"/>
      <c r="BE149" s="322"/>
      <c r="BF149" s="462">
        <f t="shared" si="18"/>
        <v>10000000</v>
      </c>
      <c r="BG149" s="462">
        <f t="shared" si="19"/>
        <v>10000000</v>
      </c>
      <c r="BH149" s="462">
        <f t="shared" si="20"/>
        <v>10000000</v>
      </c>
      <c r="BI149" s="332" t="s">
        <v>1472</v>
      </c>
      <c r="BK149" s="327"/>
      <c r="BL149" s="328"/>
    </row>
    <row r="150" spans="1:64" s="326" customFormat="1" ht="117" customHeight="1" x14ac:dyDescent="0.2">
      <c r="A150" s="312">
        <v>314</v>
      </c>
      <c r="B150" s="314" t="s">
        <v>1203</v>
      </c>
      <c r="C150" s="312">
        <v>1</v>
      </c>
      <c r="D150" s="314" t="s">
        <v>1200</v>
      </c>
      <c r="E150" s="312">
        <v>22</v>
      </c>
      <c r="F150" s="314" t="s">
        <v>124</v>
      </c>
      <c r="G150" s="312">
        <v>2201</v>
      </c>
      <c r="H150" s="314" t="s">
        <v>229</v>
      </c>
      <c r="I150" s="312">
        <v>2201</v>
      </c>
      <c r="J150" s="315" t="s">
        <v>1241</v>
      </c>
      <c r="K150" s="321" t="s">
        <v>579</v>
      </c>
      <c r="L150" s="312">
        <v>2201007</v>
      </c>
      <c r="M150" s="315" t="s">
        <v>580</v>
      </c>
      <c r="N150" s="312">
        <v>2201073</v>
      </c>
      <c r="O150" s="315" t="s">
        <v>580</v>
      </c>
      <c r="P150" s="391">
        <v>220100700</v>
      </c>
      <c r="Q150" s="316" t="s">
        <v>581</v>
      </c>
      <c r="R150" s="319">
        <v>220107300</v>
      </c>
      <c r="S150" s="316" t="s">
        <v>581</v>
      </c>
      <c r="T150" s="317" t="s">
        <v>1460</v>
      </c>
      <c r="U150" s="345">
        <v>7915</v>
      </c>
      <c r="V150" s="345"/>
      <c r="W150" s="318">
        <f t="shared" si="21"/>
        <v>7915</v>
      </c>
      <c r="X150" s="345">
        <v>18466</v>
      </c>
      <c r="Y150" s="320">
        <v>2020003630093</v>
      </c>
      <c r="Z150" s="321" t="s">
        <v>582</v>
      </c>
      <c r="AA150" s="321" t="s">
        <v>583</v>
      </c>
      <c r="AB150" s="322"/>
      <c r="AC150" s="322"/>
      <c r="AD150" s="322"/>
      <c r="AE150" s="322"/>
      <c r="AF150" s="322"/>
      <c r="AG150" s="322"/>
      <c r="AH150" s="322"/>
      <c r="AI150" s="322"/>
      <c r="AJ150" s="322"/>
      <c r="AK150" s="322"/>
      <c r="AL150" s="322"/>
      <c r="AM150" s="322"/>
      <c r="AN150" s="322"/>
      <c r="AO150" s="322"/>
      <c r="AP150" s="322"/>
      <c r="AQ150" s="322"/>
      <c r="AR150" s="322"/>
      <c r="AS150" s="322"/>
      <c r="AT150" s="392">
        <f>20000000-17655000</f>
        <v>2345000</v>
      </c>
      <c r="AU150" s="365">
        <v>2345000</v>
      </c>
      <c r="AV150" s="365">
        <v>2345000</v>
      </c>
      <c r="AW150" s="323"/>
      <c r="AX150" s="322"/>
      <c r="AY150" s="322"/>
      <c r="AZ150" s="324"/>
      <c r="BA150" s="322"/>
      <c r="BB150" s="322"/>
      <c r="BC150" s="323"/>
      <c r="BD150" s="322"/>
      <c r="BE150" s="322"/>
      <c r="BF150" s="462">
        <f t="shared" si="18"/>
        <v>2345000</v>
      </c>
      <c r="BG150" s="462">
        <f t="shared" si="19"/>
        <v>2345000</v>
      </c>
      <c r="BH150" s="462">
        <f t="shared" si="20"/>
        <v>2345000</v>
      </c>
      <c r="BI150" s="332" t="s">
        <v>1472</v>
      </c>
      <c r="BK150" s="327"/>
      <c r="BL150" s="328"/>
    </row>
    <row r="151" spans="1:64" s="326" customFormat="1" ht="117" customHeight="1" x14ac:dyDescent="0.2">
      <c r="A151" s="312">
        <v>314</v>
      </c>
      <c r="B151" s="314" t="s">
        <v>1203</v>
      </c>
      <c r="C151" s="312">
        <v>1</v>
      </c>
      <c r="D151" s="314" t="s">
        <v>1200</v>
      </c>
      <c r="E151" s="312">
        <v>22</v>
      </c>
      <c r="F151" s="314" t="s">
        <v>124</v>
      </c>
      <c r="G151" s="312">
        <v>2201</v>
      </c>
      <c r="H151" s="314" t="s">
        <v>229</v>
      </c>
      <c r="I151" s="312">
        <v>2201</v>
      </c>
      <c r="J151" s="315" t="s">
        <v>1241</v>
      </c>
      <c r="K151" s="321" t="s">
        <v>584</v>
      </c>
      <c r="L151" s="312">
        <v>2201068</v>
      </c>
      <c r="M151" s="315" t="s">
        <v>231</v>
      </c>
      <c r="N151" s="312">
        <v>2201068</v>
      </c>
      <c r="O151" s="315" t="s">
        <v>231</v>
      </c>
      <c r="P151" s="391">
        <v>220106800</v>
      </c>
      <c r="Q151" s="316" t="s">
        <v>232</v>
      </c>
      <c r="R151" s="391">
        <v>220106800</v>
      </c>
      <c r="S151" s="316" t="s">
        <v>232</v>
      </c>
      <c r="T151" s="317" t="s">
        <v>1460</v>
      </c>
      <c r="U151" s="320">
        <v>76</v>
      </c>
      <c r="V151" s="320"/>
      <c r="W151" s="318">
        <f t="shared" si="21"/>
        <v>76</v>
      </c>
      <c r="X151" s="320">
        <v>87</v>
      </c>
      <c r="Y151" s="320">
        <v>2020003630093</v>
      </c>
      <c r="Z151" s="321" t="s">
        <v>582</v>
      </c>
      <c r="AA151" s="321" t="s">
        <v>583</v>
      </c>
      <c r="AB151" s="322"/>
      <c r="AC151" s="322"/>
      <c r="AD151" s="322"/>
      <c r="AE151" s="322"/>
      <c r="AF151" s="322"/>
      <c r="AG151" s="322"/>
      <c r="AH151" s="322"/>
      <c r="AI151" s="322"/>
      <c r="AJ151" s="322"/>
      <c r="AK151" s="322"/>
      <c r="AL151" s="322"/>
      <c r="AM151" s="322"/>
      <c r="AN151" s="322"/>
      <c r="AO151" s="322"/>
      <c r="AP151" s="322"/>
      <c r="AQ151" s="322"/>
      <c r="AR151" s="322"/>
      <c r="AS151" s="322"/>
      <c r="AT151" s="343">
        <v>18000000</v>
      </c>
      <c r="AU151" s="342">
        <v>9000000</v>
      </c>
      <c r="AV151" s="342">
        <v>9000000</v>
      </c>
      <c r="AW151" s="323"/>
      <c r="AX151" s="322"/>
      <c r="AY151" s="322"/>
      <c r="AZ151" s="324"/>
      <c r="BA151" s="322"/>
      <c r="BB151" s="322"/>
      <c r="BC151" s="323"/>
      <c r="BD151" s="322"/>
      <c r="BE151" s="322"/>
      <c r="BF151" s="462">
        <f t="shared" si="18"/>
        <v>18000000</v>
      </c>
      <c r="BG151" s="462">
        <f t="shared" si="19"/>
        <v>9000000</v>
      </c>
      <c r="BH151" s="462">
        <f t="shared" si="20"/>
        <v>9000000</v>
      </c>
      <c r="BI151" s="332" t="s">
        <v>1472</v>
      </c>
      <c r="BK151" s="327"/>
      <c r="BL151" s="328"/>
    </row>
    <row r="152" spans="1:64" s="326" customFormat="1" ht="117" customHeight="1" x14ac:dyDescent="0.2">
      <c r="A152" s="312">
        <v>314</v>
      </c>
      <c r="B152" s="314" t="s">
        <v>1203</v>
      </c>
      <c r="C152" s="312">
        <v>1</v>
      </c>
      <c r="D152" s="314" t="s">
        <v>1200</v>
      </c>
      <c r="E152" s="312">
        <v>22</v>
      </c>
      <c r="F152" s="314" t="s">
        <v>124</v>
      </c>
      <c r="G152" s="312">
        <v>2201</v>
      </c>
      <c r="H152" s="314" t="s">
        <v>229</v>
      </c>
      <c r="I152" s="312">
        <v>2201</v>
      </c>
      <c r="J152" s="315" t="s">
        <v>1241</v>
      </c>
      <c r="K152" s="321" t="s">
        <v>566</v>
      </c>
      <c r="L152" s="312">
        <v>2201026</v>
      </c>
      <c r="M152" s="315" t="s">
        <v>585</v>
      </c>
      <c r="N152" s="312">
        <v>2201026</v>
      </c>
      <c r="O152" s="315" t="s">
        <v>585</v>
      </c>
      <c r="P152" s="391">
        <v>220102600</v>
      </c>
      <c r="Q152" s="316" t="s">
        <v>586</v>
      </c>
      <c r="R152" s="391">
        <v>220102600</v>
      </c>
      <c r="S152" s="316" t="s">
        <v>586</v>
      </c>
      <c r="T152" s="317" t="s">
        <v>1460</v>
      </c>
      <c r="U152" s="345">
        <v>22</v>
      </c>
      <c r="V152" s="345"/>
      <c r="W152" s="345">
        <f t="shared" si="21"/>
        <v>22</v>
      </c>
      <c r="X152" s="345">
        <v>22</v>
      </c>
      <c r="Y152" s="320">
        <v>2020003630093</v>
      </c>
      <c r="Z152" s="321" t="s">
        <v>582</v>
      </c>
      <c r="AA152" s="321" t="s">
        <v>583</v>
      </c>
      <c r="AB152" s="322"/>
      <c r="AC152" s="322"/>
      <c r="AD152" s="322"/>
      <c r="AE152" s="322"/>
      <c r="AF152" s="322"/>
      <c r="AG152" s="322"/>
      <c r="AH152" s="322"/>
      <c r="AI152" s="322"/>
      <c r="AJ152" s="322"/>
      <c r="AK152" s="322"/>
      <c r="AL152" s="322"/>
      <c r="AM152" s="322"/>
      <c r="AN152" s="322">
        <f>1675000-1675000</f>
        <v>0</v>
      </c>
      <c r="AO152" s="322"/>
      <c r="AP152" s="322"/>
      <c r="AQ152" s="322"/>
      <c r="AR152" s="322"/>
      <c r="AS152" s="322"/>
      <c r="AT152" s="343">
        <v>18000000</v>
      </c>
      <c r="AU152" s="342">
        <v>17962171</v>
      </c>
      <c r="AV152" s="342">
        <v>17962171</v>
      </c>
      <c r="AW152" s="323"/>
      <c r="AX152" s="322"/>
      <c r="AY152" s="322"/>
      <c r="AZ152" s="324"/>
      <c r="BA152" s="322"/>
      <c r="BB152" s="322"/>
      <c r="BC152" s="323"/>
      <c r="BD152" s="322"/>
      <c r="BE152" s="322"/>
      <c r="BF152" s="462">
        <f t="shared" si="18"/>
        <v>18000000</v>
      </c>
      <c r="BG152" s="462">
        <f t="shared" si="19"/>
        <v>17962171</v>
      </c>
      <c r="BH152" s="462">
        <f t="shared" si="20"/>
        <v>17962171</v>
      </c>
      <c r="BI152" s="332" t="s">
        <v>1472</v>
      </c>
      <c r="BK152" s="327"/>
      <c r="BL152" s="328"/>
    </row>
    <row r="153" spans="1:64" s="326" customFormat="1" ht="135.75" customHeight="1" x14ac:dyDescent="0.2">
      <c r="A153" s="312">
        <v>314</v>
      </c>
      <c r="B153" s="314" t="s">
        <v>1203</v>
      </c>
      <c r="C153" s="312">
        <v>1</v>
      </c>
      <c r="D153" s="314" t="s">
        <v>1200</v>
      </c>
      <c r="E153" s="312">
        <v>22</v>
      </c>
      <c r="F153" s="314" t="s">
        <v>124</v>
      </c>
      <c r="G153" s="312">
        <v>2201</v>
      </c>
      <c r="H153" s="314" t="s">
        <v>229</v>
      </c>
      <c r="I153" s="312">
        <v>2201</v>
      </c>
      <c r="J153" s="315" t="s">
        <v>1241</v>
      </c>
      <c r="K153" s="321" t="s">
        <v>579</v>
      </c>
      <c r="L153" s="312">
        <v>2201009</v>
      </c>
      <c r="M153" s="315" t="s">
        <v>587</v>
      </c>
      <c r="N153" s="312">
        <v>2201074</v>
      </c>
      <c r="O153" s="315" t="s">
        <v>587</v>
      </c>
      <c r="P153" s="391">
        <v>220100900</v>
      </c>
      <c r="Q153" s="316" t="s">
        <v>588</v>
      </c>
      <c r="R153" s="319">
        <v>220107400</v>
      </c>
      <c r="S153" s="316" t="s">
        <v>589</v>
      </c>
      <c r="T153" s="317" t="s">
        <v>1460</v>
      </c>
      <c r="U153" s="345">
        <v>604</v>
      </c>
      <c r="V153" s="345"/>
      <c r="W153" s="318">
        <f t="shared" si="21"/>
        <v>604</v>
      </c>
      <c r="X153" s="345">
        <v>1545</v>
      </c>
      <c r="Y153" s="320">
        <v>2020003630093</v>
      </c>
      <c r="Z153" s="321" t="s">
        <v>582</v>
      </c>
      <c r="AA153" s="321" t="s">
        <v>583</v>
      </c>
      <c r="AB153" s="322"/>
      <c r="AC153" s="322"/>
      <c r="AD153" s="322"/>
      <c r="AE153" s="322"/>
      <c r="AF153" s="322"/>
      <c r="AG153" s="322"/>
      <c r="AH153" s="322"/>
      <c r="AI153" s="322"/>
      <c r="AJ153" s="322"/>
      <c r="AK153" s="322"/>
      <c r="AL153" s="322"/>
      <c r="AM153" s="322"/>
      <c r="AN153" s="322"/>
      <c r="AO153" s="322"/>
      <c r="AP153" s="322"/>
      <c r="AQ153" s="322"/>
      <c r="AR153" s="322"/>
      <c r="AS153" s="322"/>
      <c r="AT153" s="392">
        <f>20000000-15000000+15000000</f>
        <v>20000000</v>
      </c>
      <c r="AU153" s="365">
        <v>13000000</v>
      </c>
      <c r="AV153" s="365">
        <v>13000000</v>
      </c>
      <c r="AW153" s="323"/>
      <c r="AX153" s="322"/>
      <c r="AY153" s="322"/>
      <c r="AZ153" s="324"/>
      <c r="BA153" s="322"/>
      <c r="BB153" s="322"/>
      <c r="BC153" s="323"/>
      <c r="BD153" s="322"/>
      <c r="BE153" s="322"/>
      <c r="BF153" s="462">
        <f t="shared" si="18"/>
        <v>20000000</v>
      </c>
      <c r="BG153" s="462">
        <f t="shared" si="19"/>
        <v>13000000</v>
      </c>
      <c r="BH153" s="462">
        <f t="shared" si="20"/>
        <v>13000000</v>
      </c>
      <c r="BI153" s="332" t="s">
        <v>1472</v>
      </c>
      <c r="BK153" s="327"/>
      <c r="BL153" s="328"/>
    </row>
    <row r="154" spans="1:64" s="326" customFormat="1" ht="135.75" customHeight="1" x14ac:dyDescent="0.2">
      <c r="A154" s="312">
        <v>314</v>
      </c>
      <c r="B154" s="314" t="s">
        <v>1203</v>
      </c>
      <c r="C154" s="312">
        <v>1</v>
      </c>
      <c r="D154" s="314" t="s">
        <v>1200</v>
      </c>
      <c r="E154" s="312">
        <v>22</v>
      </c>
      <c r="F154" s="314" t="s">
        <v>124</v>
      </c>
      <c r="G154" s="312">
        <v>2201</v>
      </c>
      <c r="H154" s="314" t="s">
        <v>229</v>
      </c>
      <c r="I154" s="312">
        <v>2201</v>
      </c>
      <c r="J154" s="315" t="s">
        <v>1241</v>
      </c>
      <c r="K154" s="321" t="s">
        <v>579</v>
      </c>
      <c r="L154" s="312">
        <v>2201010</v>
      </c>
      <c r="M154" s="315" t="s">
        <v>590</v>
      </c>
      <c r="N154" s="312">
        <v>2201074</v>
      </c>
      <c r="O154" s="315" t="s">
        <v>591</v>
      </c>
      <c r="P154" s="391">
        <v>220101000</v>
      </c>
      <c r="Q154" s="316" t="s">
        <v>592</v>
      </c>
      <c r="R154" s="319">
        <v>220107400</v>
      </c>
      <c r="S154" s="316" t="s">
        <v>589</v>
      </c>
      <c r="T154" s="317" t="s">
        <v>1459</v>
      </c>
      <c r="U154" s="345">
        <v>94</v>
      </c>
      <c r="V154" s="345"/>
      <c r="W154" s="318">
        <f t="shared" si="21"/>
        <v>94</v>
      </c>
      <c r="X154" s="345">
        <v>263</v>
      </c>
      <c r="Y154" s="320">
        <v>2020003630093</v>
      </c>
      <c r="Z154" s="321" t="s">
        <v>582</v>
      </c>
      <c r="AA154" s="321" t="s">
        <v>583</v>
      </c>
      <c r="AB154" s="322"/>
      <c r="AC154" s="322"/>
      <c r="AD154" s="322"/>
      <c r="AE154" s="322"/>
      <c r="AF154" s="322"/>
      <c r="AG154" s="322"/>
      <c r="AH154" s="322"/>
      <c r="AI154" s="322"/>
      <c r="AJ154" s="322"/>
      <c r="AK154" s="322"/>
      <c r="AL154" s="322"/>
      <c r="AM154" s="322"/>
      <c r="AN154" s="322"/>
      <c r="AO154" s="322"/>
      <c r="AP154" s="322"/>
      <c r="AQ154" s="322"/>
      <c r="AR154" s="322"/>
      <c r="AS154" s="322"/>
      <c r="AT154" s="392">
        <f>20000000-15000000</f>
        <v>5000000</v>
      </c>
      <c r="AU154" s="365">
        <v>5000000</v>
      </c>
      <c r="AV154" s="365">
        <v>5000000</v>
      </c>
      <c r="AW154" s="323"/>
      <c r="AX154" s="322"/>
      <c r="AY154" s="322"/>
      <c r="AZ154" s="324"/>
      <c r="BA154" s="322"/>
      <c r="BB154" s="322"/>
      <c r="BC154" s="323"/>
      <c r="BD154" s="322"/>
      <c r="BE154" s="322"/>
      <c r="BF154" s="462">
        <f t="shared" si="18"/>
        <v>5000000</v>
      </c>
      <c r="BG154" s="462">
        <f t="shared" si="19"/>
        <v>5000000</v>
      </c>
      <c r="BH154" s="462">
        <f t="shared" si="20"/>
        <v>5000000</v>
      </c>
      <c r="BI154" s="332" t="s">
        <v>1472</v>
      </c>
      <c r="BK154" s="327"/>
      <c r="BL154" s="328"/>
    </row>
    <row r="155" spans="1:64" s="326" customFormat="1" ht="117" customHeight="1" x14ac:dyDescent="0.2">
      <c r="A155" s="312">
        <v>314</v>
      </c>
      <c r="B155" s="314" t="s">
        <v>1203</v>
      </c>
      <c r="C155" s="312">
        <v>1</v>
      </c>
      <c r="D155" s="314" t="s">
        <v>1200</v>
      </c>
      <c r="E155" s="312">
        <v>22</v>
      </c>
      <c r="F155" s="314" t="s">
        <v>124</v>
      </c>
      <c r="G155" s="312">
        <v>2201</v>
      </c>
      <c r="H155" s="314" t="s">
        <v>229</v>
      </c>
      <c r="I155" s="312">
        <v>2201</v>
      </c>
      <c r="J155" s="315" t="s">
        <v>1241</v>
      </c>
      <c r="K155" s="321" t="s">
        <v>593</v>
      </c>
      <c r="L155" s="312">
        <v>2201035</v>
      </c>
      <c r="M155" s="315" t="s">
        <v>594</v>
      </c>
      <c r="N155" s="312">
        <v>2201035</v>
      </c>
      <c r="O155" s="315" t="s">
        <v>594</v>
      </c>
      <c r="P155" s="319">
        <v>220103500</v>
      </c>
      <c r="Q155" s="316" t="s">
        <v>595</v>
      </c>
      <c r="R155" s="319">
        <v>220103500</v>
      </c>
      <c r="S155" s="316" t="s">
        <v>595</v>
      </c>
      <c r="T155" s="317" t="s">
        <v>1460</v>
      </c>
      <c r="U155" s="345">
        <v>9</v>
      </c>
      <c r="V155" s="345"/>
      <c r="W155" s="318">
        <f t="shared" si="21"/>
        <v>9</v>
      </c>
      <c r="X155" s="345">
        <v>9</v>
      </c>
      <c r="Y155" s="320">
        <v>2020003630093</v>
      </c>
      <c r="Z155" s="321" t="s">
        <v>582</v>
      </c>
      <c r="AA155" s="321" t="s">
        <v>583</v>
      </c>
      <c r="AB155" s="322"/>
      <c r="AC155" s="322"/>
      <c r="AD155" s="322"/>
      <c r="AE155" s="322"/>
      <c r="AF155" s="322"/>
      <c r="AG155" s="322"/>
      <c r="AH155" s="322"/>
      <c r="AI155" s="322"/>
      <c r="AJ155" s="322"/>
      <c r="AK155" s="322"/>
      <c r="AL155" s="322"/>
      <c r="AM155" s="322"/>
      <c r="AN155" s="322"/>
      <c r="AO155" s="322"/>
      <c r="AP155" s="322"/>
      <c r="AQ155" s="322"/>
      <c r="AR155" s="322"/>
      <c r="AS155" s="322"/>
      <c r="AT155" s="392">
        <f>10000000+10000000</f>
        <v>20000000</v>
      </c>
      <c r="AU155" s="365">
        <v>20000000</v>
      </c>
      <c r="AV155" s="365">
        <v>20000000</v>
      </c>
      <c r="AW155" s="323"/>
      <c r="AX155" s="322"/>
      <c r="AY155" s="322"/>
      <c r="AZ155" s="324"/>
      <c r="BA155" s="322"/>
      <c r="BB155" s="322"/>
      <c r="BC155" s="323"/>
      <c r="BD155" s="322"/>
      <c r="BE155" s="322"/>
      <c r="BF155" s="462">
        <f t="shared" si="18"/>
        <v>20000000</v>
      </c>
      <c r="BG155" s="462">
        <f t="shared" si="19"/>
        <v>20000000</v>
      </c>
      <c r="BH155" s="462">
        <f t="shared" si="20"/>
        <v>20000000</v>
      </c>
      <c r="BI155" s="332" t="s">
        <v>1472</v>
      </c>
      <c r="BK155" s="327"/>
      <c r="BL155" s="328"/>
    </row>
    <row r="156" spans="1:64" s="326" customFormat="1" ht="117" customHeight="1" x14ac:dyDescent="0.2">
      <c r="A156" s="312">
        <v>314</v>
      </c>
      <c r="B156" s="314" t="s">
        <v>1203</v>
      </c>
      <c r="C156" s="312">
        <v>1</v>
      </c>
      <c r="D156" s="314" t="s">
        <v>1200</v>
      </c>
      <c r="E156" s="312">
        <v>22</v>
      </c>
      <c r="F156" s="314" t="s">
        <v>124</v>
      </c>
      <c r="G156" s="312">
        <v>2201</v>
      </c>
      <c r="H156" s="314" t="s">
        <v>229</v>
      </c>
      <c r="I156" s="312">
        <v>2201</v>
      </c>
      <c r="J156" s="315" t="s">
        <v>1241</v>
      </c>
      <c r="K156" s="321" t="s">
        <v>557</v>
      </c>
      <c r="L156" s="312">
        <v>2201046</v>
      </c>
      <c r="M156" s="315" t="s">
        <v>596</v>
      </c>
      <c r="N156" s="312">
        <v>2201046</v>
      </c>
      <c r="O156" s="315" t="s">
        <v>596</v>
      </c>
      <c r="P156" s="391">
        <v>220104602</v>
      </c>
      <c r="Q156" s="316" t="s">
        <v>597</v>
      </c>
      <c r="R156" s="391">
        <v>220104602</v>
      </c>
      <c r="S156" s="316" t="s">
        <v>597</v>
      </c>
      <c r="T156" s="317" t="s">
        <v>1460</v>
      </c>
      <c r="U156" s="345">
        <v>18</v>
      </c>
      <c r="V156" s="345"/>
      <c r="W156" s="318">
        <f t="shared" si="21"/>
        <v>18</v>
      </c>
      <c r="X156" s="345">
        <v>23</v>
      </c>
      <c r="Y156" s="320">
        <v>2020003630093</v>
      </c>
      <c r="Z156" s="321" t="s">
        <v>582</v>
      </c>
      <c r="AA156" s="321" t="s">
        <v>583</v>
      </c>
      <c r="AB156" s="322"/>
      <c r="AC156" s="322"/>
      <c r="AD156" s="322"/>
      <c r="AE156" s="365"/>
      <c r="AF156" s="365"/>
      <c r="AG156" s="365"/>
      <c r="AH156" s="322"/>
      <c r="AI156" s="322"/>
      <c r="AJ156" s="322"/>
      <c r="AK156" s="322"/>
      <c r="AL156" s="322"/>
      <c r="AM156" s="322"/>
      <c r="AN156" s="322"/>
      <c r="AO156" s="322"/>
      <c r="AP156" s="322"/>
      <c r="AQ156" s="322"/>
      <c r="AR156" s="322"/>
      <c r="AS156" s="322"/>
      <c r="AT156" s="343">
        <f>10000000+9000000</f>
        <v>19000000</v>
      </c>
      <c r="AU156" s="342">
        <v>12400000</v>
      </c>
      <c r="AV156" s="342">
        <v>12400000</v>
      </c>
      <c r="AW156" s="323"/>
      <c r="AX156" s="322"/>
      <c r="AY156" s="322"/>
      <c r="AZ156" s="324"/>
      <c r="BA156" s="322"/>
      <c r="BB156" s="322"/>
      <c r="BC156" s="323"/>
      <c r="BD156" s="322"/>
      <c r="BE156" s="322"/>
      <c r="BF156" s="462">
        <f t="shared" si="18"/>
        <v>19000000</v>
      </c>
      <c r="BG156" s="462">
        <f t="shared" si="19"/>
        <v>12400000</v>
      </c>
      <c r="BH156" s="462">
        <f t="shared" si="20"/>
        <v>12400000</v>
      </c>
      <c r="BI156" s="332" t="s">
        <v>1472</v>
      </c>
      <c r="BK156" s="327"/>
      <c r="BL156" s="328"/>
    </row>
    <row r="157" spans="1:64" s="326" customFormat="1" ht="117" customHeight="1" x14ac:dyDescent="0.2">
      <c r="A157" s="312">
        <v>314</v>
      </c>
      <c r="B157" s="314" t="s">
        <v>1203</v>
      </c>
      <c r="C157" s="312">
        <v>1</v>
      </c>
      <c r="D157" s="314" t="s">
        <v>1200</v>
      </c>
      <c r="E157" s="312">
        <v>22</v>
      </c>
      <c r="F157" s="314" t="s">
        <v>124</v>
      </c>
      <c r="G157" s="312">
        <v>2201</v>
      </c>
      <c r="H157" s="314" t="s">
        <v>229</v>
      </c>
      <c r="I157" s="312">
        <v>2201</v>
      </c>
      <c r="J157" s="315" t="s">
        <v>1241</v>
      </c>
      <c r="K157" s="321" t="s">
        <v>557</v>
      </c>
      <c r="L157" s="312">
        <v>2201054</v>
      </c>
      <c r="M157" s="315" t="s">
        <v>598</v>
      </c>
      <c r="N157" s="312">
        <v>2201054</v>
      </c>
      <c r="O157" s="315" t="s">
        <v>598</v>
      </c>
      <c r="P157" s="319">
        <v>220105400</v>
      </c>
      <c r="Q157" s="316" t="s">
        <v>599</v>
      </c>
      <c r="R157" s="319">
        <v>220105400</v>
      </c>
      <c r="S157" s="316" t="s">
        <v>599</v>
      </c>
      <c r="T157" s="317" t="s">
        <v>1459</v>
      </c>
      <c r="U157" s="345">
        <v>11</v>
      </c>
      <c r="V157" s="345"/>
      <c r="W157" s="318">
        <f t="shared" si="21"/>
        <v>11</v>
      </c>
      <c r="X157" s="345">
        <v>11</v>
      </c>
      <c r="Y157" s="320">
        <v>2020003630093</v>
      </c>
      <c r="Z157" s="321" t="s">
        <v>582</v>
      </c>
      <c r="AA157" s="321" t="s">
        <v>583</v>
      </c>
      <c r="AB157" s="322"/>
      <c r="AC157" s="322"/>
      <c r="AD157" s="322"/>
      <c r="AE157" s="322"/>
      <c r="AF157" s="322"/>
      <c r="AG157" s="322"/>
      <c r="AH157" s="322"/>
      <c r="AI157" s="322"/>
      <c r="AJ157" s="322"/>
      <c r="AK157" s="322"/>
      <c r="AL157" s="322"/>
      <c r="AM157" s="322"/>
      <c r="AN157" s="322"/>
      <c r="AO157" s="322"/>
      <c r="AP157" s="322"/>
      <c r="AQ157" s="322"/>
      <c r="AR157" s="322"/>
      <c r="AS157" s="322"/>
      <c r="AT157" s="392">
        <f>10000000+5770000</f>
        <v>15770000</v>
      </c>
      <c r="AU157" s="365">
        <v>15676500</v>
      </c>
      <c r="AV157" s="365">
        <v>15676500</v>
      </c>
      <c r="AW157" s="323"/>
      <c r="AX157" s="322"/>
      <c r="AY157" s="322"/>
      <c r="AZ157" s="324"/>
      <c r="BA157" s="322"/>
      <c r="BB157" s="322"/>
      <c r="BC157" s="323"/>
      <c r="BD157" s="322"/>
      <c r="BE157" s="322"/>
      <c r="BF157" s="462">
        <f t="shared" si="18"/>
        <v>15770000</v>
      </c>
      <c r="BG157" s="462">
        <f t="shared" si="19"/>
        <v>15676500</v>
      </c>
      <c r="BH157" s="462">
        <f t="shared" si="20"/>
        <v>15676500</v>
      </c>
      <c r="BI157" s="332" t="s">
        <v>1472</v>
      </c>
      <c r="BK157" s="327"/>
      <c r="BL157" s="328"/>
    </row>
    <row r="158" spans="1:64" s="326" customFormat="1" ht="117" customHeight="1" x14ac:dyDescent="0.2">
      <c r="A158" s="312">
        <v>314</v>
      </c>
      <c r="B158" s="314" t="s">
        <v>1203</v>
      </c>
      <c r="C158" s="312">
        <v>1</v>
      </c>
      <c r="D158" s="314" t="s">
        <v>1200</v>
      </c>
      <c r="E158" s="312">
        <v>22</v>
      </c>
      <c r="F158" s="314" t="s">
        <v>124</v>
      </c>
      <c r="G158" s="312">
        <v>2201</v>
      </c>
      <c r="H158" s="314" t="s">
        <v>229</v>
      </c>
      <c r="I158" s="312">
        <v>2201</v>
      </c>
      <c r="J158" s="315" t="s">
        <v>1241</v>
      </c>
      <c r="K158" s="321" t="s">
        <v>554</v>
      </c>
      <c r="L158" s="312">
        <v>2201061</v>
      </c>
      <c r="M158" s="315" t="s">
        <v>600</v>
      </c>
      <c r="N158" s="312">
        <v>2201061</v>
      </c>
      <c r="O158" s="315" t="s">
        <v>600</v>
      </c>
      <c r="P158" s="319">
        <v>220106102</v>
      </c>
      <c r="Q158" s="316" t="s">
        <v>601</v>
      </c>
      <c r="R158" s="319">
        <v>220106102</v>
      </c>
      <c r="S158" s="315" t="s">
        <v>601</v>
      </c>
      <c r="T158" s="317" t="s">
        <v>1460</v>
      </c>
      <c r="U158" s="345">
        <v>14</v>
      </c>
      <c r="V158" s="345"/>
      <c r="W158" s="318">
        <f t="shared" si="21"/>
        <v>14</v>
      </c>
      <c r="X158" s="345">
        <v>14</v>
      </c>
      <c r="Y158" s="320">
        <v>2020003630093</v>
      </c>
      <c r="Z158" s="321" t="s">
        <v>582</v>
      </c>
      <c r="AA158" s="321" t="s">
        <v>583</v>
      </c>
      <c r="AB158" s="322"/>
      <c r="AC158" s="322"/>
      <c r="AD158" s="322"/>
      <c r="AE158" s="322"/>
      <c r="AF158" s="322"/>
      <c r="AG158" s="322"/>
      <c r="AH158" s="322"/>
      <c r="AI158" s="322"/>
      <c r="AJ158" s="322"/>
      <c r="AK158" s="322"/>
      <c r="AL158" s="322"/>
      <c r="AM158" s="322"/>
      <c r="AN158" s="322"/>
      <c r="AO158" s="322"/>
      <c r="AP158" s="322"/>
      <c r="AQ158" s="322"/>
      <c r="AR158" s="322"/>
      <c r="AS158" s="322"/>
      <c r="AT158" s="392">
        <f>10000000+6000000</f>
        <v>16000000</v>
      </c>
      <c r="AU158" s="365">
        <v>16000000</v>
      </c>
      <c r="AV158" s="365">
        <v>16000000</v>
      </c>
      <c r="AW158" s="323"/>
      <c r="AX158" s="322"/>
      <c r="AY158" s="322"/>
      <c r="AZ158" s="324"/>
      <c r="BA158" s="322"/>
      <c r="BB158" s="322"/>
      <c r="BC158" s="323"/>
      <c r="BD158" s="322"/>
      <c r="BE158" s="322"/>
      <c r="BF158" s="462">
        <f t="shared" si="18"/>
        <v>16000000</v>
      </c>
      <c r="BG158" s="462">
        <f t="shared" si="19"/>
        <v>16000000</v>
      </c>
      <c r="BH158" s="462">
        <f t="shared" si="20"/>
        <v>16000000</v>
      </c>
      <c r="BI158" s="332" t="s">
        <v>1472</v>
      </c>
      <c r="BK158" s="327"/>
      <c r="BL158" s="328"/>
    </row>
    <row r="159" spans="1:64" s="326" customFormat="1" ht="117" customHeight="1" x14ac:dyDescent="0.2">
      <c r="A159" s="312">
        <v>314</v>
      </c>
      <c r="B159" s="314" t="s">
        <v>1203</v>
      </c>
      <c r="C159" s="312">
        <v>1</v>
      </c>
      <c r="D159" s="314" t="s">
        <v>1200</v>
      </c>
      <c r="E159" s="312">
        <v>22</v>
      </c>
      <c r="F159" s="314" t="s">
        <v>124</v>
      </c>
      <c r="G159" s="312">
        <v>2201</v>
      </c>
      <c r="H159" s="314" t="s">
        <v>229</v>
      </c>
      <c r="I159" s="312">
        <v>2201</v>
      </c>
      <c r="J159" s="315" t="s">
        <v>1241</v>
      </c>
      <c r="K159" s="384" t="s">
        <v>636</v>
      </c>
      <c r="L159" s="312">
        <v>2201066</v>
      </c>
      <c r="M159" s="315" t="s">
        <v>602</v>
      </c>
      <c r="N159" s="312">
        <v>2201066</v>
      </c>
      <c r="O159" s="315" t="s">
        <v>602</v>
      </c>
      <c r="P159" s="319">
        <v>220106600</v>
      </c>
      <c r="Q159" s="316" t="s">
        <v>603</v>
      </c>
      <c r="R159" s="319">
        <v>220106600</v>
      </c>
      <c r="S159" s="316" t="s">
        <v>603</v>
      </c>
      <c r="T159" s="317" t="s">
        <v>1460</v>
      </c>
      <c r="U159" s="345">
        <v>10000</v>
      </c>
      <c r="V159" s="345">
        <v>2533</v>
      </c>
      <c r="W159" s="318">
        <f t="shared" si="21"/>
        <v>12533</v>
      </c>
      <c r="X159" s="345">
        <v>4813</v>
      </c>
      <c r="Y159" s="320">
        <v>2020003630093</v>
      </c>
      <c r="Z159" s="321" t="s">
        <v>582</v>
      </c>
      <c r="AA159" s="321" t="s">
        <v>583</v>
      </c>
      <c r="AB159" s="322"/>
      <c r="AC159" s="322"/>
      <c r="AD159" s="322"/>
      <c r="AE159" s="322"/>
      <c r="AF159" s="322"/>
      <c r="AG159" s="322"/>
      <c r="AH159" s="322"/>
      <c r="AI159" s="322"/>
      <c r="AJ159" s="322"/>
      <c r="AK159" s="322"/>
      <c r="AL159" s="322"/>
      <c r="AM159" s="322"/>
      <c r="AN159" s="322"/>
      <c r="AO159" s="322"/>
      <c r="AP159" s="322"/>
      <c r="AQ159" s="322"/>
      <c r="AR159" s="322"/>
      <c r="AS159" s="322"/>
      <c r="AT159" s="392">
        <f>10000000+5770000+17655000</f>
        <v>33425000</v>
      </c>
      <c r="AU159" s="365">
        <v>33425000</v>
      </c>
      <c r="AV159" s="365">
        <v>33425000</v>
      </c>
      <c r="AW159" s="323"/>
      <c r="AX159" s="322"/>
      <c r="AY159" s="322"/>
      <c r="AZ159" s="324"/>
      <c r="BA159" s="322"/>
      <c r="BB159" s="322"/>
      <c r="BC159" s="323"/>
      <c r="BD159" s="322"/>
      <c r="BE159" s="322"/>
      <c r="BF159" s="462">
        <f t="shared" si="18"/>
        <v>33425000</v>
      </c>
      <c r="BG159" s="462">
        <f t="shared" si="19"/>
        <v>33425000</v>
      </c>
      <c r="BH159" s="462">
        <f t="shared" si="20"/>
        <v>33425000</v>
      </c>
      <c r="BI159" s="332" t="s">
        <v>1472</v>
      </c>
      <c r="BK159" s="327"/>
      <c r="BL159" s="328"/>
    </row>
    <row r="160" spans="1:64" s="326" customFormat="1" ht="117" customHeight="1" x14ac:dyDescent="0.2">
      <c r="A160" s="312">
        <v>314</v>
      </c>
      <c r="B160" s="314" t="s">
        <v>1203</v>
      </c>
      <c r="C160" s="312">
        <v>1</v>
      </c>
      <c r="D160" s="314" t="s">
        <v>1200</v>
      </c>
      <c r="E160" s="312">
        <v>22</v>
      </c>
      <c r="F160" s="314" t="s">
        <v>124</v>
      </c>
      <c r="G160" s="312">
        <v>2201</v>
      </c>
      <c r="H160" s="314" t="s">
        <v>229</v>
      </c>
      <c r="I160" s="312">
        <v>2201</v>
      </c>
      <c r="J160" s="315" t="s">
        <v>1241</v>
      </c>
      <c r="K160" s="321" t="s">
        <v>604</v>
      </c>
      <c r="L160" s="312">
        <v>2201006</v>
      </c>
      <c r="M160" s="315" t="s">
        <v>605</v>
      </c>
      <c r="N160" s="312">
        <v>2201006</v>
      </c>
      <c r="O160" s="315" t="s">
        <v>605</v>
      </c>
      <c r="P160" s="391">
        <v>220100600</v>
      </c>
      <c r="Q160" s="316" t="s">
        <v>606</v>
      </c>
      <c r="R160" s="391">
        <v>220100600</v>
      </c>
      <c r="S160" s="316" t="s">
        <v>606</v>
      </c>
      <c r="T160" s="317" t="s">
        <v>1459</v>
      </c>
      <c r="U160" s="345">
        <v>54</v>
      </c>
      <c r="V160" s="345"/>
      <c r="W160" s="318">
        <f t="shared" si="21"/>
        <v>54</v>
      </c>
      <c r="X160" s="385">
        <v>54</v>
      </c>
      <c r="Y160" s="320">
        <v>2020003630016</v>
      </c>
      <c r="Z160" s="315" t="s">
        <v>607</v>
      </c>
      <c r="AA160" s="321" t="s">
        <v>608</v>
      </c>
      <c r="AB160" s="322"/>
      <c r="AC160" s="322"/>
      <c r="AD160" s="322"/>
      <c r="AE160" s="322"/>
      <c r="AF160" s="322"/>
      <c r="AG160" s="322"/>
      <c r="AH160" s="322"/>
      <c r="AI160" s="322"/>
      <c r="AJ160" s="322"/>
      <c r="AK160" s="322"/>
      <c r="AL160" s="322"/>
      <c r="AM160" s="322"/>
      <c r="AN160" s="387"/>
      <c r="AO160" s="387"/>
      <c r="AP160" s="387"/>
      <c r="AQ160" s="322"/>
      <c r="AR160" s="322"/>
      <c r="AS160" s="322"/>
      <c r="AT160" s="392">
        <f>10000000+241470000+90210000+100000000+20000000+200000000+26163120</f>
        <v>687843120</v>
      </c>
      <c r="AU160" s="365">
        <v>507941499.33000004</v>
      </c>
      <c r="AV160" s="365">
        <v>507941499.33000004</v>
      </c>
      <c r="AW160" s="323"/>
      <c r="AX160" s="322"/>
      <c r="AY160" s="322"/>
      <c r="AZ160" s="324"/>
      <c r="BA160" s="322"/>
      <c r="BB160" s="322"/>
      <c r="BC160" s="323"/>
      <c r="BD160" s="322"/>
      <c r="BE160" s="322"/>
      <c r="BF160" s="462">
        <f t="shared" si="18"/>
        <v>687843120</v>
      </c>
      <c r="BG160" s="462">
        <f t="shared" si="19"/>
        <v>507941499.33000004</v>
      </c>
      <c r="BH160" s="462">
        <f t="shared" si="20"/>
        <v>507941499.33000004</v>
      </c>
      <c r="BI160" s="332" t="s">
        <v>1472</v>
      </c>
      <c r="BK160" s="327"/>
      <c r="BL160" s="328"/>
    </row>
    <row r="161" spans="1:64" s="326" customFormat="1" ht="117" customHeight="1" x14ac:dyDescent="0.2">
      <c r="A161" s="312">
        <v>314</v>
      </c>
      <c r="B161" s="314" t="s">
        <v>1203</v>
      </c>
      <c r="C161" s="312">
        <v>1</v>
      </c>
      <c r="D161" s="314" t="s">
        <v>1200</v>
      </c>
      <c r="E161" s="312">
        <v>22</v>
      </c>
      <c r="F161" s="314" t="s">
        <v>124</v>
      </c>
      <c r="G161" s="312">
        <v>2201</v>
      </c>
      <c r="H161" s="314" t="s">
        <v>229</v>
      </c>
      <c r="I161" s="312">
        <v>2201</v>
      </c>
      <c r="J161" s="315" t="s">
        <v>1241</v>
      </c>
      <c r="K161" s="321" t="s">
        <v>604</v>
      </c>
      <c r="L161" s="312">
        <v>2201015</v>
      </c>
      <c r="M161" s="315" t="s">
        <v>609</v>
      </c>
      <c r="N161" s="312">
        <v>2201015</v>
      </c>
      <c r="O161" s="315" t="s">
        <v>609</v>
      </c>
      <c r="P161" s="319">
        <v>220101500</v>
      </c>
      <c r="Q161" s="316" t="s">
        <v>610</v>
      </c>
      <c r="R161" s="319">
        <v>220101500</v>
      </c>
      <c r="S161" s="316" t="s">
        <v>610</v>
      </c>
      <c r="T161" s="317" t="s">
        <v>1459</v>
      </c>
      <c r="U161" s="345">
        <v>11</v>
      </c>
      <c r="V161" s="345"/>
      <c r="W161" s="318">
        <f t="shared" si="21"/>
        <v>11</v>
      </c>
      <c r="X161" s="385">
        <v>11</v>
      </c>
      <c r="Y161" s="320">
        <v>2020003630016</v>
      </c>
      <c r="Z161" s="315" t="s">
        <v>607</v>
      </c>
      <c r="AA161" s="321" t="s">
        <v>608</v>
      </c>
      <c r="AB161" s="322"/>
      <c r="AC161" s="322"/>
      <c r="AD161" s="322"/>
      <c r="AE161" s="322"/>
      <c r="AF161" s="322"/>
      <c r="AG161" s="322"/>
      <c r="AH161" s="322"/>
      <c r="AI161" s="322"/>
      <c r="AJ161" s="322"/>
      <c r="AK161" s="322"/>
      <c r="AL161" s="322"/>
      <c r="AM161" s="322"/>
      <c r="AN161" s="322"/>
      <c r="AO161" s="322"/>
      <c r="AP161" s="322"/>
      <c r="AQ161" s="322"/>
      <c r="AR161" s="322"/>
      <c r="AS161" s="322"/>
      <c r="AT161" s="392">
        <f>12000000-7000000+12310000</f>
        <v>17310000</v>
      </c>
      <c r="AU161" s="365">
        <v>13735334</v>
      </c>
      <c r="AV161" s="365">
        <v>13735334</v>
      </c>
      <c r="AW161" s="323"/>
      <c r="AX161" s="322"/>
      <c r="AY161" s="322"/>
      <c r="AZ161" s="324"/>
      <c r="BA161" s="322"/>
      <c r="BB161" s="322"/>
      <c r="BC161" s="323"/>
      <c r="BD161" s="322"/>
      <c r="BE161" s="322"/>
      <c r="BF161" s="462">
        <f t="shared" si="18"/>
        <v>17310000</v>
      </c>
      <c r="BG161" s="462">
        <f t="shared" si="19"/>
        <v>13735334</v>
      </c>
      <c r="BH161" s="462">
        <f t="shared" si="20"/>
        <v>13735334</v>
      </c>
      <c r="BI161" s="332" t="s">
        <v>1472</v>
      </c>
      <c r="BK161" s="327"/>
      <c r="BL161" s="328"/>
    </row>
    <row r="162" spans="1:64" s="326" customFormat="1" ht="117" customHeight="1" x14ac:dyDescent="0.2">
      <c r="A162" s="312">
        <v>314</v>
      </c>
      <c r="B162" s="314" t="s">
        <v>1203</v>
      </c>
      <c r="C162" s="312">
        <v>1</v>
      </c>
      <c r="D162" s="314" t="s">
        <v>1200</v>
      </c>
      <c r="E162" s="312">
        <v>22</v>
      </c>
      <c r="F162" s="314" t="s">
        <v>124</v>
      </c>
      <c r="G162" s="312">
        <v>2201</v>
      </c>
      <c r="H162" s="314" t="s">
        <v>229</v>
      </c>
      <c r="I162" s="312">
        <v>2201</v>
      </c>
      <c r="J162" s="315" t="s">
        <v>1241</v>
      </c>
      <c r="K162" s="321" t="s">
        <v>557</v>
      </c>
      <c r="L162" s="312">
        <v>2201042</v>
      </c>
      <c r="M162" s="315" t="s">
        <v>611</v>
      </c>
      <c r="N162" s="312">
        <v>2201042</v>
      </c>
      <c r="O162" s="315" t="s">
        <v>611</v>
      </c>
      <c r="P162" s="319">
        <v>220104200</v>
      </c>
      <c r="Q162" s="316" t="s">
        <v>612</v>
      </c>
      <c r="R162" s="319">
        <v>220104200</v>
      </c>
      <c r="S162" s="316" t="s">
        <v>612</v>
      </c>
      <c r="T162" s="317" t="s">
        <v>1460</v>
      </c>
      <c r="U162" s="345">
        <v>6000</v>
      </c>
      <c r="V162" s="345"/>
      <c r="W162" s="318">
        <f t="shared" si="21"/>
        <v>6000</v>
      </c>
      <c r="X162" s="385">
        <v>2086</v>
      </c>
      <c r="Y162" s="320">
        <v>2020003630016</v>
      </c>
      <c r="Z162" s="315" t="s">
        <v>607</v>
      </c>
      <c r="AA162" s="321" t="s">
        <v>608</v>
      </c>
      <c r="AB162" s="322"/>
      <c r="AC162" s="322"/>
      <c r="AD162" s="322"/>
      <c r="AE162" s="322"/>
      <c r="AF162" s="322"/>
      <c r="AG162" s="322"/>
      <c r="AH162" s="322"/>
      <c r="AI162" s="322"/>
      <c r="AJ162" s="322"/>
      <c r="AK162" s="322"/>
      <c r="AL162" s="322"/>
      <c r="AM162" s="322"/>
      <c r="AN162" s="322"/>
      <c r="AO162" s="322"/>
      <c r="AP162" s="322"/>
      <c r="AQ162" s="322"/>
      <c r="AR162" s="322"/>
      <c r="AS162" s="322"/>
      <c r="AT162" s="343">
        <f>10000000+5000000</f>
        <v>15000000</v>
      </c>
      <c r="AU162" s="342">
        <v>12020167</v>
      </c>
      <c r="AV162" s="342">
        <v>12020167</v>
      </c>
      <c r="AW162" s="323"/>
      <c r="AX162" s="322"/>
      <c r="AY162" s="322"/>
      <c r="AZ162" s="324"/>
      <c r="BA162" s="322"/>
      <c r="BB162" s="322"/>
      <c r="BC162" s="323"/>
      <c r="BD162" s="322"/>
      <c r="BE162" s="322"/>
      <c r="BF162" s="462">
        <f t="shared" si="18"/>
        <v>15000000</v>
      </c>
      <c r="BG162" s="462">
        <f t="shared" si="19"/>
        <v>12020167</v>
      </c>
      <c r="BH162" s="462">
        <f t="shared" si="20"/>
        <v>12020167</v>
      </c>
      <c r="BI162" s="332" t="s">
        <v>1472</v>
      </c>
      <c r="BK162" s="327"/>
      <c r="BL162" s="328"/>
    </row>
    <row r="163" spans="1:64" s="326" customFormat="1" ht="117" customHeight="1" x14ac:dyDescent="0.2">
      <c r="A163" s="312">
        <v>314</v>
      </c>
      <c r="B163" s="314" t="s">
        <v>1203</v>
      </c>
      <c r="C163" s="312">
        <v>1</v>
      </c>
      <c r="D163" s="314" t="s">
        <v>1200</v>
      </c>
      <c r="E163" s="312">
        <v>22</v>
      </c>
      <c r="F163" s="314" t="s">
        <v>124</v>
      </c>
      <c r="G163" s="312">
        <v>2201</v>
      </c>
      <c r="H163" s="314" t="s">
        <v>229</v>
      </c>
      <c r="I163" s="312">
        <v>2201</v>
      </c>
      <c r="J163" s="315" t="s">
        <v>1241</v>
      </c>
      <c r="K163" s="321" t="s">
        <v>126</v>
      </c>
      <c r="L163" s="312">
        <v>2201071</v>
      </c>
      <c r="M163" s="403" t="s">
        <v>613</v>
      </c>
      <c r="N163" s="312">
        <v>2201071</v>
      </c>
      <c r="O163" s="403" t="s">
        <v>613</v>
      </c>
      <c r="P163" s="391">
        <v>220107100</v>
      </c>
      <c r="Q163" s="316" t="s">
        <v>614</v>
      </c>
      <c r="R163" s="391">
        <v>220107100</v>
      </c>
      <c r="S163" s="316" t="s">
        <v>614</v>
      </c>
      <c r="T163" s="317" t="s">
        <v>1459</v>
      </c>
      <c r="U163" s="345">
        <v>54</v>
      </c>
      <c r="V163" s="345"/>
      <c r="W163" s="318">
        <f t="shared" si="21"/>
        <v>54</v>
      </c>
      <c r="X163" s="385">
        <v>54</v>
      </c>
      <c r="Y163" s="320">
        <v>2020003630016</v>
      </c>
      <c r="Z163" s="344" t="s">
        <v>607</v>
      </c>
      <c r="AA163" s="321" t="s">
        <v>608</v>
      </c>
      <c r="AB163" s="387"/>
      <c r="AC163" s="387"/>
      <c r="AD163" s="387"/>
      <c r="AE163" s="387">
        <f>2508409585-100000000</f>
        <v>2408409585</v>
      </c>
      <c r="AF163" s="387">
        <v>2408409585</v>
      </c>
      <c r="AG163" s="387">
        <v>2408409585</v>
      </c>
      <c r="AH163" s="387"/>
      <c r="AI163" s="387"/>
      <c r="AJ163" s="387"/>
      <c r="AK163" s="387"/>
      <c r="AL163" s="387"/>
      <c r="AM163" s="387"/>
      <c r="AN163" s="387">
        <f>148302000000+80000000+29000000000+1447985935.52-3303649.73+4284304+187771558.15+119663578-12323636570.59-17801642</f>
        <v>166796963513.34998</v>
      </c>
      <c r="AO163" s="387">
        <v>166624162932.75998</v>
      </c>
      <c r="AP163" s="387">
        <v>166523354710.05997</v>
      </c>
      <c r="AQ163" s="387"/>
      <c r="AR163" s="387"/>
      <c r="AS163" s="387"/>
      <c r="AT163" s="343">
        <f>3890647242-50000000-90000000-750647242+500000000+180000000+326689566.65+2700000000+178370199-50000000+100000000+844841845+36600000+325400000+40836880+51000000+650815541.99+15000000+84060294-160000000-84060294</f>
        <v>8739554032.6399994</v>
      </c>
      <c r="AU163" s="365">
        <v>8141916334.0900002</v>
      </c>
      <c r="AV163" s="365">
        <v>7810770460.5</v>
      </c>
      <c r="AW163" s="365"/>
      <c r="AX163" s="365">
        <v>0</v>
      </c>
      <c r="AY163" s="365">
        <v>0</v>
      </c>
      <c r="AZ163" s="392"/>
      <c r="BA163" s="365"/>
      <c r="BB163" s="365"/>
      <c r="BC163" s="468">
        <v>318992344.52999997</v>
      </c>
      <c r="BD163" s="387">
        <v>310934499</v>
      </c>
      <c r="BE163" s="387">
        <v>310934499</v>
      </c>
      <c r="BF163" s="462">
        <f t="shared" si="18"/>
        <v>178263919475.51999</v>
      </c>
      <c r="BG163" s="462">
        <f t="shared" si="19"/>
        <v>177485423350.84998</v>
      </c>
      <c r="BH163" s="462">
        <f t="shared" si="20"/>
        <v>177053469254.55997</v>
      </c>
      <c r="BI163" s="332" t="s">
        <v>1472</v>
      </c>
      <c r="BK163" s="327"/>
      <c r="BL163" s="328"/>
    </row>
    <row r="164" spans="1:64" s="326" customFormat="1" ht="117" customHeight="1" x14ac:dyDescent="0.2">
      <c r="A164" s="312">
        <v>314</v>
      </c>
      <c r="B164" s="314" t="s">
        <v>1203</v>
      </c>
      <c r="C164" s="312">
        <v>1</v>
      </c>
      <c r="D164" s="314" t="s">
        <v>1200</v>
      </c>
      <c r="E164" s="312">
        <v>22</v>
      </c>
      <c r="F164" s="314" t="s">
        <v>124</v>
      </c>
      <c r="G164" s="312">
        <v>2201</v>
      </c>
      <c r="H164" s="314" t="s">
        <v>229</v>
      </c>
      <c r="I164" s="312">
        <v>2201</v>
      </c>
      <c r="J164" s="315" t="s">
        <v>1241</v>
      </c>
      <c r="K164" s="321" t="s">
        <v>557</v>
      </c>
      <c r="L164" s="312">
        <v>2201050</v>
      </c>
      <c r="M164" s="315" t="s">
        <v>615</v>
      </c>
      <c r="N164" s="312">
        <v>2201050</v>
      </c>
      <c r="O164" s="315" t="s">
        <v>615</v>
      </c>
      <c r="P164" s="319">
        <v>220105000</v>
      </c>
      <c r="Q164" s="316" t="s">
        <v>616</v>
      </c>
      <c r="R164" s="319">
        <v>220105000</v>
      </c>
      <c r="S164" s="316" t="s">
        <v>616</v>
      </c>
      <c r="T164" s="317" t="s">
        <v>1460</v>
      </c>
      <c r="U164" s="345">
        <v>8000</v>
      </c>
      <c r="V164" s="345">
        <v>2350</v>
      </c>
      <c r="W164" s="318">
        <f t="shared" si="21"/>
        <v>10350</v>
      </c>
      <c r="X164" s="385">
        <v>10350</v>
      </c>
      <c r="Y164" s="320">
        <v>2020003630094</v>
      </c>
      <c r="Z164" s="344" t="s">
        <v>617</v>
      </c>
      <c r="AA164" s="321" t="s">
        <v>618</v>
      </c>
      <c r="AB164" s="322"/>
      <c r="AC164" s="322"/>
      <c r="AD164" s="322"/>
      <c r="AE164" s="322"/>
      <c r="AF164" s="322"/>
      <c r="AG164" s="322"/>
      <c r="AH164" s="322"/>
      <c r="AI164" s="322"/>
      <c r="AJ164" s="322"/>
      <c r="AK164" s="322"/>
      <c r="AL164" s="322"/>
      <c r="AM164" s="322"/>
      <c r="AN164" s="365">
        <f>622000000-622000000</f>
        <v>0</v>
      </c>
      <c r="AO164" s="365"/>
      <c r="AP164" s="365"/>
      <c r="AQ164" s="322"/>
      <c r="AR164" s="322"/>
      <c r="AS164" s="322"/>
      <c r="AT164" s="392">
        <f>10000000+5770000</f>
        <v>15770000</v>
      </c>
      <c r="AU164" s="365">
        <v>14165000</v>
      </c>
      <c r="AV164" s="365">
        <v>14165000</v>
      </c>
      <c r="AW164" s="323"/>
      <c r="AX164" s="322"/>
      <c r="AY164" s="322"/>
      <c r="AZ164" s="324"/>
      <c r="BA164" s="322"/>
      <c r="BB164" s="322"/>
      <c r="BC164" s="323"/>
      <c r="BD164" s="323"/>
      <c r="BE164" s="323"/>
      <c r="BF164" s="462">
        <f t="shared" si="18"/>
        <v>15770000</v>
      </c>
      <c r="BG164" s="462">
        <f t="shared" si="19"/>
        <v>14165000</v>
      </c>
      <c r="BH164" s="462">
        <f t="shared" si="20"/>
        <v>14165000</v>
      </c>
      <c r="BI164" s="332" t="s">
        <v>1472</v>
      </c>
      <c r="BK164" s="327"/>
      <c r="BL164" s="328"/>
    </row>
    <row r="165" spans="1:64" s="326" customFormat="1" ht="117" customHeight="1" x14ac:dyDescent="0.2">
      <c r="A165" s="312">
        <v>314</v>
      </c>
      <c r="B165" s="314" t="s">
        <v>1203</v>
      </c>
      <c r="C165" s="312">
        <v>1</v>
      </c>
      <c r="D165" s="314" t="s">
        <v>1200</v>
      </c>
      <c r="E165" s="312">
        <v>22</v>
      </c>
      <c r="F165" s="314" t="s">
        <v>124</v>
      </c>
      <c r="G165" s="312">
        <v>2201</v>
      </c>
      <c r="H165" s="314" t="s">
        <v>229</v>
      </c>
      <c r="I165" s="312">
        <v>2201</v>
      </c>
      <c r="J165" s="315" t="s">
        <v>1241</v>
      </c>
      <c r="K165" s="321" t="s">
        <v>557</v>
      </c>
      <c r="L165" s="312">
        <v>2201050</v>
      </c>
      <c r="M165" s="315" t="s">
        <v>615</v>
      </c>
      <c r="N165" s="312">
        <v>2201050</v>
      </c>
      <c r="O165" s="315" t="s">
        <v>615</v>
      </c>
      <c r="P165" s="391">
        <v>220105001</v>
      </c>
      <c r="Q165" s="316" t="s">
        <v>619</v>
      </c>
      <c r="R165" s="391">
        <v>220105001</v>
      </c>
      <c r="S165" s="316" t="s">
        <v>619</v>
      </c>
      <c r="T165" s="317" t="s">
        <v>1459</v>
      </c>
      <c r="U165" s="345">
        <v>150</v>
      </c>
      <c r="V165" s="345"/>
      <c r="W165" s="318">
        <f t="shared" si="21"/>
        <v>150</v>
      </c>
      <c r="X165" s="385">
        <v>99</v>
      </c>
      <c r="Y165" s="320">
        <v>2020003630094</v>
      </c>
      <c r="Z165" s="344" t="s">
        <v>617</v>
      </c>
      <c r="AA165" s="321" t="s">
        <v>618</v>
      </c>
      <c r="AB165" s="322"/>
      <c r="AC165" s="322"/>
      <c r="AD165" s="322"/>
      <c r="AE165" s="322"/>
      <c r="AF165" s="322"/>
      <c r="AG165" s="322"/>
      <c r="AH165" s="322"/>
      <c r="AI165" s="322"/>
      <c r="AJ165" s="322"/>
      <c r="AK165" s="322"/>
      <c r="AL165" s="322"/>
      <c r="AM165" s="322"/>
      <c r="AN165" s="387">
        <f>622000000-28554059-13569516</f>
        <v>579876425</v>
      </c>
      <c r="AO165" s="322">
        <v>579876425</v>
      </c>
      <c r="AP165" s="322">
        <v>579876425</v>
      </c>
      <c r="AQ165" s="322"/>
      <c r="AR165" s="322"/>
      <c r="AS165" s="322"/>
      <c r="AT165" s="324">
        <v>0</v>
      </c>
      <c r="AU165" s="322"/>
      <c r="AV165" s="322"/>
      <c r="AW165" s="323"/>
      <c r="AX165" s="322"/>
      <c r="AY165" s="322"/>
      <c r="AZ165" s="324"/>
      <c r="BA165" s="322"/>
      <c r="BB165" s="322"/>
      <c r="BC165" s="323"/>
      <c r="BD165" s="322"/>
      <c r="BE165" s="322"/>
      <c r="BF165" s="462">
        <f t="shared" si="18"/>
        <v>579876425</v>
      </c>
      <c r="BG165" s="462">
        <f t="shared" si="19"/>
        <v>579876425</v>
      </c>
      <c r="BH165" s="462">
        <f t="shared" si="20"/>
        <v>579876425</v>
      </c>
      <c r="BI165" s="332" t="s">
        <v>1472</v>
      </c>
      <c r="BK165" s="327"/>
      <c r="BL165" s="328"/>
    </row>
    <row r="166" spans="1:64" s="326" customFormat="1" ht="117" customHeight="1" x14ac:dyDescent="0.2">
      <c r="A166" s="312">
        <v>314</v>
      </c>
      <c r="B166" s="314" t="s">
        <v>1203</v>
      </c>
      <c r="C166" s="312">
        <v>1</v>
      </c>
      <c r="D166" s="314" t="s">
        <v>1200</v>
      </c>
      <c r="E166" s="312">
        <v>22</v>
      </c>
      <c r="F166" s="314" t="s">
        <v>124</v>
      </c>
      <c r="G166" s="312">
        <v>2201</v>
      </c>
      <c r="H166" s="314" t="s">
        <v>229</v>
      </c>
      <c r="I166" s="312">
        <v>2201</v>
      </c>
      <c r="J166" s="315" t="s">
        <v>1241</v>
      </c>
      <c r="K166" s="384" t="s">
        <v>566</v>
      </c>
      <c r="L166" s="312" t="s">
        <v>31</v>
      </c>
      <c r="M166" s="315" t="s">
        <v>620</v>
      </c>
      <c r="N166" s="312">
        <v>2201001</v>
      </c>
      <c r="O166" s="315" t="s">
        <v>193</v>
      </c>
      <c r="P166" s="312" t="s">
        <v>31</v>
      </c>
      <c r="Q166" s="316" t="s">
        <v>621</v>
      </c>
      <c r="R166" s="319">
        <v>220100100</v>
      </c>
      <c r="S166" s="316" t="s">
        <v>622</v>
      </c>
      <c r="T166" s="317" t="s">
        <v>1459</v>
      </c>
      <c r="U166" s="345">
        <v>2</v>
      </c>
      <c r="V166" s="345"/>
      <c r="W166" s="318">
        <f t="shared" si="21"/>
        <v>2</v>
      </c>
      <c r="X166" s="385">
        <v>2</v>
      </c>
      <c r="Y166" s="320">
        <v>2020003630094</v>
      </c>
      <c r="Z166" s="344" t="s">
        <v>617</v>
      </c>
      <c r="AA166" s="321" t="s">
        <v>618</v>
      </c>
      <c r="AB166" s="322"/>
      <c r="AC166" s="322"/>
      <c r="AD166" s="322"/>
      <c r="AE166" s="322"/>
      <c r="AF166" s="322"/>
      <c r="AG166" s="322"/>
      <c r="AH166" s="322"/>
      <c r="AI166" s="322"/>
      <c r="AJ166" s="322"/>
      <c r="AK166" s="322"/>
      <c r="AL166" s="322"/>
      <c r="AM166" s="322"/>
      <c r="AN166" s="322"/>
      <c r="AO166" s="322"/>
      <c r="AP166" s="322"/>
      <c r="AQ166" s="322"/>
      <c r="AR166" s="322"/>
      <c r="AS166" s="322"/>
      <c r="AT166" s="392">
        <f>10000000+1800000</f>
        <v>11800000</v>
      </c>
      <c r="AU166" s="365">
        <v>11800000</v>
      </c>
      <c r="AV166" s="365">
        <v>11800000</v>
      </c>
      <c r="AW166" s="323"/>
      <c r="AX166" s="322"/>
      <c r="AY166" s="322"/>
      <c r="AZ166" s="324"/>
      <c r="BA166" s="322"/>
      <c r="BB166" s="322"/>
      <c r="BC166" s="323"/>
      <c r="BD166" s="322"/>
      <c r="BE166" s="322"/>
      <c r="BF166" s="462">
        <f t="shared" si="18"/>
        <v>11800000</v>
      </c>
      <c r="BG166" s="462">
        <f t="shared" si="19"/>
        <v>11800000</v>
      </c>
      <c r="BH166" s="462">
        <f t="shared" si="20"/>
        <v>11800000</v>
      </c>
      <c r="BI166" s="332" t="s">
        <v>1472</v>
      </c>
      <c r="BK166" s="327"/>
      <c r="BL166" s="328"/>
    </row>
    <row r="167" spans="1:64" s="326" customFormat="1" ht="117" customHeight="1" x14ac:dyDescent="0.2">
      <c r="A167" s="312">
        <v>314</v>
      </c>
      <c r="B167" s="314" t="s">
        <v>1203</v>
      </c>
      <c r="C167" s="312">
        <v>1</v>
      </c>
      <c r="D167" s="314" t="s">
        <v>1200</v>
      </c>
      <c r="E167" s="312">
        <v>22</v>
      </c>
      <c r="F167" s="314" t="s">
        <v>124</v>
      </c>
      <c r="G167" s="312">
        <v>2201</v>
      </c>
      <c r="H167" s="314" t="s">
        <v>229</v>
      </c>
      <c r="I167" s="312">
        <v>2201</v>
      </c>
      <c r="J167" s="315" t="s">
        <v>1241</v>
      </c>
      <c r="K167" s="321" t="s">
        <v>623</v>
      </c>
      <c r="L167" s="312">
        <v>2201034</v>
      </c>
      <c r="M167" s="315" t="s">
        <v>624</v>
      </c>
      <c r="N167" s="312">
        <v>2201034</v>
      </c>
      <c r="O167" s="315" t="s">
        <v>624</v>
      </c>
      <c r="P167" s="391">
        <v>220103400</v>
      </c>
      <c r="Q167" s="316" t="s">
        <v>625</v>
      </c>
      <c r="R167" s="391">
        <v>220103400</v>
      </c>
      <c r="S167" s="316" t="s">
        <v>625</v>
      </c>
      <c r="T167" s="317" t="s">
        <v>1460</v>
      </c>
      <c r="U167" s="345">
        <v>5000</v>
      </c>
      <c r="V167" s="345">
        <v>740</v>
      </c>
      <c r="W167" s="318">
        <f t="shared" si="21"/>
        <v>5740</v>
      </c>
      <c r="X167" s="385">
        <v>11808</v>
      </c>
      <c r="Y167" s="320">
        <v>2020003630015</v>
      </c>
      <c r="Z167" s="344" t="s">
        <v>626</v>
      </c>
      <c r="AA167" s="321" t="s">
        <v>627</v>
      </c>
      <c r="AB167" s="322"/>
      <c r="AC167" s="322"/>
      <c r="AD167" s="322"/>
      <c r="AE167" s="322"/>
      <c r="AF167" s="322"/>
      <c r="AG167" s="322"/>
      <c r="AH167" s="322"/>
      <c r="AI167" s="322"/>
      <c r="AJ167" s="322"/>
      <c r="AK167" s="322"/>
      <c r="AL167" s="322"/>
      <c r="AM167" s="322"/>
      <c r="AN167" s="322"/>
      <c r="AO167" s="322"/>
      <c r="AP167" s="322"/>
      <c r="AQ167" s="322"/>
      <c r="AR167" s="322"/>
      <c r="AS167" s="322"/>
      <c r="AT167" s="392">
        <v>10000000</v>
      </c>
      <c r="AU167" s="365">
        <v>10000000</v>
      </c>
      <c r="AV167" s="365">
        <v>10000000</v>
      </c>
      <c r="AW167" s="323"/>
      <c r="AX167" s="322"/>
      <c r="AY167" s="322"/>
      <c r="AZ167" s="324"/>
      <c r="BA167" s="322"/>
      <c r="BB167" s="322"/>
      <c r="BC167" s="323"/>
      <c r="BD167" s="322"/>
      <c r="BE167" s="322"/>
      <c r="BF167" s="462">
        <f t="shared" si="18"/>
        <v>10000000</v>
      </c>
      <c r="BG167" s="462">
        <f t="shared" si="19"/>
        <v>10000000</v>
      </c>
      <c r="BH167" s="462">
        <f t="shared" si="20"/>
        <v>10000000</v>
      </c>
      <c r="BI167" s="332" t="s">
        <v>1472</v>
      </c>
      <c r="BK167" s="327"/>
      <c r="BL167" s="328"/>
    </row>
    <row r="168" spans="1:64" s="326" customFormat="1" ht="117" customHeight="1" x14ac:dyDescent="0.2">
      <c r="A168" s="312">
        <v>314</v>
      </c>
      <c r="B168" s="314" t="s">
        <v>1203</v>
      </c>
      <c r="C168" s="312">
        <v>1</v>
      </c>
      <c r="D168" s="314" t="s">
        <v>1200</v>
      </c>
      <c r="E168" s="312">
        <v>22</v>
      </c>
      <c r="F168" s="314" t="s">
        <v>124</v>
      </c>
      <c r="G168" s="312">
        <v>2201</v>
      </c>
      <c r="H168" s="314" t="s">
        <v>229</v>
      </c>
      <c r="I168" s="312">
        <v>2201</v>
      </c>
      <c r="J168" s="315" t="s">
        <v>1241</v>
      </c>
      <c r="K168" s="321" t="s">
        <v>623</v>
      </c>
      <c r="L168" s="312">
        <v>2201034</v>
      </c>
      <c r="M168" s="315" t="s">
        <v>628</v>
      </c>
      <c r="N168" s="312">
        <v>2201034</v>
      </c>
      <c r="O168" s="315" t="s">
        <v>628</v>
      </c>
      <c r="P168" s="319">
        <v>220103401</v>
      </c>
      <c r="Q168" s="316" t="s">
        <v>629</v>
      </c>
      <c r="R168" s="319">
        <v>220103401</v>
      </c>
      <c r="S168" s="316" t="s">
        <v>629</v>
      </c>
      <c r="T168" s="317" t="s">
        <v>1459</v>
      </c>
      <c r="U168" s="345">
        <v>54</v>
      </c>
      <c r="V168" s="345"/>
      <c r="W168" s="318">
        <f t="shared" si="21"/>
        <v>54</v>
      </c>
      <c r="X168" s="385">
        <v>54</v>
      </c>
      <c r="Y168" s="320">
        <v>2020003630015</v>
      </c>
      <c r="Z168" s="344" t="s">
        <v>626</v>
      </c>
      <c r="AA168" s="321" t="s">
        <v>627</v>
      </c>
      <c r="AB168" s="322"/>
      <c r="AC168" s="322"/>
      <c r="AD168" s="322"/>
      <c r="AE168" s="322"/>
      <c r="AF168" s="322"/>
      <c r="AG168" s="322"/>
      <c r="AH168" s="322"/>
      <c r="AI168" s="322"/>
      <c r="AJ168" s="322"/>
      <c r="AK168" s="322"/>
      <c r="AL168" s="322"/>
      <c r="AM168" s="322"/>
      <c r="AN168" s="322"/>
      <c r="AO168" s="322"/>
      <c r="AP168" s="322"/>
      <c r="AQ168" s="322"/>
      <c r="AR168" s="322"/>
      <c r="AS168" s="322"/>
      <c r="AT168" s="392">
        <v>10000000</v>
      </c>
      <c r="AU168" s="365">
        <v>10000000</v>
      </c>
      <c r="AV168" s="365">
        <v>10000000</v>
      </c>
      <c r="AW168" s="323"/>
      <c r="AX168" s="322"/>
      <c r="AY168" s="322"/>
      <c r="AZ168" s="324"/>
      <c r="BA168" s="322"/>
      <c r="BB168" s="322"/>
      <c r="BC168" s="323"/>
      <c r="BD168" s="322"/>
      <c r="BE168" s="322"/>
      <c r="BF168" s="462">
        <f t="shared" si="18"/>
        <v>10000000</v>
      </c>
      <c r="BG168" s="462">
        <f t="shared" si="19"/>
        <v>10000000</v>
      </c>
      <c r="BH168" s="462">
        <f t="shared" si="20"/>
        <v>10000000</v>
      </c>
      <c r="BI168" s="332" t="s">
        <v>1472</v>
      </c>
      <c r="BK168" s="327"/>
      <c r="BL168" s="328"/>
    </row>
    <row r="169" spans="1:64" s="326" customFormat="1" ht="117" customHeight="1" x14ac:dyDescent="0.2">
      <c r="A169" s="312">
        <v>314</v>
      </c>
      <c r="B169" s="314" t="s">
        <v>1203</v>
      </c>
      <c r="C169" s="312">
        <v>1</v>
      </c>
      <c r="D169" s="314" t="s">
        <v>1200</v>
      </c>
      <c r="E169" s="312">
        <v>22</v>
      </c>
      <c r="F169" s="314" t="s">
        <v>124</v>
      </c>
      <c r="G169" s="312">
        <v>2201</v>
      </c>
      <c r="H169" s="314" t="s">
        <v>229</v>
      </c>
      <c r="I169" s="312">
        <v>2201</v>
      </c>
      <c r="J169" s="315" t="s">
        <v>1241</v>
      </c>
      <c r="K169" s="321" t="s">
        <v>623</v>
      </c>
      <c r="L169" s="312">
        <v>2201060</v>
      </c>
      <c r="M169" s="315" t="s">
        <v>630</v>
      </c>
      <c r="N169" s="312">
        <v>2201060</v>
      </c>
      <c r="O169" s="315" t="s">
        <v>630</v>
      </c>
      <c r="P169" s="391">
        <v>220106000</v>
      </c>
      <c r="Q169" s="316" t="s">
        <v>631</v>
      </c>
      <c r="R169" s="391">
        <v>220106000</v>
      </c>
      <c r="S169" s="316" t="s">
        <v>631</v>
      </c>
      <c r="T169" s="317" t="s">
        <v>1460</v>
      </c>
      <c r="U169" s="345">
        <v>150</v>
      </c>
      <c r="V169" s="345">
        <v>47</v>
      </c>
      <c r="W169" s="318">
        <f t="shared" si="21"/>
        <v>197</v>
      </c>
      <c r="X169" s="385">
        <v>298</v>
      </c>
      <c r="Y169" s="320">
        <v>2020003630015</v>
      </c>
      <c r="Z169" s="344" t="s">
        <v>626</v>
      </c>
      <c r="AA169" s="321" t="s">
        <v>627</v>
      </c>
      <c r="AB169" s="322"/>
      <c r="AC169" s="322"/>
      <c r="AD169" s="322"/>
      <c r="AE169" s="322"/>
      <c r="AF169" s="322"/>
      <c r="AG169" s="322"/>
      <c r="AH169" s="322"/>
      <c r="AI169" s="322"/>
      <c r="AJ169" s="322"/>
      <c r="AK169" s="322"/>
      <c r="AL169" s="322"/>
      <c r="AM169" s="322"/>
      <c r="AN169" s="322"/>
      <c r="AO169" s="322"/>
      <c r="AP169" s="322"/>
      <c r="AQ169" s="322"/>
      <c r="AR169" s="322"/>
      <c r="AS169" s="322"/>
      <c r="AT169" s="392">
        <f>10000000-5000000</f>
        <v>5000000</v>
      </c>
      <c r="AU169" s="365">
        <v>5000000</v>
      </c>
      <c r="AV169" s="365">
        <v>5000000</v>
      </c>
      <c r="AW169" s="323"/>
      <c r="AX169" s="322"/>
      <c r="AY169" s="322"/>
      <c r="AZ169" s="324"/>
      <c r="BA169" s="322"/>
      <c r="BB169" s="322"/>
      <c r="BC169" s="323"/>
      <c r="BD169" s="322"/>
      <c r="BE169" s="322"/>
      <c r="BF169" s="462">
        <f t="shared" ref="BF169:BF232" si="22">AB169+AE169+AH169+AK169+AN169+AQ169+AT169+AW169+BC169</f>
        <v>5000000</v>
      </c>
      <c r="BG169" s="462">
        <f t="shared" ref="BG169:BG232" si="23">AC169+AF169+AI169+AL169+AO169+AR169+AU169+AX169+BD169</f>
        <v>5000000</v>
      </c>
      <c r="BH169" s="462">
        <f t="shared" ref="BH169:BH232" si="24">AD169+AG169+AJ169+AM169+AP169+AS169+AV169+AY169+BE169</f>
        <v>5000000</v>
      </c>
      <c r="BI169" s="332" t="s">
        <v>1472</v>
      </c>
      <c r="BK169" s="327"/>
      <c r="BL169" s="328"/>
    </row>
    <row r="170" spans="1:64" s="326" customFormat="1" ht="117" customHeight="1" x14ac:dyDescent="0.2">
      <c r="A170" s="312">
        <v>314</v>
      </c>
      <c r="B170" s="314" t="s">
        <v>1203</v>
      </c>
      <c r="C170" s="312">
        <v>1</v>
      </c>
      <c r="D170" s="314" t="s">
        <v>1200</v>
      </c>
      <c r="E170" s="312">
        <v>22</v>
      </c>
      <c r="F170" s="314" t="s">
        <v>124</v>
      </c>
      <c r="G170" s="312">
        <v>2201</v>
      </c>
      <c r="H170" s="314" t="s">
        <v>229</v>
      </c>
      <c r="I170" s="312">
        <v>2201</v>
      </c>
      <c r="J170" s="315" t="s">
        <v>1241</v>
      </c>
      <c r="K170" s="321" t="s">
        <v>604</v>
      </c>
      <c r="L170" s="312">
        <v>2201001</v>
      </c>
      <c r="M170" s="315" t="s">
        <v>193</v>
      </c>
      <c r="N170" s="312">
        <v>2201001</v>
      </c>
      <c r="O170" s="315" t="s">
        <v>193</v>
      </c>
      <c r="P170" s="319">
        <v>220100100</v>
      </c>
      <c r="Q170" s="316" t="s">
        <v>622</v>
      </c>
      <c r="R170" s="319">
        <v>220100100</v>
      </c>
      <c r="S170" s="316" t="s">
        <v>622</v>
      </c>
      <c r="T170" s="317" t="s">
        <v>1459</v>
      </c>
      <c r="U170" s="345">
        <v>5</v>
      </c>
      <c r="V170" s="345"/>
      <c r="W170" s="318">
        <f t="shared" si="21"/>
        <v>5</v>
      </c>
      <c r="X170" s="385">
        <v>5</v>
      </c>
      <c r="Y170" s="320">
        <v>2020003630095</v>
      </c>
      <c r="Z170" s="344" t="s">
        <v>632</v>
      </c>
      <c r="AA170" s="404" t="s">
        <v>633</v>
      </c>
      <c r="AB170" s="322"/>
      <c r="AC170" s="322"/>
      <c r="AD170" s="322"/>
      <c r="AE170" s="322"/>
      <c r="AF170" s="322"/>
      <c r="AG170" s="322"/>
      <c r="AH170" s="322"/>
      <c r="AI170" s="322"/>
      <c r="AJ170" s="322"/>
      <c r="AK170" s="322"/>
      <c r="AL170" s="322"/>
      <c r="AM170" s="322"/>
      <c r="AN170" s="322"/>
      <c r="AO170" s="322"/>
      <c r="AP170" s="322"/>
      <c r="AQ170" s="322"/>
      <c r="AR170" s="322"/>
      <c r="AS170" s="322"/>
      <c r="AT170" s="392">
        <f>9000000+15149600</f>
        <v>24149600</v>
      </c>
      <c r="AU170" s="365">
        <v>22200000</v>
      </c>
      <c r="AV170" s="365">
        <v>22200000</v>
      </c>
      <c r="AW170" s="323"/>
      <c r="AX170" s="322"/>
      <c r="AY170" s="322"/>
      <c r="AZ170" s="324"/>
      <c r="BA170" s="322"/>
      <c r="BB170" s="322"/>
      <c r="BC170" s="323"/>
      <c r="BD170" s="322"/>
      <c r="BE170" s="322"/>
      <c r="BF170" s="462">
        <f t="shared" si="22"/>
        <v>24149600</v>
      </c>
      <c r="BG170" s="462">
        <f t="shared" si="23"/>
        <v>22200000</v>
      </c>
      <c r="BH170" s="462">
        <f t="shared" si="24"/>
        <v>22200000</v>
      </c>
      <c r="BI170" s="332" t="s">
        <v>1472</v>
      </c>
      <c r="BK170" s="327"/>
      <c r="BL170" s="328"/>
    </row>
    <row r="171" spans="1:64" s="405" customFormat="1" ht="117" customHeight="1" x14ac:dyDescent="0.25">
      <c r="A171" s="312">
        <v>314</v>
      </c>
      <c r="B171" s="314" t="s">
        <v>1203</v>
      </c>
      <c r="C171" s="312">
        <v>1</v>
      </c>
      <c r="D171" s="314" t="s">
        <v>1200</v>
      </c>
      <c r="E171" s="312">
        <v>22</v>
      </c>
      <c r="F171" s="314" t="s">
        <v>124</v>
      </c>
      <c r="G171" s="312">
        <v>2201</v>
      </c>
      <c r="H171" s="314" t="s">
        <v>229</v>
      </c>
      <c r="I171" s="312">
        <v>2201</v>
      </c>
      <c r="J171" s="315" t="s">
        <v>1241</v>
      </c>
      <c r="K171" s="321" t="s">
        <v>557</v>
      </c>
      <c r="L171" s="312">
        <v>2201048</v>
      </c>
      <c r="M171" s="315" t="s">
        <v>634</v>
      </c>
      <c r="N171" s="312">
        <v>2201048</v>
      </c>
      <c r="O171" s="315" t="s">
        <v>634</v>
      </c>
      <c r="P171" s="319">
        <v>220104801</v>
      </c>
      <c r="Q171" s="316" t="s">
        <v>635</v>
      </c>
      <c r="R171" s="319">
        <v>220104801</v>
      </c>
      <c r="S171" s="316" t="s">
        <v>635</v>
      </c>
      <c r="T171" s="317" t="s">
        <v>1459</v>
      </c>
      <c r="U171" s="345">
        <v>1</v>
      </c>
      <c r="V171" s="345"/>
      <c r="W171" s="318">
        <f t="shared" si="21"/>
        <v>1</v>
      </c>
      <c r="X171" s="385">
        <v>1</v>
      </c>
      <c r="Y171" s="320">
        <v>2020003630095</v>
      </c>
      <c r="Z171" s="344" t="s">
        <v>632</v>
      </c>
      <c r="AA171" s="404" t="s">
        <v>633</v>
      </c>
      <c r="AB171" s="322"/>
      <c r="AC171" s="322"/>
      <c r="AD171" s="322"/>
      <c r="AE171" s="322"/>
      <c r="AF171" s="322"/>
      <c r="AG171" s="322"/>
      <c r="AH171" s="322"/>
      <c r="AI171" s="322"/>
      <c r="AJ171" s="322"/>
      <c r="AK171" s="322"/>
      <c r="AL171" s="322"/>
      <c r="AM171" s="322"/>
      <c r="AN171" s="322"/>
      <c r="AO171" s="322"/>
      <c r="AP171" s="322"/>
      <c r="AQ171" s="322"/>
      <c r="AR171" s="322"/>
      <c r="AS171" s="322"/>
      <c r="AT171" s="392">
        <v>9000000</v>
      </c>
      <c r="AU171" s="365">
        <v>9000000</v>
      </c>
      <c r="AV171" s="365">
        <v>9000000</v>
      </c>
      <c r="AW171" s="323"/>
      <c r="AX171" s="322"/>
      <c r="AY171" s="322"/>
      <c r="AZ171" s="324"/>
      <c r="BA171" s="322"/>
      <c r="BB171" s="322"/>
      <c r="BC171" s="323"/>
      <c r="BD171" s="322"/>
      <c r="BE171" s="322"/>
      <c r="BF171" s="462">
        <f t="shared" si="22"/>
        <v>9000000</v>
      </c>
      <c r="BG171" s="462">
        <f t="shared" si="23"/>
        <v>9000000</v>
      </c>
      <c r="BH171" s="462">
        <f t="shared" si="24"/>
        <v>9000000</v>
      </c>
      <c r="BI171" s="332" t="s">
        <v>1472</v>
      </c>
      <c r="BK171" s="327"/>
      <c r="BL171" s="328"/>
    </row>
    <row r="172" spans="1:64" s="405" customFormat="1" ht="117" customHeight="1" x14ac:dyDescent="0.25">
      <c r="A172" s="312">
        <v>314</v>
      </c>
      <c r="B172" s="314" t="s">
        <v>1203</v>
      </c>
      <c r="C172" s="312">
        <v>1</v>
      </c>
      <c r="D172" s="314" t="s">
        <v>1200</v>
      </c>
      <c r="E172" s="312">
        <v>22</v>
      </c>
      <c r="F172" s="314" t="s">
        <v>124</v>
      </c>
      <c r="G172" s="312" t="s">
        <v>31</v>
      </c>
      <c r="H172" s="314" t="s">
        <v>1218</v>
      </c>
      <c r="I172" s="312">
        <v>2202</v>
      </c>
      <c r="J172" s="315" t="s">
        <v>1219</v>
      </c>
      <c r="K172" s="321" t="s">
        <v>636</v>
      </c>
      <c r="L172" s="312" t="s">
        <v>31</v>
      </c>
      <c r="M172" s="315" t="s">
        <v>637</v>
      </c>
      <c r="N172" s="312">
        <v>2202006</v>
      </c>
      <c r="O172" s="315" t="s">
        <v>637</v>
      </c>
      <c r="P172" s="312" t="s">
        <v>31</v>
      </c>
      <c r="Q172" s="316" t="s">
        <v>638</v>
      </c>
      <c r="R172" s="312">
        <v>220200604</v>
      </c>
      <c r="S172" s="316" t="s">
        <v>639</v>
      </c>
      <c r="T172" s="317" t="s">
        <v>1459</v>
      </c>
      <c r="U172" s="345">
        <v>2</v>
      </c>
      <c r="V172" s="345"/>
      <c r="W172" s="318">
        <f t="shared" si="21"/>
        <v>2</v>
      </c>
      <c r="X172" s="385">
        <v>2</v>
      </c>
      <c r="Y172" s="320">
        <v>2020003630096</v>
      </c>
      <c r="Z172" s="344" t="s">
        <v>640</v>
      </c>
      <c r="AA172" s="321" t="s">
        <v>641</v>
      </c>
      <c r="AB172" s="322"/>
      <c r="AC172" s="322"/>
      <c r="AD172" s="322"/>
      <c r="AE172" s="322">
        <v>50011354</v>
      </c>
      <c r="AF172" s="322">
        <v>50011324</v>
      </c>
      <c r="AG172" s="322">
        <v>50011324</v>
      </c>
      <c r="AH172" s="322"/>
      <c r="AI172" s="322"/>
      <c r="AJ172" s="322"/>
      <c r="AK172" s="322"/>
      <c r="AL172" s="322"/>
      <c r="AM172" s="322"/>
      <c r="AN172" s="331"/>
      <c r="AO172" s="331"/>
      <c r="AP172" s="331"/>
      <c r="AQ172" s="322"/>
      <c r="AR172" s="322"/>
      <c r="AS172" s="322"/>
      <c r="AT172" s="343">
        <f>100000000+2000000000-2000000000+12557039+7610315</f>
        <v>120167354</v>
      </c>
      <c r="AU172" s="342">
        <v>106556288</v>
      </c>
      <c r="AV172" s="342">
        <v>106556288</v>
      </c>
      <c r="AW172" s="323"/>
      <c r="AX172" s="322"/>
      <c r="AY172" s="322"/>
      <c r="AZ172" s="324"/>
      <c r="BA172" s="322"/>
      <c r="BB172" s="322"/>
      <c r="BC172" s="323"/>
      <c r="BD172" s="322"/>
      <c r="BE172" s="322"/>
      <c r="BF172" s="462">
        <f t="shared" si="22"/>
        <v>170178708</v>
      </c>
      <c r="BG172" s="462">
        <f t="shared" si="23"/>
        <v>156567612</v>
      </c>
      <c r="BH172" s="462">
        <f t="shared" si="24"/>
        <v>156567612</v>
      </c>
      <c r="BI172" s="332" t="s">
        <v>1472</v>
      </c>
      <c r="BK172" s="327"/>
      <c r="BL172" s="328"/>
    </row>
    <row r="173" spans="1:64" s="326" customFormat="1" ht="117" customHeight="1" x14ac:dyDescent="0.2">
      <c r="A173" s="312">
        <v>314</v>
      </c>
      <c r="B173" s="314" t="s">
        <v>1203</v>
      </c>
      <c r="C173" s="312">
        <v>2</v>
      </c>
      <c r="D173" s="314" t="s">
        <v>1196</v>
      </c>
      <c r="E173" s="312">
        <v>39</v>
      </c>
      <c r="F173" s="314" t="s">
        <v>1137</v>
      </c>
      <c r="G173" s="312">
        <v>3904</v>
      </c>
      <c r="H173" s="314" t="s">
        <v>1363</v>
      </c>
      <c r="I173" s="312">
        <v>3904</v>
      </c>
      <c r="J173" s="315" t="s">
        <v>1262</v>
      </c>
      <c r="K173" s="321" t="s">
        <v>643</v>
      </c>
      <c r="L173" s="312">
        <v>3904006</v>
      </c>
      <c r="M173" s="315" t="s">
        <v>644</v>
      </c>
      <c r="N173" s="312">
        <v>3904006</v>
      </c>
      <c r="O173" s="315" t="s">
        <v>644</v>
      </c>
      <c r="P173" s="329">
        <v>390400604</v>
      </c>
      <c r="Q173" s="316" t="s">
        <v>645</v>
      </c>
      <c r="R173" s="329">
        <v>390400604</v>
      </c>
      <c r="S173" s="316" t="s">
        <v>646</v>
      </c>
      <c r="T173" s="317" t="s">
        <v>1460</v>
      </c>
      <c r="U173" s="345">
        <v>18</v>
      </c>
      <c r="V173" s="345"/>
      <c r="W173" s="318">
        <f t="shared" si="21"/>
        <v>18</v>
      </c>
      <c r="X173" s="385">
        <v>18</v>
      </c>
      <c r="Y173" s="320">
        <v>2020003630097</v>
      </c>
      <c r="Z173" s="344" t="s">
        <v>647</v>
      </c>
      <c r="AA173" s="321" t="s">
        <v>648</v>
      </c>
      <c r="AB173" s="322"/>
      <c r="AC173" s="322"/>
      <c r="AD173" s="322"/>
      <c r="AE173" s="322">
        <f>15000000-10000000</f>
        <v>5000000</v>
      </c>
      <c r="AF173" s="322">
        <v>5000000</v>
      </c>
      <c r="AG173" s="322">
        <v>5000000</v>
      </c>
      <c r="AH173" s="322"/>
      <c r="AI173" s="322"/>
      <c r="AJ173" s="322"/>
      <c r="AK173" s="322"/>
      <c r="AL173" s="322"/>
      <c r="AM173" s="322"/>
      <c r="AN173" s="331"/>
      <c r="AO173" s="331"/>
      <c r="AP173" s="331"/>
      <c r="AQ173" s="322"/>
      <c r="AR173" s="322"/>
      <c r="AS173" s="322"/>
      <c r="AT173" s="343">
        <f>7500000+5014678</f>
        <v>12514678</v>
      </c>
      <c r="AU173" s="342">
        <v>12514000</v>
      </c>
      <c r="AV173" s="342">
        <v>12514000</v>
      </c>
      <c r="AW173" s="323"/>
      <c r="AX173" s="322"/>
      <c r="AY173" s="322"/>
      <c r="AZ173" s="324"/>
      <c r="BA173" s="322"/>
      <c r="BB173" s="322"/>
      <c r="BC173" s="323"/>
      <c r="BD173" s="322"/>
      <c r="BE173" s="322"/>
      <c r="BF173" s="462">
        <f t="shared" si="22"/>
        <v>17514678</v>
      </c>
      <c r="BG173" s="462">
        <f t="shared" si="23"/>
        <v>17514000</v>
      </c>
      <c r="BH173" s="462">
        <f t="shared" si="24"/>
        <v>17514000</v>
      </c>
      <c r="BI173" s="332" t="s">
        <v>1472</v>
      </c>
      <c r="BK173" s="327"/>
      <c r="BL173" s="328"/>
    </row>
    <row r="174" spans="1:64" s="326" customFormat="1" ht="201.75" customHeight="1" x14ac:dyDescent="0.2">
      <c r="A174" s="312">
        <v>316</v>
      </c>
      <c r="B174" s="314" t="s">
        <v>1204</v>
      </c>
      <c r="C174" s="312">
        <v>1</v>
      </c>
      <c r="D174" s="314" t="s">
        <v>1200</v>
      </c>
      <c r="E174" s="312">
        <v>19</v>
      </c>
      <c r="F174" s="314" t="s">
        <v>122</v>
      </c>
      <c r="G174" s="312">
        <v>1905</v>
      </c>
      <c r="H174" s="314" t="s">
        <v>650</v>
      </c>
      <c r="I174" s="312">
        <v>1905</v>
      </c>
      <c r="J174" s="315" t="s">
        <v>1263</v>
      </c>
      <c r="K174" s="321" t="s">
        <v>651</v>
      </c>
      <c r="L174" s="319">
        <v>1905021</v>
      </c>
      <c r="M174" s="315" t="s">
        <v>652</v>
      </c>
      <c r="N174" s="319">
        <v>1905021</v>
      </c>
      <c r="O174" s="315" t="s">
        <v>652</v>
      </c>
      <c r="P174" s="319">
        <v>190502100</v>
      </c>
      <c r="Q174" s="316" t="s">
        <v>653</v>
      </c>
      <c r="R174" s="319">
        <v>190502100</v>
      </c>
      <c r="S174" s="316" t="s">
        <v>653</v>
      </c>
      <c r="T174" s="317" t="s">
        <v>1459</v>
      </c>
      <c r="U174" s="345">
        <v>12</v>
      </c>
      <c r="V174" s="345"/>
      <c r="W174" s="318">
        <f t="shared" si="21"/>
        <v>12</v>
      </c>
      <c r="X174" s="385">
        <v>12</v>
      </c>
      <c r="Y174" s="320">
        <v>2020003630011</v>
      </c>
      <c r="Z174" s="344" t="s">
        <v>1379</v>
      </c>
      <c r="AA174" s="404" t="s">
        <v>1380</v>
      </c>
      <c r="AB174" s="322"/>
      <c r="AC174" s="322"/>
      <c r="AD174" s="322"/>
      <c r="AE174" s="322"/>
      <c r="AF174" s="322"/>
      <c r="AG174" s="322"/>
      <c r="AH174" s="322"/>
      <c r="AI174" s="322"/>
      <c r="AJ174" s="322"/>
      <c r="AK174" s="322"/>
      <c r="AL174" s="322"/>
      <c r="AM174" s="322"/>
      <c r="AN174" s="322"/>
      <c r="AO174" s="322"/>
      <c r="AP174" s="322"/>
      <c r="AQ174" s="322"/>
      <c r="AR174" s="322"/>
      <c r="AS174" s="322"/>
      <c r="AT174" s="343">
        <f>100000000-12000000-8000000+12000000+6298166</f>
        <v>98298166</v>
      </c>
      <c r="AU174" s="342">
        <v>98298166</v>
      </c>
      <c r="AV174" s="342">
        <v>98298166</v>
      </c>
      <c r="AW174" s="323"/>
      <c r="AX174" s="322"/>
      <c r="AY174" s="322"/>
      <c r="AZ174" s="324"/>
      <c r="BA174" s="322"/>
      <c r="BB174" s="322"/>
      <c r="BC174" s="323"/>
      <c r="BD174" s="322"/>
      <c r="BE174" s="322"/>
      <c r="BF174" s="462">
        <f t="shared" si="22"/>
        <v>98298166</v>
      </c>
      <c r="BG174" s="462">
        <f t="shared" si="23"/>
        <v>98298166</v>
      </c>
      <c r="BH174" s="462">
        <f t="shared" si="24"/>
        <v>98298166</v>
      </c>
      <c r="BI174" s="332" t="s">
        <v>1471</v>
      </c>
      <c r="BK174" s="327"/>
      <c r="BL174" s="328"/>
    </row>
    <row r="175" spans="1:64" s="326" customFormat="1" ht="175.5" customHeight="1" x14ac:dyDescent="0.2">
      <c r="A175" s="312">
        <v>316</v>
      </c>
      <c r="B175" s="314" t="s">
        <v>1204</v>
      </c>
      <c r="C175" s="312">
        <v>1</v>
      </c>
      <c r="D175" s="314" t="s">
        <v>1200</v>
      </c>
      <c r="E175" s="312">
        <v>19</v>
      </c>
      <c r="F175" s="314" t="s">
        <v>122</v>
      </c>
      <c r="G175" s="312">
        <v>1905</v>
      </c>
      <c r="H175" s="314" t="s">
        <v>650</v>
      </c>
      <c r="I175" s="312">
        <v>1905</v>
      </c>
      <c r="J175" s="315" t="s">
        <v>1263</v>
      </c>
      <c r="K175" s="321" t="s">
        <v>655</v>
      </c>
      <c r="L175" s="339">
        <v>1905022</v>
      </c>
      <c r="M175" s="337" t="s">
        <v>656</v>
      </c>
      <c r="N175" s="339">
        <v>1905022</v>
      </c>
      <c r="O175" s="337" t="s">
        <v>656</v>
      </c>
      <c r="P175" s="329">
        <v>190502200</v>
      </c>
      <c r="Q175" s="316" t="s">
        <v>657</v>
      </c>
      <c r="R175" s="329">
        <v>190502200</v>
      </c>
      <c r="S175" s="316" t="s">
        <v>657</v>
      </c>
      <c r="T175" s="317" t="s">
        <v>1459</v>
      </c>
      <c r="U175" s="345">
        <v>12</v>
      </c>
      <c r="V175" s="345"/>
      <c r="W175" s="318">
        <f t="shared" si="21"/>
        <v>12</v>
      </c>
      <c r="X175" s="385">
        <v>12</v>
      </c>
      <c r="Y175" s="320">
        <v>2020003630011</v>
      </c>
      <c r="Z175" s="344" t="s">
        <v>1379</v>
      </c>
      <c r="AA175" s="404" t="s">
        <v>1380</v>
      </c>
      <c r="AB175" s="322"/>
      <c r="AC175" s="322"/>
      <c r="AD175" s="322"/>
      <c r="AE175" s="322"/>
      <c r="AF175" s="322"/>
      <c r="AG175" s="322"/>
      <c r="AH175" s="322"/>
      <c r="AI175" s="322"/>
      <c r="AJ175" s="322"/>
      <c r="AK175" s="322"/>
      <c r="AL175" s="322"/>
      <c r="AM175" s="322"/>
      <c r="AN175" s="322"/>
      <c r="AO175" s="322"/>
      <c r="AP175" s="322"/>
      <c r="AQ175" s="322"/>
      <c r="AR175" s="322"/>
      <c r="AS175" s="322"/>
      <c r="AT175" s="343">
        <f>75000000-20000000+35005000+2655000</f>
        <v>92660000</v>
      </c>
      <c r="AU175" s="342">
        <v>92656500</v>
      </c>
      <c r="AV175" s="342">
        <v>92656500</v>
      </c>
      <c r="AW175" s="323"/>
      <c r="AX175" s="322"/>
      <c r="AY175" s="322"/>
      <c r="AZ175" s="324"/>
      <c r="BA175" s="322"/>
      <c r="BB175" s="322"/>
      <c r="BC175" s="323"/>
      <c r="BD175" s="322"/>
      <c r="BE175" s="322"/>
      <c r="BF175" s="462">
        <f t="shared" si="22"/>
        <v>92660000</v>
      </c>
      <c r="BG175" s="462">
        <f t="shared" si="23"/>
        <v>92656500</v>
      </c>
      <c r="BH175" s="462">
        <f t="shared" si="24"/>
        <v>92656500</v>
      </c>
      <c r="BI175" s="332" t="s">
        <v>1471</v>
      </c>
      <c r="BK175" s="327"/>
      <c r="BL175" s="328"/>
    </row>
    <row r="176" spans="1:64" s="326" customFormat="1" ht="117" customHeight="1" x14ac:dyDescent="0.2">
      <c r="A176" s="312">
        <v>316</v>
      </c>
      <c r="B176" s="314" t="s">
        <v>1204</v>
      </c>
      <c r="C176" s="312">
        <v>1</v>
      </c>
      <c r="D176" s="314" t="s">
        <v>1200</v>
      </c>
      <c r="E176" s="312">
        <v>33</v>
      </c>
      <c r="F176" s="314" t="s">
        <v>132</v>
      </c>
      <c r="G176" s="312">
        <v>3301</v>
      </c>
      <c r="H176" s="314" t="s">
        <v>133</v>
      </c>
      <c r="I176" s="312">
        <v>3301</v>
      </c>
      <c r="J176" s="315" t="s">
        <v>1250</v>
      </c>
      <c r="K176" s="321" t="s">
        <v>1159</v>
      </c>
      <c r="L176" s="319">
        <v>3301051</v>
      </c>
      <c r="M176" s="315" t="s">
        <v>658</v>
      </c>
      <c r="N176" s="319">
        <v>3301051</v>
      </c>
      <c r="O176" s="315" t="s">
        <v>658</v>
      </c>
      <c r="P176" s="319">
        <v>330105110</v>
      </c>
      <c r="Q176" s="316" t="s">
        <v>659</v>
      </c>
      <c r="R176" s="319">
        <v>330105110</v>
      </c>
      <c r="S176" s="316" t="s">
        <v>659</v>
      </c>
      <c r="T176" s="317" t="s">
        <v>1460</v>
      </c>
      <c r="U176" s="345">
        <v>350</v>
      </c>
      <c r="V176" s="345"/>
      <c r="W176" s="318">
        <f t="shared" si="21"/>
        <v>350</v>
      </c>
      <c r="X176" s="385">
        <v>350</v>
      </c>
      <c r="Y176" s="320">
        <v>2020003630098</v>
      </c>
      <c r="Z176" s="344" t="s">
        <v>1167</v>
      </c>
      <c r="AA176" s="321" t="s">
        <v>660</v>
      </c>
      <c r="AB176" s="322"/>
      <c r="AC176" s="322"/>
      <c r="AD176" s="322"/>
      <c r="AE176" s="322"/>
      <c r="AF176" s="322"/>
      <c r="AG176" s="322"/>
      <c r="AH176" s="322"/>
      <c r="AI176" s="322"/>
      <c r="AJ176" s="322"/>
      <c r="AK176" s="322"/>
      <c r="AL176" s="322"/>
      <c r="AM176" s="322"/>
      <c r="AN176" s="322"/>
      <c r="AO176" s="322"/>
      <c r="AP176" s="322"/>
      <c r="AQ176" s="322"/>
      <c r="AR176" s="322"/>
      <c r="AS176" s="322"/>
      <c r="AT176" s="343">
        <f>14250000+14600000+1154000</f>
        <v>30004000</v>
      </c>
      <c r="AU176" s="342">
        <v>30004000</v>
      </c>
      <c r="AV176" s="342">
        <v>30004000</v>
      </c>
      <c r="AW176" s="323"/>
      <c r="AX176" s="322"/>
      <c r="AY176" s="322"/>
      <c r="AZ176" s="324"/>
      <c r="BA176" s="322"/>
      <c r="BB176" s="322"/>
      <c r="BC176" s="323"/>
      <c r="BD176" s="322"/>
      <c r="BE176" s="322"/>
      <c r="BF176" s="462">
        <f t="shared" si="22"/>
        <v>30004000</v>
      </c>
      <c r="BG176" s="462">
        <f t="shared" si="23"/>
        <v>30004000</v>
      </c>
      <c r="BH176" s="462">
        <f t="shared" si="24"/>
        <v>30004000</v>
      </c>
      <c r="BI176" s="332" t="s">
        <v>1471</v>
      </c>
      <c r="BK176" s="327"/>
      <c r="BL176" s="328"/>
    </row>
    <row r="177" spans="1:64" s="326" customFormat="1" ht="117" customHeight="1" x14ac:dyDescent="0.2">
      <c r="A177" s="312">
        <v>316</v>
      </c>
      <c r="B177" s="314" t="s">
        <v>1204</v>
      </c>
      <c r="C177" s="312">
        <v>1</v>
      </c>
      <c r="D177" s="314" t="s">
        <v>1200</v>
      </c>
      <c r="E177" s="312">
        <v>41</v>
      </c>
      <c r="F177" s="314" t="s">
        <v>661</v>
      </c>
      <c r="G177" s="312">
        <v>4102</v>
      </c>
      <c r="H177" s="314" t="s">
        <v>662</v>
      </c>
      <c r="I177" s="312">
        <v>4102</v>
      </c>
      <c r="J177" s="315" t="s">
        <v>1220</v>
      </c>
      <c r="K177" s="321" t="s">
        <v>663</v>
      </c>
      <c r="L177" s="312" t="s">
        <v>31</v>
      </c>
      <c r="M177" s="315" t="s">
        <v>664</v>
      </c>
      <c r="N177" s="319">
        <v>4102035</v>
      </c>
      <c r="O177" s="315" t="s">
        <v>68</v>
      </c>
      <c r="P177" s="312" t="s">
        <v>31</v>
      </c>
      <c r="Q177" s="316" t="s">
        <v>665</v>
      </c>
      <c r="R177" s="361">
        <v>410203500</v>
      </c>
      <c r="S177" s="316" t="s">
        <v>70</v>
      </c>
      <c r="T177" s="317" t="s">
        <v>1459</v>
      </c>
      <c r="U177" s="369">
        <v>1</v>
      </c>
      <c r="V177" s="369"/>
      <c r="W177" s="318">
        <f t="shared" si="21"/>
        <v>1</v>
      </c>
      <c r="X177" s="406">
        <v>1</v>
      </c>
      <c r="Y177" s="320">
        <v>2020003630099</v>
      </c>
      <c r="Z177" s="344" t="s">
        <v>1378</v>
      </c>
      <c r="AA177" s="321" t="s">
        <v>666</v>
      </c>
      <c r="AB177" s="322"/>
      <c r="AC177" s="322"/>
      <c r="AD177" s="322"/>
      <c r="AE177" s="322"/>
      <c r="AF177" s="322"/>
      <c r="AG177" s="322"/>
      <c r="AH177" s="322"/>
      <c r="AI177" s="322"/>
      <c r="AJ177" s="322"/>
      <c r="AK177" s="322"/>
      <c r="AL177" s="322"/>
      <c r="AM177" s="322"/>
      <c r="AN177" s="322"/>
      <c r="AO177" s="322"/>
      <c r="AP177" s="322"/>
      <c r="AQ177" s="322"/>
      <c r="AR177" s="322"/>
      <c r="AS177" s="322"/>
      <c r="AT177" s="343">
        <f>20000000-5000000+10000000+1320500</f>
        <v>26320500</v>
      </c>
      <c r="AU177" s="342">
        <v>26224333</v>
      </c>
      <c r="AV177" s="342">
        <v>26224333</v>
      </c>
      <c r="AW177" s="323"/>
      <c r="AX177" s="322"/>
      <c r="AY177" s="322"/>
      <c r="AZ177" s="324"/>
      <c r="BA177" s="322"/>
      <c r="BB177" s="322"/>
      <c r="BC177" s="323"/>
      <c r="BD177" s="322"/>
      <c r="BE177" s="322"/>
      <c r="BF177" s="462">
        <f t="shared" si="22"/>
        <v>26320500</v>
      </c>
      <c r="BG177" s="462">
        <f t="shared" si="23"/>
        <v>26224333</v>
      </c>
      <c r="BH177" s="462">
        <f t="shared" si="24"/>
        <v>26224333</v>
      </c>
      <c r="BI177" s="332" t="s">
        <v>1471</v>
      </c>
      <c r="BK177" s="327"/>
      <c r="BL177" s="328"/>
    </row>
    <row r="178" spans="1:64" s="326" customFormat="1" ht="117" customHeight="1" x14ac:dyDescent="0.2">
      <c r="A178" s="312">
        <v>316</v>
      </c>
      <c r="B178" s="314" t="s">
        <v>1204</v>
      </c>
      <c r="C178" s="312">
        <v>1</v>
      </c>
      <c r="D178" s="314" t="s">
        <v>1200</v>
      </c>
      <c r="E178" s="312">
        <v>41</v>
      </c>
      <c r="F178" s="314" t="s">
        <v>661</v>
      </c>
      <c r="G178" s="312">
        <v>4102</v>
      </c>
      <c r="H178" s="314" t="s">
        <v>662</v>
      </c>
      <c r="I178" s="312">
        <v>4102</v>
      </c>
      <c r="J178" s="315" t="s">
        <v>1220</v>
      </c>
      <c r="K178" s="321" t="s">
        <v>667</v>
      </c>
      <c r="L178" s="312" t="s">
        <v>31</v>
      </c>
      <c r="M178" s="315" t="s">
        <v>668</v>
      </c>
      <c r="N178" s="319">
        <v>4102001</v>
      </c>
      <c r="O178" s="315" t="s">
        <v>669</v>
      </c>
      <c r="P178" s="312" t="s">
        <v>31</v>
      </c>
      <c r="Q178" s="316" t="s">
        <v>670</v>
      </c>
      <c r="R178" s="319">
        <v>410200100</v>
      </c>
      <c r="S178" s="316" t="s">
        <v>671</v>
      </c>
      <c r="T178" s="317" t="s">
        <v>1459</v>
      </c>
      <c r="U178" s="369">
        <v>12</v>
      </c>
      <c r="V178" s="369"/>
      <c r="W178" s="318">
        <f t="shared" si="21"/>
        <v>12</v>
      </c>
      <c r="X178" s="406">
        <v>12</v>
      </c>
      <c r="Y178" s="320">
        <v>2020003630099</v>
      </c>
      <c r="Z178" s="344" t="s">
        <v>1378</v>
      </c>
      <c r="AA178" s="321" t="s">
        <v>666</v>
      </c>
      <c r="AB178" s="322"/>
      <c r="AC178" s="322"/>
      <c r="AD178" s="322"/>
      <c r="AE178" s="322"/>
      <c r="AF178" s="322"/>
      <c r="AG178" s="322"/>
      <c r="AH178" s="322"/>
      <c r="AI178" s="322"/>
      <c r="AJ178" s="322"/>
      <c r="AK178" s="322"/>
      <c r="AL178" s="322"/>
      <c r="AM178" s="322"/>
      <c r="AN178" s="322"/>
      <c r="AO178" s="322"/>
      <c r="AP178" s="322"/>
      <c r="AQ178" s="322"/>
      <c r="AR178" s="322"/>
      <c r="AS178" s="322"/>
      <c r="AT178" s="343">
        <f>50000000-20000000+19446500-1320500</f>
        <v>48126000</v>
      </c>
      <c r="AU178" s="342">
        <v>48126000</v>
      </c>
      <c r="AV178" s="342">
        <v>48126000</v>
      </c>
      <c r="AW178" s="323"/>
      <c r="AX178" s="322"/>
      <c r="AY178" s="322"/>
      <c r="AZ178" s="324"/>
      <c r="BA178" s="322"/>
      <c r="BB178" s="322"/>
      <c r="BC178" s="323"/>
      <c r="BD178" s="322"/>
      <c r="BE178" s="322"/>
      <c r="BF178" s="462">
        <f t="shared" si="22"/>
        <v>48126000</v>
      </c>
      <c r="BG178" s="462">
        <f t="shared" si="23"/>
        <v>48126000</v>
      </c>
      <c r="BH178" s="462">
        <f t="shared" si="24"/>
        <v>48126000</v>
      </c>
      <c r="BI178" s="332" t="s">
        <v>1471</v>
      </c>
      <c r="BK178" s="327"/>
      <c r="BL178" s="328"/>
    </row>
    <row r="179" spans="1:64" s="326" customFormat="1" ht="267.75" customHeight="1" x14ac:dyDescent="0.2">
      <c r="A179" s="312">
        <v>316</v>
      </c>
      <c r="B179" s="314" t="s">
        <v>1204</v>
      </c>
      <c r="C179" s="312">
        <v>1</v>
      </c>
      <c r="D179" s="314" t="s">
        <v>1200</v>
      </c>
      <c r="E179" s="312">
        <v>41</v>
      </c>
      <c r="F179" s="314" t="s">
        <v>661</v>
      </c>
      <c r="G179" s="312">
        <v>4102</v>
      </c>
      <c r="H179" s="314" t="s">
        <v>662</v>
      </c>
      <c r="I179" s="312">
        <v>4102</v>
      </c>
      <c r="J179" s="315" t="s">
        <v>1220</v>
      </c>
      <c r="K179" s="321" t="s">
        <v>672</v>
      </c>
      <c r="L179" s="312" t="s">
        <v>31</v>
      </c>
      <c r="M179" s="315" t="s">
        <v>673</v>
      </c>
      <c r="N179" s="312" t="s">
        <v>674</v>
      </c>
      <c r="O179" s="315" t="s">
        <v>675</v>
      </c>
      <c r="P179" s="312" t="s">
        <v>31</v>
      </c>
      <c r="Q179" s="316" t="s">
        <v>676</v>
      </c>
      <c r="R179" s="312">
        <v>410204300</v>
      </c>
      <c r="S179" s="316" t="s">
        <v>677</v>
      </c>
      <c r="T179" s="317" t="s">
        <v>1459</v>
      </c>
      <c r="U179" s="369">
        <v>1</v>
      </c>
      <c r="V179" s="369"/>
      <c r="W179" s="318">
        <f t="shared" si="21"/>
        <v>1</v>
      </c>
      <c r="X179" s="406">
        <v>1</v>
      </c>
      <c r="Y179" s="320">
        <v>2020003630100</v>
      </c>
      <c r="Z179" s="344" t="s">
        <v>678</v>
      </c>
      <c r="AA179" s="321" t="s">
        <v>679</v>
      </c>
      <c r="AB179" s="322"/>
      <c r="AC179" s="322"/>
      <c r="AD179" s="322"/>
      <c r="AE179" s="322"/>
      <c r="AF179" s="322"/>
      <c r="AG179" s="322"/>
      <c r="AH179" s="322"/>
      <c r="AI179" s="322"/>
      <c r="AJ179" s="322"/>
      <c r="AK179" s="322"/>
      <c r="AL179" s="322"/>
      <c r="AM179" s="322"/>
      <c r="AN179" s="322"/>
      <c r="AO179" s="322"/>
      <c r="AP179" s="322"/>
      <c r="AQ179" s="322"/>
      <c r="AR179" s="322"/>
      <c r="AS179" s="322"/>
      <c r="AT179" s="343">
        <f>135000000-11800000-23000000+38390000+1383505</f>
        <v>139973505</v>
      </c>
      <c r="AU179" s="342">
        <v>139857834</v>
      </c>
      <c r="AV179" s="342">
        <v>139857834</v>
      </c>
      <c r="AW179" s="323"/>
      <c r="AX179" s="322"/>
      <c r="AY179" s="322"/>
      <c r="AZ179" s="324"/>
      <c r="BA179" s="322"/>
      <c r="BB179" s="322"/>
      <c r="BC179" s="323"/>
      <c r="BD179" s="322"/>
      <c r="BE179" s="322"/>
      <c r="BF179" s="462">
        <f t="shared" si="22"/>
        <v>139973505</v>
      </c>
      <c r="BG179" s="462">
        <f t="shared" si="23"/>
        <v>139857834</v>
      </c>
      <c r="BH179" s="462">
        <f t="shared" si="24"/>
        <v>139857834</v>
      </c>
      <c r="BI179" s="332" t="s">
        <v>1471</v>
      </c>
      <c r="BK179" s="327"/>
      <c r="BL179" s="328"/>
    </row>
    <row r="180" spans="1:64" s="326" customFormat="1" ht="271.5" customHeight="1" x14ac:dyDescent="0.2">
      <c r="A180" s="312">
        <v>316</v>
      </c>
      <c r="B180" s="314" t="s">
        <v>1204</v>
      </c>
      <c r="C180" s="312">
        <v>1</v>
      </c>
      <c r="D180" s="314" t="s">
        <v>1200</v>
      </c>
      <c r="E180" s="312">
        <v>41</v>
      </c>
      <c r="F180" s="314" t="s">
        <v>661</v>
      </c>
      <c r="G180" s="312">
        <v>4102</v>
      </c>
      <c r="H180" s="314" t="s">
        <v>662</v>
      </c>
      <c r="I180" s="312">
        <v>4102</v>
      </c>
      <c r="J180" s="315" t="s">
        <v>1220</v>
      </c>
      <c r="K180" s="321" t="s">
        <v>680</v>
      </c>
      <c r="L180" s="312" t="s">
        <v>31</v>
      </c>
      <c r="M180" s="315" t="s">
        <v>683</v>
      </c>
      <c r="N180" s="312" t="s">
        <v>674</v>
      </c>
      <c r="O180" s="315" t="s">
        <v>684</v>
      </c>
      <c r="P180" s="312" t="s">
        <v>31</v>
      </c>
      <c r="Q180" s="315" t="s">
        <v>685</v>
      </c>
      <c r="R180" s="319">
        <v>410204301</v>
      </c>
      <c r="S180" s="315" t="s">
        <v>686</v>
      </c>
      <c r="T180" s="317" t="s">
        <v>1459</v>
      </c>
      <c r="U180" s="369">
        <v>1</v>
      </c>
      <c r="V180" s="369"/>
      <c r="W180" s="318">
        <f t="shared" si="21"/>
        <v>1</v>
      </c>
      <c r="X180" s="406">
        <v>1</v>
      </c>
      <c r="Y180" s="320">
        <v>2020003630101</v>
      </c>
      <c r="Z180" s="344" t="s">
        <v>681</v>
      </c>
      <c r="AA180" s="321" t="s">
        <v>682</v>
      </c>
      <c r="AB180" s="322"/>
      <c r="AC180" s="322"/>
      <c r="AD180" s="322"/>
      <c r="AE180" s="322"/>
      <c r="AF180" s="322"/>
      <c r="AG180" s="322"/>
      <c r="AH180" s="322"/>
      <c r="AI180" s="322"/>
      <c r="AJ180" s="322"/>
      <c r="AK180" s="322"/>
      <c r="AL180" s="322"/>
      <c r="AM180" s="322"/>
      <c r="AN180" s="322"/>
      <c r="AO180" s="322"/>
      <c r="AP180" s="322"/>
      <c r="AQ180" s="322"/>
      <c r="AR180" s="322"/>
      <c r="AS180" s="322"/>
      <c r="AT180" s="343">
        <f>204000000+25000000+27776044+8787900+300000000+15864807+160000000</f>
        <v>741428751</v>
      </c>
      <c r="AU180" s="342">
        <v>732240134.73000002</v>
      </c>
      <c r="AV180" s="342">
        <v>732240134.73000002</v>
      </c>
      <c r="AW180" s="323"/>
      <c r="AX180" s="322"/>
      <c r="AY180" s="322"/>
      <c r="AZ180" s="324"/>
      <c r="BA180" s="322"/>
      <c r="BB180" s="322"/>
      <c r="BC180" s="323"/>
      <c r="BD180" s="322"/>
      <c r="BE180" s="322"/>
      <c r="BF180" s="462">
        <f t="shared" si="22"/>
        <v>741428751</v>
      </c>
      <c r="BG180" s="462">
        <f t="shared" si="23"/>
        <v>732240134.73000002</v>
      </c>
      <c r="BH180" s="462">
        <f t="shared" si="24"/>
        <v>732240134.73000002</v>
      </c>
      <c r="BI180" s="332" t="s">
        <v>1471</v>
      </c>
      <c r="BK180" s="327"/>
      <c r="BL180" s="328"/>
    </row>
    <row r="181" spans="1:64" s="326" customFormat="1" ht="217.5" customHeight="1" x14ac:dyDescent="0.2">
      <c r="A181" s="312">
        <v>316</v>
      </c>
      <c r="B181" s="314" t="s">
        <v>1204</v>
      </c>
      <c r="C181" s="312">
        <v>1</v>
      </c>
      <c r="D181" s="314" t="s">
        <v>1200</v>
      </c>
      <c r="E181" s="312">
        <v>41</v>
      </c>
      <c r="F181" s="314" t="s">
        <v>661</v>
      </c>
      <c r="G181" s="312">
        <v>4102</v>
      </c>
      <c r="H181" s="314" t="s">
        <v>662</v>
      </c>
      <c r="I181" s="312">
        <v>4102</v>
      </c>
      <c r="J181" s="315" t="s">
        <v>1220</v>
      </c>
      <c r="K181" s="321" t="s">
        <v>687</v>
      </c>
      <c r="L181" s="312" t="s">
        <v>31</v>
      </c>
      <c r="M181" s="315" t="s">
        <v>688</v>
      </c>
      <c r="N181" s="319">
        <v>4102038</v>
      </c>
      <c r="O181" s="315" t="s">
        <v>689</v>
      </c>
      <c r="P181" s="312" t="s">
        <v>31</v>
      </c>
      <c r="Q181" s="316" t="s">
        <v>690</v>
      </c>
      <c r="R181" s="319">
        <v>410203800</v>
      </c>
      <c r="S181" s="315" t="s">
        <v>714</v>
      </c>
      <c r="T181" s="317" t="s">
        <v>1459</v>
      </c>
      <c r="U181" s="369">
        <v>1</v>
      </c>
      <c r="V181" s="369"/>
      <c r="W181" s="318">
        <f t="shared" si="21"/>
        <v>1</v>
      </c>
      <c r="X181" s="406">
        <v>1</v>
      </c>
      <c r="Y181" s="320">
        <v>2020003630102</v>
      </c>
      <c r="Z181" s="315" t="s">
        <v>691</v>
      </c>
      <c r="AA181" s="321" t="s">
        <v>692</v>
      </c>
      <c r="AB181" s="322"/>
      <c r="AC181" s="322"/>
      <c r="AD181" s="322"/>
      <c r="AE181" s="322"/>
      <c r="AF181" s="322"/>
      <c r="AG181" s="322"/>
      <c r="AH181" s="322"/>
      <c r="AI181" s="322"/>
      <c r="AJ181" s="322"/>
      <c r="AK181" s="322"/>
      <c r="AL181" s="322"/>
      <c r="AM181" s="322"/>
      <c r="AN181" s="322"/>
      <c r="AO181" s="322"/>
      <c r="AP181" s="322"/>
      <c r="AQ181" s="322"/>
      <c r="AR181" s="322"/>
      <c r="AS181" s="322"/>
      <c r="AT181" s="343">
        <f>210000000-30000000+13275000+8154000</f>
        <v>201429000</v>
      </c>
      <c r="AU181" s="342">
        <v>190975052.59999999</v>
      </c>
      <c r="AV181" s="342">
        <v>190975052.59999999</v>
      </c>
      <c r="AW181" s="323"/>
      <c r="AX181" s="322"/>
      <c r="AY181" s="322"/>
      <c r="AZ181" s="324"/>
      <c r="BA181" s="322"/>
      <c r="BB181" s="322"/>
      <c r="BC181" s="323"/>
      <c r="BD181" s="322"/>
      <c r="BE181" s="322"/>
      <c r="BF181" s="462">
        <f t="shared" si="22"/>
        <v>201429000</v>
      </c>
      <c r="BG181" s="462">
        <f t="shared" si="23"/>
        <v>190975052.59999999</v>
      </c>
      <c r="BH181" s="462">
        <f t="shared" si="24"/>
        <v>190975052.59999999</v>
      </c>
      <c r="BI181" s="332" t="s">
        <v>1471</v>
      </c>
      <c r="BK181" s="327"/>
      <c r="BL181" s="328"/>
    </row>
    <row r="182" spans="1:64" s="326" customFormat="1" ht="117" customHeight="1" x14ac:dyDescent="0.2">
      <c r="A182" s="312">
        <v>316</v>
      </c>
      <c r="B182" s="314" t="s">
        <v>1204</v>
      </c>
      <c r="C182" s="312">
        <v>1</v>
      </c>
      <c r="D182" s="314" t="s">
        <v>1200</v>
      </c>
      <c r="E182" s="312">
        <v>41</v>
      </c>
      <c r="F182" s="314" t="s">
        <v>661</v>
      </c>
      <c r="G182" s="312">
        <v>4102</v>
      </c>
      <c r="H182" s="314" t="s">
        <v>662</v>
      </c>
      <c r="I182" s="312">
        <v>4102</v>
      </c>
      <c r="J182" s="315" t="s">
        <v>1220</v>
      </c>
      <c r="K182" s="321" t="s">
        <v>693</v>
      </c>
      <c r="L182" s="312" t="s">
        <v>31</v>
      </c>
      <c r="M182" s="315" t="s">
        <v>694</v>
      </c>
      <c r="N182" s="319">
        <v>4102042</v>
      </c>
      <c r="O182" s="315" t="s">
        <v>695</v>
      </c>
      <c r="P182" s="312" t="s">
        <v>31</v>
      </c>
      <c r="Q182" s="316" t="s">
        <v>696</v>
      </c>
      <c r="R182" s="319">
        <v>410204200</v>
      </c>
      <c r="S182" s="316" t="s">
        <v>697</v>
      </c>
      <c r="T182" s="317" t="s">
        <v>1459</v>
      </c>
      <c r="U182" s="369">
        <v>12</v>
      </c>
      <c r="V182" s="369"/>
      <c r="W182" s="318">
        <f t="shared" si="21"/>
        <v>12</v>
      </c>
      <c r="X182" s="406">
        <v>12</v>
      </c>
      <c r="Y182" s="379">
        <v>2021003630010</v>
      </c>
      <c r="Z182" s="344" t="s">
        <v>1377</v>
      </c>
      <c r="AA182" s="407" t="s">
        <v>698</v>
      </c>
      <c r="AB182" s="322"/>
      <c r="AC182" s="322"/>
      <c r="AD182" s="322"/>
      <c r="AE182" s="322"/>
      <c r="AF182" s="322"/>
      <c r="AG182" s="322"/>
      <c r="AH182" s="322"/>
      <c r="AI182" s="322"/>
      <c r="AJ182" s="322"/>
      <c r="AK182" s="322"/>
      <c r="AL182" s="322"/>
      <c r="AM182" s="322"/>
      <c r="AN182" s="322"/>
      <c r="AO182" s="322"/>
      <c r="AP182" s="322"/>
      <c r="AQ182" s="322"/>
      <c r="AR182" s="322"/>
      <c r="AS182" s="322"/>
      <c r="AT182" s="343">
        <f>18000000+3800000+1250158</f>
        <v>23050158</v>
      </c>
      <c r="AU182" s="342">
        <v>22954000</v>
      </c>
      <c r="AV182" s="342">
        <v>22954000</v>
      </c>
      <c r="AW182" s="323"/>
      <c r="AX182" s="322"/>
      <c r="AY182" s="322"/>
      <c r="AZ182" s="324"/>
      <c r="BA182" s="322"/>
      <c r="BB182" s="322"/>
      <c r="BC182" s="323"/>
      <c r="BD182" s="322"/>
      <c r="BE182" s="322"/>
      <c r="BF182" s="462">
        <f t="shared" si="22"/>
        <v>23050158</v>
      </c>
      <c r="BG182" s="462">
        <f t="shared" si="23"/>
        <v>22954000</v>
      </c>
      <c r="BH182" s="462">
        <f t="shared" si="24"/>
        <v>22954000</v>
      </c>
      <c r="BI182" s="332" t="s">
        <v>1471</v>
      </c>
      <c r="BK182" s="327"/>
      <c r="BL182" s="328"/>
    </row>
    <row r="183" spans="1:64" s="326" customFormat="1" ht="117" customHeight="1" x14ac:dyDescent="0.2">
      <c r="A183" s="312">
        <v>316</v>
      </c>
      <c r="B183" s="314" t="s">
        <v>1204</v>
      </c>
      <c r="C183" s="312">
        <v>1</v>
      </c>
      <c r="D183" s="314" t="s">
        <v>1200</v>
      </c>
      <c r="E183" s="312">
        <v>41</v>
      </c>
      <c r="F183" s="314" t="s">
        <v>661</v>
      </c>
      <c r="G183" s="312">
        <v>4102</v>
      </c>
      <c r="H183" s="314" t="s">
        <v>662</v>
      </c>
      <c r="I183" s="312">
        <v>4102</v>
      </c>
      <c r="J183" s="315" t="s">
        <v>1220</v>
      </c>
      <c r="K183" s="321" t="s">
        <v>699</v>
      </c>
      <c r="L183" s="312" t="s">
        <v>31</v>
      </c>
      <c r="M183" s="344" t="s">
        <v>700</v>
      </c>
      <c r="N183" s="319">
        <v>4102001</v>
      </c>
      <c r="O183" s="344" t="s">
        <v>701</v>
      </c>
      <c r="P183" s="312" t="s">
        <v>31</v>
      </c>
      <c r="Q183" s="316" t="s">
        <v>702</v>
      </c>
      <c r="R183" s="319">
        <v>410200100</v>
      </c>
      <c r="S183" s="316" t="s">
        <v>703</v>
      </c>
      <c r="T183" s="317" t="s">
        <v>1459</v>
      </c>
      <c r="U183" s="369">
        <v>1</v>
      </c>
      <c r="V183" s="369"/>
      <c r="W183" s="318">
        <f t="shared" si="21"/>
        <v>1</v>
      </c>
      <c r="X183" s="406">
        <v>1</v>
      </c>
      <c r="Y183" s="320">
        <v>2020003630033</v>
      </c>
      <c r="Z183" s="344" t="s">
        <v>1376</v>
      </c>
      <c r="AA183" s="404" t="s">
        <v>705</v>
      </c>
      <c r="AB183" s="322"/>
      <c r="AC183" s="322"/>
      <c r="AD183" s="322"/>
      <c r="AE183" s="322"/>
      <c r="AF183" s="322"/>
      <c r="AG183" s="322"/>
      <c r="AH183" s="322"/>
      <c r="AI183" s="322"/>
      <c r="AJ183" s="322"/>
      <c r="AK183" s="322"/>
      <c r="AL183" s="322"/>
      <c r="AM183" s="322"/>
      <c r="AN183" s="322"/>
      <c r="AO183" s="322"/>
      <c r="AP183" s="322"/>
      <c r="AQ183" s="322"/>
      <c r="AR183" s="322"/>
      <c r="AS183" s="322"/>
      <c r="AT183" s="343">
        <f>20000000-5000000</f>
        <v>15000000</v>
      </c>
      <c r="AU183" s="342">
        <v>14963833</v>
      </c>
      <c r="AV183" s="342">
        <v>14963833</v>
      </c>
      <c r="AW183" s="323"/>
      <c r="AX183" s="322"/>
      <c r="AY183" s="322"/>
      <c r="AZ183" s="324"/>
      <c r="BA183" s="322"/>
      <c r="BB183" s="322"/>
      <c r="BC183" s="323"/>
      <c r="BD183" s="322"/>
      <c r="BE183" s="322"/>
      <c r="BF183" s="462">
        <f t="shared" si="22"/>
        <v>15000000</v>
      </c>
      <c r="BG183" s="462">
        <f t="shared" si="23"/>
        <v>14963833</v>
      </c>
      <c r="BH183" s="462">
        <f t="shared" si="24"/>
        <v>14963833</v>
      </c>
      <c r="BI183" s="332" t="s">
        <v>1471</v>
      </c>
      <c r="BK183" s="327"/>
      <c r="BL183" s="328"/>
    </row>
    <row r="184" spans="1:64" s="326" customFormat="1" ht="117" customHeight="1" x14ac:dyDescent="0.2">
      <c r="A184" s="312">
        <v>316</v>
      </c>
      <c r="B184" s="314" t="s">
        <v>1204</v>
      </c>
      <c r="C184" s="312">
        <v>1</v>
      </c>
      <c r="D184" s="314" t="s">
        <v>1200</v>
      </c>
      <c r="E184" s="312">
        <v>41</v>
      </c>
      <c r="F184" s="314" t="s">
        <v>661</v>
      </c>
      <c r="G184" s="312">
        <v>4102</v>
      </c>
      <c r="H184" s="314" t="s">
        <v>662</v>
      </c>
      <c r="I184" s="312">
        <v>4102</v>
      </c>
      <c r="J184" s="315" t="s">
        <v>1220</v>
      </c>
      <c r="K184" s="321" t="s">
        <v>706</v>
      </c>
      <c r="L184" s="312">
        <v>4102022</v>
      </c>
      <c r="M184" s="337" t="s">
        <v>707</v>
      </c>
      <c r="N184" s="339">
        <v>4102046</v>
      </c>
      <c r="O184" s="337" t="s">
        <v>708</v>
      </c>
      <c r="P184" s="339" t="s">
        <v>709</v>
      </c>
      <c r="Q184" s="316" t="s">
        <v>710</v>
      </c>
      <c r="R184" s="339">
        <v>410204600</v>
      </c>
      <c r="S184" s="316" t="s">
        <v>711</v>
      </c>
      <c r="T184" s="317" t="s">
        <v>1460</v>
      </c>
      <c r="U184" s="369">
        <v>21</v>
      </c>
      <c r="V184" s="369"/>
      <c r="W184" s="318">
        <f t="shared" si="21"/>
        <v>21</v>
      </c>
      <c r="X184" s="406">
        <v>21</v>
      </c>
      <c r="Y184" s="320">
        <v>2020003630033</v>
      </c>
      <c r="Z184" s="344" t="s">
        <v>1376</v>
      </c>
      <c r="AA184" s="404" t="s">
        <v>705</v>
      </c>
      <c r="AB184" s="322"/>
      <c r="AC184" s="322"/>
      <c r="AD184" s="322"/>
      <c r="AE184" s="322"/>
      <c r="AF184" s="322"/>
      <c r="AG184" s="322"/>
      <c r="AH184" s="322"/>
      <c r="AI184" s="322"/>
      <c r="AJ184" s="322"/>
      <c r="AK184" s="322"/>
      <c r="AL184" s="322"/>
      <c r="AM184" s="322"/>
      <c r="AN184" s="322"/>
      <c r="AO184" s="322"/>
      <c r="AP184" s="322"/>
      <c r="AQ184" s="322"/>
      <c r="AR184" s="322"/>
      <c r="AS184" s="322"/>
      <c r="AT184" s="343">
        <v>18000000</v>
      </c>
      <c r="AU184" s="342">
        <v>17880000</v>
      </c>
      <c r="AV184" s="342">
        <v>17880000</v>
      </c>
      <c r="AW184" s="323"/>
      <c r="AX184" s="322"/>
      <c r="AY184" s="322"/>
      <c r="AZ184" s="324"/>
      <c r="BA184" s="322"/>
      <c r="BB184" s="322"/>
      <c r="BC184" s="323"/>
      <c r="BD184" s="322"/>
      <c r="BE184" s="322"/>
      <c r="BF184" s="462">
        <f t="shared" si="22"/>
        <v>18000000</v>
      </c>
      <c r="BG184" s="462">
        <f t="shared" si="23"/>
        <v>17880000</v>
      </c>
      <c r="BH184" s="462">
        <f t="shared" si="24"/>
        <v>17880000</v>
      </c>
      <c r="BI184" s="332" t="s">
        <v>1471</v>
      </c>
      <c r="BK184" s="327"/>
      <c r="BL184" s="328"/>
    </row>
    <row r="185" spans="1:64" s="326" customFormat="1" ht="117" customHeight="1" x14ac:dyDescent="0.2">
      <c r="A185" s="312">
        <v>316</v>
      </c>
      <c r="B185" s="314" t="s">
        <v>1204</v>
      </c>
      <c r="C185" s="312">
        <v>1</v>
      </c>
      <c r="D185" s="314" t="s">
        <v>1200</v>
      </c>
      <c r="E185" s="312">
        <v>41</v>
      </c>
      <c r="F185" s="314" t="s">
        <v>661</v>
      </c>
      <c r="G185" s="312">
        <v>4102</v>
      </c>
      <c r="H185" s="314" t="s">
        <v>662</v>
      </c>
      <c r="I185" s="312">
        <v>4102</v>
      </c>
      <c r="J185" s="315" t="s">
        <v>1220</v>
      </c>
      <c r="K185" s="321" t="s">
        <v>712</v>
      </c>
      <c r="L185" s="312">
        <v>4102038</v>
      </c>
      <c r="M185" s="315" t="s">
        <v>713</v>
      </c>
      <c r="N185" s="312">
        <v>4102038</v>
      </c>
      <c r="O185" s="315" t="s">
        <v>713</v>
      </c>
      <c r="P185" s="329">
        <v>410203800</v>
      </c>
      <c r="Q185" s="316" t="s">
        <v>714</v>
      </c>
      <c r="R185" s="329">
        <v>410203800</v>
      </c>
      <c r="S185" s="316" t="s">
        <v>714</v>
      </c>
      <c r="T185" s="317" t="s">
        <v>1460</v>
      </c>
      <c r="U185" s="369">
        <v>10</v>
      </c>
      <c r="V185" s="369"/>
      <c r="W185" s="318">
        <f t="shared" si="21"/>
        <v>10</v>
      </c>
      <c r="X185" s="406">
        <v>10</v>
      </c>
      <c r="Y185" s="320">
        <v>2020003630034</v>
      </c>
      <c r="Z185" s="315" t="s">
        <v>1375</v>
      </c>
      <c r="AA185" s="407" t="s">
        <v>716</v>
      </c>
      <c r="AB185" s="322"/>
      <c r="AC185" s="322"/>
      <c r="AD185" s="322"/>
      <c r="AE185" s="322"/>
      <c r="AF185" s="322"/>
      <c r="AG185" s="322"/>
      <c r="AH185" s="322"/>
      <c r="AI185" s="322"/>
      <c r="AJ185" s="322"/>
      <c r="AK185" s="322"/>
      <c r="AL185" s="322"/>
      <c r="AM185" s="322"/>
      <c r="AN185" s="322"/>
      <c r="AO185" s="322"/>
      <c r="AP185" s="322"/>
      <c r="AQ185" s="322"/>
      <c r="AR185" s="322"/>
      <c r="AS185" s="322"/>
      <c r="AT185" s="343">
        <f>37000000+19045000</f>
        <v>56045000</v>
      </c>
      <c r="AU185" s="342">
        <v>54295000</v>
      </c>
      <c r="AV185" s="342">
        <v>54295000</v>
      </c>
      <c r="AW185" s="323"/>
      <c r="AX185" s="322"/>
      <c r="AY185" s="322"/>
      <c r="AZ185" s="324"/>
      <c r="BA185" s="322"/>
      <c r="BB185" s="322"/>
      <c r="BC185" s="323"/>
      <c r="BD185" s="322"/>
      <c r="BE185" s="322"/>
      <c r="BF185" s="462">
        <f t="shared" si="22"/>
        <v>56045000</v>
      </c>
      <c r="BG185" s="462">
        <f t="shared" si="23"/>
        <v>54295000</v>
      </c>
      <c r="BH185" s="462">
        <f t="shared" si="24"/>
        <v>54295000</v>
      </c>
      <c r="BI185" s="332" t="s">
        <v>1471</v>
      </c>
      <c r="BK185" s="327"/>
      <c r="BL185" s="328"/>
    </row>
    <row r="186" spans="1:64" s="326" customFormat="1" ht="117" customHeight="1" x14ac:dyDescent="0.2">
      <c r="A186" s="312">
        <v>316</v>
      </c>
      <c r="B186" s="314" t="s">
        <v>1204</v>
      </c>
      <c r="C186" s="312">
        <v>1</v>
      </c>
      <c r="D186" s="314" t="s">
        <v>1200</v>
      </c>
      <c r="E186" s="312">
        <v>41</v>
      </c>
      <c r="F186" s="314" t="s">
        <v>661</v>
      </c>
      <c r="G186" s="312">
        <v>4103</v>
      </c>
      <c r="H186" s="314" t="s">
        <v>252</v>
      </c>
      <c r="I186" s="312">
        <v>4103</v>
      </c>
      <c r="J186" s="315" t="s">
        <v>1258</v>
      </c>
      <c r="K186" s="321" t="s">
        <v>717</v>
      </c>
      <c r="L186" s="319">
        <v>4103059</v>
      </c>
      <c r="M186" s="315" t="s">
        <v>718</v>
      </c>
      <c r="N186" s="319">
        <v>4103059</v>
      </c>
      <c r="O186" s="315" t="s">
        <v>718</v>
      </c>
      <c r="P186" s="361">
        <v>410305900</v>
      </c>
      <c r="Q186" s="316" t="s">
        <v>719</v>
      </c>
      <c r="R186" s="361">
        <v>410305900</v>
      </c>
      <c r="S186" s="316" t="s">
        <v>719</v>
      </c>
      <c r="T186" s="317" t="s">
        <v>1460</v>
      </c>
      <c r="U186" s="345">
        <v>16</v>
      </c>
      <c r="V186" s="345"/>
      <c r="W186" s="318">
        <f t="shared" si="21"/>
        <v>16</v>
      </c>
      <c r="X186" s="385">
        <v>16</v>
      </c>
      <c r="Y186" s="320">
        <v>2020003630103</v>
      </c>
      <c r="Z186" s="315" t="s">
        <v>1180</v>
      </c>
      <c r="AA186" s="321" t="s">
        <v>720</v>
      </c>
      <c r="AB186" s="322"/>
      <c r="AC186" s="322"/>
      <c r="AD186" s="322"/>
      <c r="AE186" s="322"/>
      <c r="AF186" s="322"/>
      <c r="AG186" s="322"/>
      <c r="AH186" s="322"/>
      <c r="AI186" s="322"/>
      <c r="AJ186" s="322"/>
      <c r="AK186" s="322"/>
      <c r="AL186" s="322"/>
      <c r="AM186" s="322"/>
      <c r="AN186" s="322"/>
      <c r="AO186" s="322"/>
      <c r="AP186" s="322"/>
      <c r="AQ186" s="322"/>
      <c r="AR186" s="322"/>
      <c r="AS186" s="322"/>
      <c r="AT186" s="343">
        <f>15000000+23500000</f>
        <v>38500000</v>
      </c>
      <c r="AU186" s="342">
        <v>19800000</v>
      </c>
      <c r="AV186" s="342">
        <v>19800000</v>
      </c>
      <c r="AW186" s="323"/>
      <c r="AX186" s="322"/>
      <c r="AY186" s="322"/>
      <c r="AZ186" s="324"/>
      <c r="BA186" s="322"/>
      <c r="BB186" s="322"/>
      <c r="BC186" s="323"/>
      <c r="BD186" s="322"/>
      <c r="BE186" s="322"/>
      <c r="BF186" s="462">
        <f t="shared" si="22"/>
        <v>38500000</v>
      </c>
      <c r="BG186" s="462">
        <f t="shared" si="23"/>
        <v>19800000</v>
      </c>
      <c r="BH186" s="462">
        <f t="shared" si="24"/>
        <v>19800000</v>
      </c>
      <c r="BI186" s="332" t="s">
        <v>1471</v>
      </c>
      <c r="BK186" s="327"/>
      <c r="BL186" s="328"/>
    </row>
    <row r="187" spans="1:64" s="326" customFormat="1" ht="117" customHeight="1" x14ac:dyDescent="0.2">
      <c r="A187" s="312">
        <v>316</v>
      </c>
      <c r="B187" s="314" t="s">
        <v>1204</v>
      </c>
      <c r="C187" s="312">
        <v>1</v>
      </c>
      <c r="D187" s="314" t="s">
        <v>1200</v>
      </c>
      <c r="E187" s="312">
        <v>41</v>
      </c>
      <c r="F187" s="314" t="s">
        <v>661</v>
      </c>
      <c r="G187" s="312">
        <v>4103</v>
      </c>
      <c r="H187" s="314" t="s">
        <v>252</v>
      </c>
      <c r="I187" s="312">
        <v>4103</v>
      </c>
      <c r="J187" s="315" t="s">
        <v>1258</v>
      </c>
      <c r="K187" s="321" t="s">
        <v>721</v>
      </c>
      <c r="L187" s="312">
        <v>4103052</v>
      </c>
      <c r="M187" s="315" t="s">
        <v>255</v>
      </c>
      <c r="N187" s="312">
        <v>4103052</v>
      </c>
      <c r="O187" s="315" t="s">
        <v>255</v>
      </c>
      <c r="P187" s="329">
        <v>410305202</v>
      </c>
      <c r="Q187" s="316" t="s">
        <v>722</v>
      </c>
      <c r="R187" s="329">
        <v>410305202</v>
      </c>
      <c r="S187" s="316" t="s">
        <v>723</v>
      </c>
      <c r="T187" s="317" t="s">
        <v>1459</v>
      </c>
      <c r="U187" s="345">
        <v>1</v>
      </c>
      <c r="V187" s="345"/>
      <c r="W187" s="318">
        <f t="shared" si="21"/>
        <v>1</v>
      </c>
      <c r="X187" s="385">
        <v>1</v>
      </c>
      <c r="Y187" s="320">
        <v>2020003630104</v>
      </c>
      <c r="Z187" s="316" t="s">
        <v>1176</v>
      </c>
      <c r="AA187" s="321" t="s">
        <v>724</v>
      </c>
      <c r="AB187" s="322"/>
      <c r="AC187" s="322"/>
      <c r="AD187" s="322"/>
      <c r="AE187" s="322"/>
      <c r="AF187" s="322"/>
      <c r="AG187" s="322"/>
      <c r="AH187" s="322"/>
      <c r="AI187" s="322"/>
      <c r="AJ187" s="322"/>
      <c r="AK187" s="322"/>
      <c r="AL187" s="322"/>
      <c r="AM187" s="322"/>
      <c r="AN187" s="322"/>
      <c r="AO187" s="322"/>
      <c r="AP187" s="322"/>
      <c r="AQ187" s="322"/>
      <c r="AR187" s="322"/>
      <c r="AS187" s="322"/>
      <c r="AT187" s="343">
        <f>20000000+29300000+917930</f>
        <v>50217930</v>
      </c>
      <c r="AU187" s="342">
        <v>37493463</v>
      </c>
      <c r="AV187" s="342">
        <v>37493463</v>
      </c>
      <c r="AW187" s="323"/>
      <c r="AX187" s="322"/>
      <c r="AY187" s="322"/>
      <c r="AZ187" s="324"/>
      <c r="BA187" s="322"/>
      <c r="BB187" s="322"/>
      <c r="BC187" s="323"/>
      <c r="BD187" s="322"/>
      <c r="BE187" s="322"/>
      <c r="BF187" s="462">
        <f t="shared" si="22"/>
        <v>50217930</v>
      </c>
      <c r="BG187" s="462">
        <f t="shared" si="23"/>
        <v>37493463</v>
      </c>
      <c r="BH187" s="462">
        <f t="shared" si="24"/>
        <v>37493463</v>
      </c>
      <c r="BI187" s="332" t="s">
        <v>1471</v>
      </c>
      <c r="BK187" s="327"/>
      <c r="BL187" s="328"/>
    </row>
    <row r="188" spans="1:64" s="326" customFormat="1" ht="195.75" customHeight="1" x14ac:dyDescent="0.2">
      <c r="A188" s="312">
        <v>316</v>
      </c>
      <c r="B188" s="314" t="s">
        <v>1204</v>
      </c>
      <c r="C188" s="312">
        <v>1</v>
      </c>
      <c r="D188" s="314" t="s">
        <v>1200</v>
      </c>
      <c r="E188" s="312">
        <v>41</v>
      </c>
      <c r="F188" s="314" t="s">
        <v>661</v>
      </c>
      <c r="G188" s="312">
        <v>4103</v>
      </c>
      <c r="H188" s="314" t="s">
        <v>252</v>
      </c>
      <c r="I188" s="312">
        <v>4103</v>
      </c>
      <c r="J188" s="315" t="s">
        <v>1258</v>
      </c>
      <c r="K188" s="321" t="s">
        <v>706</v>
      </c>
      <c r="L188" s="312">
        <v>4103050</v>
      </c>
      <c r="M188" s="315" t="s">
        <v>725</v>
      </c>
      <c r="N188" s="312">
        <v>4103050</v>
      </c>
      <c r="O188" s="315" t="s">
        <v>725</v>
      </c>
      <c r="P188" s="329">
        <v>410305001</v>
      </c>
      <c r="Q188" s="316" t="s">
        <v>726</v>
      </c>
      <c r="R188" s="329">
        <v>410305001</v>
      </c>
      <c r="S188" s="316" t="s">
        <v>726</v>
      </c>
      <c r="T188" s="317" t="s">
        <v>1459</v>
      </c>
      <c r="U188" s="345">
        <v>12</v>
      </c>
      <c r="V188" s="345"/>
      <c r="W188" s="318">
        <f t="shared" si="21"/>
        <v>12</v>
      </c>
      <c r="X188" s="385">
        <v>12</v>
      </c>
      <c r="Y188" s="320">
        <v>2020003630105</v>
      </c>
      <c r="Z188" s="316" t="s">
        <v>1174</v>
      </c>
      <c r="AA188" s="321" t="s">
        <v>727</v>
      </c>
      <c r="AB188" s="322"/>
      <c r="AC188" s="322"/>
      <c r="AD188" s="322"/>
      <c r="AE188" s="322"/>
      <c r="AF188" s="322"/>
      <c r="AG188" s="322"/>
      <c r="AH188" s="322"/>
      <c r="AI188" s="322"/>
      <c r="AJ188" s="322"/>
      <c r="AK188" s="322"/>
      <c r="AL188" s="322"/>
      <c r="AM188" s="322"/>
      <c r="AN188" s="322"/>
      <c r="AO188" s="322"/>
      <c r="AP188" s="322"/>
      <c r="AQ188" s="322"/>
      <c r="AR188" s="322"/>
      <c r="AS188" s="322"/>
      <c r="AT188" s="343">
        <f>25000000+4000000+1000000</f>
        <v>30000000</v>
      </c>
      <c r="AU188" s="342">
        <v>27000000</v>
      </c>
      <c r="AV188" s="342">
        <v>27000000</v>
      </c>
      <c r="AW188" s="323"/>
      <c r="AX188" s="322"/>
      <c r="AY188" s="322"/>
      <c r="AZ188" s="324"/>
      <c r="BA188" s="322"/>
      <c r="BB188" s="322"/>
      <c r="BC188" s="323"/>
      <c r="BD188" s="322"/>
      <c r="BE188" s="322"/>
      <c r="BF188" s="462">
        <f t="shared" si="22"/>
        <v>30000000</v>
      </c>
      <c r="BG188" s="462">
        <f t="shared" si="23"/>
        <v>27000000</v>
      </c>
      <c r="BH188" s="462">
        <f t="shared" si="24"/>
        <v>27000000</v>
      </c>
      <c r="BI188" s="332" t="s">
        <v>1471</v>
      </c>
      <c r="BK188" s="327"/>
      <c r="BL188" s="328"/>
    </row>
    <row r="189" spans="1:64" s="326" customFormat="1" ht="117" customHeight="1" x14ac:dyDescent="0.2">
      <c r="A189" s="312">
        <v>316</v>
      </c>
      <c r="B189" s="314" t="s">
        <v>1204</v>
      </c>
      <c r="C189" s="312">
        <v>1</v>
      </c>
      <c r="D189" s="314" t="s">
        <v>1200</v>
      </c>
      <c r="E189" s="312">
        <v>41</v>
      </c>
      <c r="F189" s="314" t="s">
        <v>661</v>
      </c>
      <c r="G189" s="312">
        <v>4103</v>
      </c>
      <c r="H189" s="314" t="s">
        <v>252</v>
      </c>
      <c r="I189" s="312">
        <v>4103</v>
      </c>
      <c r="J189" s="315" t="s">
        <v>1258</v>
      </c>
      <c r="K189" s="321" t="s">
        <v>728</v>
      </c>
      <c r="L189" s="319">
        <v>4103058</v>
      </c>
      <c r="M189" s="315" t="s">
        <v>729</v>
      </c>
      <c r="N189" s="319">
        <v>4103058</v>
      </c>
      <c r="O189" s="315" t="s">
        <v>729</v>
      </c>
      <c r="P189" s="361">
        <v>410305800</v>
      </c>
      <c r="Q189" s="316" t="s">
        <v>730</v>
      </c>
      <c r="R189" s="361">
        <v>410305800</v>
      </c>
      <c r="S189" s="316" t="s">
        <v>730</v>
      </c>
      <c r="T189" s="317" t="s">
        <v>1460</v>
      </c>
      <c r="U189" s="345">
        <v>4</v>
      </c>
      <c r="V189" s="345">
        <v>1</v>
      </c>
      <c r="W189" s="318">
        <f t="shared" si="21"/>
        <v>5</v>
      </c>
      <c r="X189" s="385">
        <v>5</v>
      </c>
      <c r="Y189" s="320">
        <v>2020003630106</v>
      </c>
      <c r="Z189" s="316" t="s">
        <v>1175</v>
      </c>
      <c r="AA189" s="321" t="s">
        <v>731</v>
      </c>
      <c r="AB189" s="322"/>
      <c r="AC189" s="322"/>
      <c r="AD189" s="322"/>
      <c r="AE189" s="322"/>
      <c r="AF189" s="322"/>
      <c r="AG189" s="322"/>
      <c r="AH189" s="322"/>
      <c r="AI189" s="322"/>
      <c r="AJ189" s="322"/>
      <c r="AK189" s="322"/>
      <c r="AL189" s="322"/>
      <c r="AM189" s="322"/>
      <c r="AN189" s="322"/>
      <c r="AO189" s="322"/>
      <c r="AP189" s="322"/>
      <c r="AQ189" s="322"/>
      <c r="AR189" s="322"/>
      <c r="AS189" s="322"/>
      <c r="AT189" s="343">
        <f>28000000+9000000-7000000+494667</f>
        <v>30494667</v>
      </c>
      <c r="AU189" s="342">
        <v>23859070</v>
      </c>
      <c r="AV189" s="342">
        <v>23859070</v>
      </c>
      <c r="AW189" s="323"/>
      <c r="AX189" s="322"/>
      <c r="AY189" s="322"/>
      <c r="AZ189" s="324"/>
      <c r="BA189" s="322"/>
      <c r="BB189" s="322"/>
      <c r="BC189" s="323"/>
      <c r="BD189" s="322"/>
      <c r="BE189" s="322"/>
      <c r="BF189" s="462">
        <f t="shared" si="22"/>
        <v>30494667</v>
      </c>
      <c r="BG189" s="462">
        <f t="shared" si="23"/>
        <v>23859070</v>
      </c>
      <c r="BH189" s="462">
        <f t="shared" si="24"/>
        <v>23859070</v>
      </c>
      <c r="BI189" s="332" t="s">
        <v>1471</v>
      </c>
      <c r="BK189" s="327"/>
      <c r="BL189" s="328"/>
    </row>
    <row r="190" spans="1:64" s="326" customFormat="1" ht="117" customHeight="1" x14ac:dyDescent="0.2">
      <c r="A190" s="312">
        <v>316</v>
      </c>
      <c r="B190" s="314" t="s">
        <v>1204</v>
      </c>
      <c r="C190" s="312">
        <v>1</v>
      </c>
      <c r="D190" s="314" t="s">
        <v>1200</v>
      </c>
      <c r="E190" s="312">
        <v>41</v>
      </c>
      <c r="F190" s="314" t="s">
        <v>661</v>
      </c>
      <c r="G190" s="312">
        <v>4103</v>
      </c>
      <c r="H190" s="314" t="s">
        <v>252</v>
      </c>
      <c r="I190" s="312">
        <v>4103</v>
      </c>
      <c r="J190" s="315" t="s">
        <v>1258</v>
      </c>
      <c r="K190" s="404" t="s">
        <v>732</v>
      </c>
      <c r="L190" s="312" t="s">
        <v>31</v>
      </c>
      <c r="M190" s="315" t="s">
        <v>733</v>
      </c>
      <c r="N190" s="319">
        <v>4103060</v>
      </c>
      <c r="O190" s="315" t="s">
        <v>734</v>
      </c>
      <c r="P190" s="312" t="s">
        <v>31</v>
      </c>
      <c r="Q190" s="316" t="s">
        <v>735</v>
      </c>
      <c r="R190" s="319">
        <v>410306000</v>
      </c>
      <c r="S190" s="316" t="s">
        <v>736</v>
      </c>
      <c r="T190" s="317" t="s">
        <v>1460</v>
      </c>
      <c r="U190" s="345">
        <v>5</v>
      </c>
      <c r="V190" s="345"/>
      <c r="W190" s="318">
        <f t="shared" si="21"/>
        <v>5</v>
      </c>
      <c r="X190" s="385">
        <v>5</v>
      </c>
      <c r="Y190" s="320">
        <v>2020003630036</v>
      </c>
      <c r="Z190" s="315" t="s">
        <v>1177</v>
      </c>
      <c r="AA190" s="321" t="s">
        <v>737</v>
      </c>
      <c r="AB190" s="322"/>
      <c r="AC190" s="322"/>
      <c r="AD190" s="322"/>
      <c r="AE190" s="322"/>
      <c r="AF190" s="322"/>
      <c r="AG190" s="322"/>
      <c r="AH190" s="322"/>
      <c r="AI190" s="322"/>
      <c r="AJ190" s="322"/>
      <c r="AK190" s="322"/>
      <c r="AL190" s="322"/>
      <c r="AM190" s="322"/>
      <c r="AN190" s="322"/>
      <c r="AO190" s="322"/>
      <c r="AP190" s="322"/>
      <c r="AQ190" s="322"/>
      <c r="AR190" s="322"/>
      <c r="AS190" s="322"/>
      <c r="AT190" s="343">
        <f>27000000+16724400</f>
        <v>43724400</v>
      </c>
      <c r="AU190" s="342">
        <v>42724400</v>
      </c>
      <c r="AV190" s="342">
        <v>42724400</v>
      </c>
      <c r="AW190" s="323"/>
      <c r="AX190" s="322"/>
      <c r="AY190" s="322"/>
      <c r="AZ190" s="324"/>
      <c r="BA190" s="322"/>
      <c r="BB190" s="322"/>
      <c r="BC190" s="323"/>
      <c r="BD190" s="322"/>
      <c r="BE190" s="322"/>
      <c r="BF190" s="462">
        <f t="shared" si="22"/>
        <v>43724400</v>
      </c>
      <c r="BG190" s="462">
        <f t="shared" si="23"/>
        <v>42724400</v>
      </c>
      <c r="BH190" s="462">
        <f t="shared" si="24"/>
        <v>42724400</v>
      </c>
      <c r="BI190" s="332" t="s">
        <v>1471</v>
      </c>
      <c r="BK190" s="327"/>
      <c r="BL190" s="328"/>
    </row>
    <row r="191" spans="1:64" s="326" customFormat="1" ht="117" customHeight="1" x14ac:dyDescent="0.2">
      <c r="A191" s="312">
        <v>316</v>
      </c>
      <c r="B191" s="314" t="s">
        <v>1204</v>
      </c>
      <c r="C191" s="312">
        <v>1</v>
      </c>
      <c r="D191" s="314" t="s">
        <v>1200</v>
      </c>
      <c r="E191" s="312">
        <v>41</v>
      </c>
      <c r="F191" s="314" t="s">
        <v>661</v>
      </c>
      <c r="G191" s="312">
        <v>4103</v>
      </c>
      <c r="H191" s="314" t="s">
        <v>252</v>
      </c>
      <c r="I191" s="312">
        <v>4103</v>
      </c>
      <c r="J191" s="315" t="s">
        <v>1258</v>
      </c>
      <c r="K191" s="404" t="s">
        <v>738</v>
      </c>
      <c r="L191" s="312" t="s">
        <v>31</v>
      </c>
      <c r="M191" s="315" t="s">
        <v>739</v>
      </c>
      <c r="N191" s="319">
        <v>4103060</v>
      </c>
      <c r="O191" s="315" t="s">
        <v>734</v>
      </c>
      <c r="P191" s="312" t="s">
        <v>31</v>
      </c>
      <c r="Q191" s="316" t="s">
        <v>740</v>
      </c>
      <c r="R191" s="319">
        <v>410306000</v>
      </c>
      <c r="S191" s="316" t="s">
        <v>736</v>
      </c>
      <c r="T191" s="317" t="s">
        <v>1459</v>
      </c>
      <c r="U191" s="345">
        <v>2</v>
      </c>
      <c r="V191" s="345"/>
      <c r="W191" s="318">
        <f t="shared" si="21"/>
        <v>2</v>
      </c>
      <c r="X191" s="385">
        <v>2</v>
      </c>
      <c r="Y191" s="320">
        <v>2020003630036</v>
      </c>
      <c r="Z191" s="315" t="s">
        <v>1177</v>
      </c>
      <c r="AA191" s="321" t="s">
        <v>737</v>
      </c>
      <c r="AB191" s="322"/>
      <c r="AC191" s="322"/>
      <c r="AD191" s="322"/>
      <c r="AE191" s="322"/>
      <c r="AF191" s="322"/>
      <c r="AG191" s="322"/>
      <c r="AH191" s="322"/>
      <c r="AI191" s="322"/>
      <c r="AJ191" s="322"/>
      <c r="AK191" s="322"/>
      <c r="AL191" s="322"/>
      <c r="AM191" s="322"/>
      <c r="AN191" s="322"/>
      <c r="AO191" s="322"/>
      <c r="AP191" s="322"/>
      <c r="AQ191" s="322"/>
      <c r="AR191" s="322"/>
      <c r="AS191" s="322"/>
      <c r="AT191" s="343">
        <f>20000000+4300000+23275600</f>
        <v>47575600</v>
      </c>
      <c r="AU191" s="342">
        <v>47564600</v>
      </c>
      <c r="AV191" s="342">
        <v>989000</v>
      </c>
      <c r="AW191" s="323"/>
      <c r="AX191" s="322"/>
      <c r="AY191" s="322"/>
      <c r="AZ191" s="324"/>
      <c r="BA191" s="322"/>
      <c r="BB191" s="322"/>
      <c r="BC191" s="323"/>
      <c r="BD191" s="322"/>
      <c r="BE191" s="322"/>
      <c r="BF191" s="462">
        <f t="shared" si="22"/>
        <v>47575600</v>
      </c>
      <c r="BG191" s="462">
        <f t="shared" si="23"/>
        <v>47564600</v>
      </c>
      <c r="BH191" s="462">
        <f t="shared" si="24"/>
        <v>989000</v>
      </c>
      <c r="BI191" s="332" t="s">
        <v>1471</v>
      </c>
      <c r="BK191" s="327"/>
      <c r="BL191" s="328"/>
    </row>
    <row r="192" spans="1:64" s="326" customFormat="1" ht="117" customHeight="1" x14ac:dyDescent="0.2">
      <c r="A192" s="312">
        <v>316</v>
      </c>
      <c r="B192" s="314" t="s">
        <v>1204</v>
      </c>
      <c r="C192" s="312">
        <v>1</v>
      </c>
      <c r="D192" s="314" t="s">
        <v>1200</v>
      </c>
      <c r="E192" s="312">
        <v>41</v>
      </c>
      <c r="F192" s="314" t="s">
        <v>661</v>
      </c>
      <c r="G192" s="312">
        <v>4103</v>
      </c>
      <c r="H192" s="314" t="s">
        <v>252</v>
      </c>
      <c r="I192" s="312">
        <v>4103</v>
      </c>
      <c r="J192" s="315" t="s">
        <v>1258</v>
      </c>
      <c r="K192" s="321" t="s">
        <v>741</v>
      </c>
      <c r="L192" s="312" t="s">
        <v>31</v>
      </c>
      <c r="M192" s="315" t="s">
        <v>742</v>
      </c>
      <c r="N192" s="319">
        <v>4103052</v>
      </c>
      <c r="O192" s="315" t="s">
        <v>255</v>
      </c>
      <c r="P192" s="312" t="s">
        <v>31</v>
      </c>
      <c r="Q192" s="316" t="s">
        <v>743</v>
      </c>
      <c r="R192" s="319">
        <v>410305202</v>
      </c>
      <c r="S192" s="316" t="s">
        <v>722</v>
      </c>
      <c r="T192" s="317" t="s">
        <v>1459</v>
      </c>
      <c r="U192" s="345">
        <v>1</v>
      </c>
      <c r="V192" s="345"/>
      <c r="W192" s="318">
        <f t="shared" si="21"/>
        <v>1</v>
      </c>
      <c r="X192" s="385">
        <v>1</v>
      </c>
      <c r="Y192" s="320">
        <v>2020003630037</v>
      </c>
      <c r="Z192" s="315" t="s">
        <v>1178</v>
      </c>
      <c r="AA192" s="321" t="s">
        <v>744</v>
      </c>
      <c r="AB192" s="322"/>
      <c r="AC192" s="322"/>
      <c r="AD192" s="322"/>
      <c r="AE192" s="322"/>
      <c r="AF192" s="322"/>
      <c r="AG192" s="322"/>
      <c r="AH192" s="322"/>
      <c r="AI192" s="322"/>
      <c r="AJ192" s="322"/>
      <c r="AK192" s="322"/>
      <c r="AL192" s="322"/>
      <c r="AM192" s="322"/>
      <c r="AN192" s="322"/>
      <c r="AO192" s="322"/>
      <c r="AP192" s="322"/>
      <c r="AQ192" s="322"/>
      <c r="AR192" s="322"/>
      <c r="AS192" s="322"/>
      <c r="AT192" s="343">
        <v>40679946</v>
      </c>
      <c r="AU192" s="342">
        <v>37574800</v>
      </c>
      <c r="AV192" s="342">
        <v>37574800</v>
      </c>
      <c r="AW192" s="323"/>
      <c r="AX192" s="322"/>
      <c r="AY192" s="322"/>
      <c r="AZ192" s="324"/>
      <c r="BA192" s="322"/>
      <c r="BB192" s="322"/>
      <c r="BC192" s="323"/>
      <c r="BD192" s="322"/>
      <c r="BE192" s="322"/>
      <c r="BF192" s="462">
        <f t="shared" si="22"/>
        <v>40679946</v>
      </c>
      <c r="BG192" s="462">
        <f t="shared" si="23"/>
        <v>37574800</v>
      </c>
      <c r="BH192" s="462">
        <f t="shared" si="24"/>
        <v>37574800</v>
      </c>
      <c r="BI192" s="332" t="s">
        <v>1471</v>
      </c>
      <c r="BK192" s="327"/>
      <c r="BL192" s="328"/>
    </row>
    <row r="193" spans="1:64" s="326" customFormat="1" ht="117" customHeight="1" x14ac:dyDescent="0.2">
      <c r="A193" s="312">
        <v>316</v>
      </c>
      <c r="B193" s="314" t="s">
        <v>1204</v>
      </c>
      <c r="C193" s="312">
        <v>1</v>
      </c>
      <c r="D193" s="314" t="s">
        <v>1200</v>
      </c>
      <c r="E193" s="312">
        <v>41</v>
      </c>
      <c r="F193" s="314" t="s">
        <v>661</v>
      </c>
      <c r="G193" s="312">
        <v>4104</v>
      </c>
      <c r="H193" s="314" t="s">
        <v>745</v>
      </c>
      <c r="I193" s="312">
        <v>4104</v>
      </c>
      <c r="J193" s="315" t="s">
        <v>1259</v>
      </c>
      <c r="K193" s="384" t="s">
        <v>1160</v>
      </c>
      <c r="L193" s="312">
        <v>4104035</v>
      </c>
      <c r="M193" s="315" t="s">
        <v>746</v>
      </c>
      <c r="N193" s="319">
        <v>4104020</v>
      </c>
      <c r="O193" s="315" t="s">
        <v>747</v>
      </c>
      <c r="P193" s="312">
        <v>410403500</v>
      </c>
      <c r="Q193" s="316" t="s">
        <v>748</v>
      </c>
      <c r="R193" s="312">
        <v>410403500</v>
      </c>
      <c r="S193" s="316" t="s">
        <v>749</v>
      </c>
      <c r="T193" s="317" t="s">
        <v>1460</v>
      </c>
      <c r="U193" s="345">
        <v>115</v>
      </c>
      <c r="V193" s="345">
        <v>10</v>
      </c>
      <c r="W193" s="318">
        <f t="shared" si="21"/>
        <v>125</v>
      </c>
      <c r="X193" s="385">
        <v>125</v>
      </c>
      <c r="Y193" s="320">
        <v>2020003630035</v>
      </c>
      <c r="Z193" s="315" t="s">
        <v>1179</v>
      </c>
      <c r="AA193" s="321" t="s">
        <v>750</v>
      </c>
      <c r="AB193" s="322"/>
      <c r="AC193" s="322"/>
      <c r="AD193" s="322"/>
      <c r="AE193" s="322"/>
      <c r="AF193" s="322"/>
      <c r="AG193" s="322"/>
      <c r="AH193" s="322"/>
      <c r="AI193" s="322"/>
      <c r="AJ193" s="322"/>
      <c r="AK193" s="322"/>
      <c r="AL193" s="322"/>
      <c r="AM193" s="322"/>
      <c r="AN193" s="322"/>
      <c r="AO193" s="322"/>
      <c r="AP193" s="322"/>
      <c r="AQ193" s="322"/>
      <c r="AR193" s="322"/>
      <c r="AS193" s="322"/>
      <c r="AT193" s="343">
        <f>70000000</f>
        <v>70000000</v>
      </c>
      <c r="AU193" s="342">
        <v>70000000</v>
      </c>
      <c r="AV193" s="342">
        <v>70000000</v>
      </c>
      <c r="AW193" s="323"/>
      <c r="AX193" s="322"/>
      <c r="AY193" s="322"/>
      <c r="AZ193" s="324"/>
      <c r="BA193" s="322"/>
      <c r="BB193" s="322"/>
      <c r="BC193" s="323"/>
      <c r="BD193" s="322"/>
      <c r="BE193" s="322"/>
      <c r="BF193" s="462">
        <f t="shared" si="22"/>
        <v>70000000</v>
      </c>
      <c r="BG193" s="462">
        <f t="shared" si="23"/>
        <v>70000000</v>
      </c>
      <c r="BH193" s="462">
        <f t="shared" si="24"/>
        <v>70000000</v>
      </c>
      <c r="BI193" s="332" t="s">
        <v>1471</v>
      </c>
      <c r="BK193" s="327"/>
      <c r="BL193" s="328"/>
    </row>
    <row r="194" spans="1:64" s="326" customFormat="1" ht="117" customHeight="1" x14ac:dyDescent="0.2">
      <c r="A194" s="312">
        <v>316</v>
      </c>
      <c r="B194" s="314" t="s">
        <v>1204</v>
      </c>
      <c r="C194" s="312">
        <v>1</v>
      </c>
      <c r="D194" s="314" t="s">
        <v>1200</v>
      </c>
      <c r="E194" s="312">
        <v>41</v>
      </c>
      <c r="F194" s="314" t="s">
        <v>661</v>
      </c>
      <c r="G194" s="312">
        <v>4104</v>
      </c>
      <c r="H194" s="314" t="s">
        <v>745</v>
      </c>
      <c r="I194" s="312">
        <v>4104</v>
      </c>
      <c r="J194" s="315" t="s">
        <v>1259</v>
      </c>
      <c r="K194" s="384" t="s">
        <v>1161</v>
      </c>
      <c r="L194" s="312">
        <v>4104035</v>
      </c>
      <c r="M194" s="315" t="s">
        <v>746</v>
      </c>
      <c r="N194" s="319">
        <v>4104020</v>
      </c>
      <c r="O194" s="315" t="s">
        <v>747</v>
      </c>
      <c r="P194" s="312" t="s">
        <v>31</v>
      </c>
      <c r="Q194" s="384" t="s">
        <v>751</v>
      </c>
      <c r="R194" s="319">
        <v>410402000</v>
      </c>
      <c r="S194" s="316" t="s">
        <v>749</v>
      </c>
      <c r="T194" s="317" t="s">
        <v>1459</v>
      </c>
      <c r="U194" s="345">
        <v>12</v>
      </c>
      <c r="V194" s="345"/>
      <c r="W194" s="318">
        <f t="shared" si="21"/>
        <v>12</v>
      </c>
      <c r="X194" s="385">
        <v>12</v>
      </c>
      <c r="Y194" s="320">
        <v>2020003630035</v>
      </c>
      <c r="Z194" s="315" t="s">
        <v>1179</v>
      </c>
      <c r="AA194" s="321" t="s">
        <v>750</v>
      </c>
      <c r="AB194" s="322"/>
      <c r="AC194" s="322"/>
      <c r="AD194" s="322"/>
      <c r="AE194" s="322"/>
      <c r="AF194" s="322"/>
      <c r="AG194" s="322"/>
      <c r="AH194" s="322"/>
      <c r="AI194" s="322"/>
      <c r="AJ194" s="322"/>
      <c r="AK194" s="322"/>
      <c r="AL194" s="322"/>
      <c r="AM194" s="322"/>
      <c r="AN194" s="322"/>
      <c r="AO194" s="322"/>
      <c r="AP194" s="322"/>
      <c r="AQ194" s="322"/>
      <c r="AR194" s="322"/>
      <c r="AS194" s="322"/>
      <c r="AT194" s="343">
        <f>111000000+33196186.61+17310000+10578332+2308000.39</f>
        <v>174392519</v>
      </c>
      <c r="AU194" s="342">
        <v>169392518</v>
      </c>
      <c r="AV194" s="342">
        <v>169392518</v>
      </c>
      <c r="AW194" s="323"/>
      <c r="AX194" s="322"/>
      <c r="AY194" s="322"/>
      <c r="AZ194" s="324"/>
      <c r="BA194" s="322"/>
      <c r="BB194" s="322"/>
      <c r="BC194" s="323"/>
      <c r="BD194" s="322"/>
      <c r="BE194" s="322"/>
      <c r="BF194" s="462">
        <f t="shared" si="22"/>
        <v>174392519</v>
      </c>
      <c r="BG194" s="462">
        <f t="shared" si="23"/>
        <v>169392518</v>
      </c>
      <c r="BH194" s="462">
        <f t="shared" si="24"/>
        <v>169392518</v>
      </c>
      <c r="BI194" s="332" t="s">
        <v>1471</v>
      </c>
      <c r="BK194" s="327"/>
      <c r="BL194" s="328"/>
    </row>
    <row r="195" spans="1:64" s="326" customFormat="1" ht="117" customHeight="1" x14ac:dyDescent="0.2">
      <c r="A195" s="312">
        <v>316</v>
      </c>
      <c r="B195" s="314" t="s">
        <v>1204</v>
      </c>
      <c r="C195" s="312">
        <v>1</v>
      </c>
      <c r="D195" s="314" t="s">
        <v>1200</v>
      </c>
      <c r="E195" s="312">
        <v>41</v>
      </c>
      <c r="F195" s="314" t="s">
        <v>661</v>
      </c>
      <c r="G195" s="312">
        <v>4104</v>
      </c>
      <c r="H195" s="314" t="s">
        <v>745</v>
      </c>
      <c r="I195" s="312">
        <v>4104</v>
      </c>
      <c r="J195" s="315" t="s">
        <v>1259</v>
      </c>
      <c r="K195" s="321" t="s">
        <v>752</v>
      </c>
      <c r="L195" s="361">
        <v>4104026</v>
      </c>
      <c r="M195" s="315" t="s">
        <v>753</v>
      </c>
      <c r="N195" s="319">
        <v>4104027</v>
      </c>
      <c r="O195" s="315" t="s">
        <v>754</v>
      </c>
      <c r="P195" s="312" t="s">
        <v>31</v>
      </c>
      <c r="Q195" s="316" t="s">
        <v>755</v>
      </c>
      <c r="R195" s="319">
        <v>410402700</v>
      </c>
      <c r="S195" s="316" t="s">
        <v>756</v>
      </c>
      <c r="T195" s="317" t="s">
        <v>1459</v>
      </c>
      <c r="U195" s="345">
        <v>12</v>
      </c>
      <c r="V195" s="345"/>
      <c r="W195" s="318">
        <f t="shared" si="21"/>
        <v>12</v>
      </c>
      <c r="X195" s="385">
        <v>12</v>
      </c>
      <c r="Y195" s="320">
        <v>2020003630012</v>
      </c>
      <c r="Z195" s="315" t="s">
        <v>1165</v>
      </c>
      <c r="AA195" s="321" t="s">
        <v>757</v>
      </c>
      <c r="AB195" s="322"/>
      <c r="AC195" s="322"/>
      <c r="AD195" s="322"/>
      <c r="AE195" s="322"/>
      <c r="AF195" s="322"/>
      <c r="AG195" s="322"/>
      <c r="AH195" s="322"/>
      <c r="AI195" s="322"/>
      <c r="AJ195" s="322"/>
      <c r="AK195" s="322"/>
      <c r="AL195" s="322"/>
      <c r="AM195" s="322"/>
      <c r="AN195" s="322"/>
      <c r="AO195" s="322"/>
      <c r="AP195" s="322"/>
      <c r="AQ195" s="322"/>
      <c r="AR195" s="322"/>
      <c r="AS195" s="322"/>
      <c r="AT195" s="343">
        <f>45000000+15000000</f>
        <v>60000000</v>
      </c>
      <c r="AU195" s="342">
        <v>54034903</v>
      </c>
      <c r="AV195" s="342">
        <v>54034903</v>
      </c>
      <c r="AW195" s="323"/>
      <c r="AX195" s="322"/>
      <c r="AY195" s="322"/>
      <c r="AZ195" s="324"/>
      <c r="BA195" s="322"/>
      <c r="BB195" s="322"/>
      <c r="BC195" s="323"/>
      <c r="BD195" s="322"/>
      <c r="BE195" s="322"/>
      <c r="BF195" s="462">
        <f t="shared" si="22"/>
        <v>60000000</v>
      </c>
      <c r="BG195" s="462">
        <f t="shared" si="23"/>
        <v>54034903</v>
      </c>
      <c r="BH195" s="462">
        <f t="shared" si="24"/>
        <v>54034903</v>
      </c>
      <c r="BI195" s="332" t="s">
        <v>1471</v>
      </c>
      <c r="BK195" s="327"/>
      <c r="BL195" s="328"/>
    </row>
    <row r="196" spans="1:64" s="326" customFormat="1" ht="117" customHeight="1" x14ac:dyDescent="0.2">
      <c r="A196" s="312">
        <v>316</v>
      </c>
      <c r="B196" s="314" t="s">
        <v>1204</v>
      </c>
      <c r="C196" s="312">
        <v>1</v>
      </c>
      <c r="D196" s="314" t="s">
        <v>1200</v>
      </c>
      <c r="E196" s="312">
        <v>41</v>
      </c>
      <c r="F196" s="314" t="s">
        <v>661</v>
      </c>
      <c r="G196" s="312">
        <v>4104</v>
      </c>
      <c r="H196" s="314" t="s">
        <v>745</v>
      </c>
      <c r="I196" s="312">
        <v>4104</v>
      </c>
      <c r="J196" s="315" t="s">
        <v>1259</v>
      </c>
      <c r="K196" s="321" t="s">
        <v>758</v>
      </c>
      <c r="L196" s="319">
        <v>4104015</v>
      </c>
      <c r="M196" s="337" t="s">
        <v>759</v>
      </c>
      <c r="N196" s="319">
        <v>4104015</v>
      </c>
      <c r="O196" s="337" t="s">
        <v>760</v>
      </c>
      <c r="P196" s="361">
        <v>410401500</v>
      </c>
      <c r="Q196" s="316" t="s">
        <v>761</v>
      </c>
      <c r="R196" s="361">
        <v>410401500</v>
      </c>
      <c r="S196" s="316" t="s">
        <v>762</v>
      </c>
      <c r="T196" s="317" t="s">
        <v>1459</v>
      </c>
      <c r="U196" s="345">
        <v>7500</v>
      </c>
      <c r="V196" s="345"/>
      <c r="W196" s="318">
        <f t="shared" si="21"/>
        <v>7500</v>
      </c>
      <c r="X196" s="329">
        <v>7500</v>
      </c>
      <c r="Y196" s="320">
        <v>2020003630109</v>
      </c>
      <c r="Z196" s="315" t="s">
        <v>1374</v>
      </c>
      <c r="AA196" s="321" t="s">
        <v>764</v>
      </c>
      <c r="AB196" s="322"/>
      <c r="AC196" s="322"/>
      <c r="AD196" s="322"/>
      <c r="AE196" s="322"/>
      <c r="AF196" s="322"/>
      <c r="AG196" s="322"/>
      <c r="AH196" s="322"/>
      <c r="AI196" s="322"/>
      <c r="AJ196" s="322"/>
      <c r="AK196" s="322"/>
      <c r="AL196" s="322"/>
      <c r="AM196" s="322"/>
      <c r="AN196" s="322"/>
      <c r="AO196" s="322"/>
      <c r="AP196" s="322"/>
      <c r="AQ196" s="322"/>
      <c r="AR196" s="322"/>
      <c r="AS196" s="322"/>
      <c r="AT196" s="343">
        <f>20000000+28700000+10000000+50000000+17286490+10578334+5707824</f>
        <v>142272648</v>
      </c>
      <c r="AU196" s="342">
        <v>137264244</v>
      </c>
      <c r="AV196" s="342">
        <v>137264244</v>
      </c>
      <c r="AW196" s="323"/>
      <c r="AX196" s="322"/>
      <c r="AY196" s="322"/>
      <c r="AZ196" s="324"/>
      <c r="BA196" s="322"/>
      <c r="BB196" s="322"/>
      <c r="BC196" s="323"/>
      <c r="BD196" s="322"/>
      <c r="BE196" s="322"/>
      <c r="BF196" s="462">
        <f t="shared" si="22"/>
        <v>142272648</v>
      </c>
      <c r="BG196" s="462">
        <f t="shared" si="23"/>
        <v>137264244</v>
      </c>
      <c r="BH196" s="462">
        <f t="shared" si="24"/>
        <v>137264244</v>
      </c>
      <c r="BI196" s="332" t="s">
        <v>1471</v>
      </c>
      <c r="BK196" s="327"/>
      <c r="BL196" s="328"/>
    </row>
    <row r="197" spans="1:64" s="326" customFormat="1" ht="117" customHeight="1" x14ac:dyDescent="0.2">
      <c r="A197" s="312">
        <v>316</v>
      </c>
      <c r="B197" s="314" t="s">
        <v>1204</v>
      </c>
      <c r="C197" s="312">
        <v>1</v>
      </c>
      <c r="D197" s="314" t="s">
        <v>1200</v>
      </c>
      <c r="E197" s="312">
        <v>41</v>
      </c>
      <c r="F197" s="314" t="s">
        <v>661</v>
      </c>
      <c r="G197" s="312">
        <v>4104</v>
      </c>
      <c r="H197" s="314" t="s">
        <v>745</v>
      </c>
      <c r="I197" s="312">
        <v>4104</v>
      </c>
      <c r="J197" s="315" t="s">
        <v>1259</v>
      </c>
      <c r="K197" s="321" t="s">
        <v>765</v>
      </c>
      <c r="L197" s="312" t="s">
        <v>31</v>
      </c>
      <c r="M197" s="337" t="s">
        <v>766</v>
      </c>
      <c r="N197" s="312">
        <v>4104008</v>
      </c>
      <c r="O197" s="337" t="s">
        <v>767</v>
      </c>
      <c r="P197" s="312" t="s">
        <v>31</v>
      </c>
      <c r="Q197" s="384" t="s">
        <v>768</v>
      </c>
      <c r="R197" s="312">
        <v>410400800</v>
      </c>
      <c r="S197" s="384" t="s">
        <v>769</v>
      </c>
      <c r="T197" s="317" t="s">
        <v>1459</v>
      </c>
      <c r="U197" s="345">
        <v>12</v>
      </c>
      <c r="V197" s="345"/>
      <c r="W197" s="318">
        <f t="shared" si="21"/>
        <v>12</v>
      </c>
      <c r="X197" s="385">
        <v>12</v>
      </c>
      <c r="Y197" s="320">
        <v>2020003630109</v>
      </c>
      <c r="Z197" s="315" t="s">
        <v>1374</v>
      </c>
      <c r="AA197" s="321" t="s">
        <v>764</v>
      </c>
      <c r="AB197" s="322">
        <f>3393118962+1400016+658216640+511986149.98+1479555993.59+1168149583.91</f>
        <v>7212427345.4799995</v>
      </c>
      <c r="AC197" s="322">
        <v>6403095598.8400021</v>
      </c>
      <c r="AD197" s="322">
        <v>6403095598.8400021</v>
      </c>
      <c r="AE197" s="322"/>
      <c r="AF197" s="322"/>
      <c r="AG197" s="322"/>
      <c r="AH197" s="322"/>
      <c r="AI197" s="322"/>
      <c r="AJ197" s="322"/>
      <c r="AK197" s="322"/>
      <c r="AL197" s="322"/>
      <c r="AM197" s="322"/>
      <c r="AN197" s="322"/>
      <c r="AO197" s="322"/>
      <c r="AP197" s="322"/>
      <c r="AQ197" s="322"/>
      <c r="AR197" s="322"/>
      <c r="AS197" s="322"/>
      <c r="AT197" s="343"/>
      <c r="AU197" s="342"/>
      <c r="AV197" s="342"/>
      <c r="AW197" s="323"/>
      <c r="AX197" s="322"/>
      <c r="AY197" s="322"/>
      <c r="AZ197" s="324"/>
      <c r="BA197" s="322"/>
      <c r="BB197" s="322"/>
      <c r="BC197" s="323"/>
      <c r="BD197" s="322"/>
      <c r="BE197" s="322"/>
      <c r="BF197" s="462">
        <f t="shared" si="22"/>
        <v>7212427345.4799995</v>
      </c>
      <c r="BG197" s="462">
        <f t="shared" si="23"/>
        <v>6403095598.8400021</v>
      </c>
      <c r="BH197" s="462">
        <f t="shared" si="24"/>
        <v>6403095598.8400021</v>
      </c>
      <c r="BI197" s="332" t="s">
        <v>1471</v>
      </c>
      <c r="BK197" s="327"/>
      <c r="BL197" s="328"/>
    </row>
    <row r="198" spans="1:64" s="326" customFormat="1" ht="117" customHeight="1" x14ac:dyDescent="0.2">
      <c r="A198" s="312">
        <v>316</v>
      </c>
      <c r="B198" s="314" t="s">
        <v>1204</v>
      </c>
      <c r="C198" s="312">
        <v>2</v>
      </c>
      <c r="D198" s="314" t="s">
        <v>1196</v>
      </c>
      <c r="E198" s="312">
        <v>17</v>
      </c>
      <c r="F198" s="314" t="s">
        <v>375</v>
      </c>
      <c r="G198" s="312">
        <v>1702</v>
      </c>
      <c r="H198" s="314" t="s">
        <v>376</v>
      </c>
      <c r="I198" s="312">
        <v>1702</v>
      </c>
      <c r="J198" s="315" t="s">
        <v>1232</v>
      </c>
      <c r="K198" s="321" t="s">
        <v>770</v>
      </c>
      <c r="L198" s="319">
        <v>1702011</v>
      </c>
      <c r="M198" s="315" t="s">
        <v>771</v>
      </c>
      <c r="N198" s="319">
        <v>1702011</v>
      </c>
      <c r="O198" s="315" t="s">
        <v>771</v>
      </c>
      <c r="P198" s="361" t="s">
        <v>772</v>
      </c>
      <c r="Q198" s="316" t="s">
        <v>773</v>
      </c>
      <c r="R198" s="361">
        <v>170201102</v>
      </c>
      <c r="S198" s="316" t="s">
        <v>773</v>
      </c>
      <c r="T198" s="317" t="s">
        <v>1460</v>
      </c>
      <c r="U198" s="345">
        <v>10</v>
      </c>
      <c r="V198" s="345"/>
      <c r="W198" s="318">
        <f t="shared" si="21"/>
        <v>10</v>
      </c>
      <c r="X198" s="385">
        <v>10</v>
      </c>
      <c r="Y198" s="320">
        <v>2020003630113</v>
      </c>
      <c r="Z198" s="315" t="s">
        <v>1373</v>
      </c>
      <c r="AA198" s="321" t="s">
        <v>775</v>
      </c>
      <c r="AB198" s="322"/>
      <c r="AC198" s="322"/>
      <c r="AD198" s="322"/>
      <c r="AE198" s="322"/>
      <c r="AF198" s="322"/>
      <c r="AG198" s="322"/>
      <c r="AH198" s="322"/>
      <c r="AI198" s="322"/>
      <c r="AJ198" s="322"/>
      <c r="AK198" s="322"/>
      <c r="AL198" s="322"/>
      <c r="AM198" s="322"/>
      <c r="AN198" s="322"/>
      <c r="AO198" s="322"/>
      <c r="AP198" s="322"/>
      <c r="AQ198" s="322"/>
      <c r="AR198" s="322"/>
      <c r="AS198" s="322"/>
      <c r="AT198" s="343">
        <v>18000000</v>
      </c>
      <c r="AU198" s="342">
        <v>18000000</v>
      </c>
      <c r="AV198" s="342">
        <v>18000000</v>
      </c>
      <c r="AW198" s="323"/>
      <c r="AX198" s="322"/>
      <c r="AY198" s="322"/>
      <c r="AZ198" s="324"/>
      <c r="BA198" s="322"/>
      <c r="BB198" s="322"/>
      <c r="BC198" s="323"/>
      <c r="BD198" s="322"/>
      <c r="BE198" s="322"/>
      <c r="BF198" s="462">
        <f t="shared" si="22"/>
        <v>18000000</v>
      </c>
      <c r="BG198" s="462">
        <f t="shared" si="23"/>
        <v>18000000</v>
      </c>
      <c r="BH198" s="462">
        <f t="shared" si="24"/>
        <v>18000000</v>
      </c>
      <c r="BI198" s="332" t="s">
        <v>1471</v>
      </c>
      <c r="BK198" s="327"/>
      <c r="BL198" s="328"/>
    </row>
    <row r="199" spans="1:64" s="326" customFormat="1" ht="117" customHeight="1" x14ac:dyDescent="0.2">
      <c r="A199" s="312">
        <v>316</v>
      </c>
      <c r="B199" s="314" t="s">
        <v>1204</v>
      </c>
      <c r="C199" s="312">
        <v>2</v>
      </c>
      <c r="D199" s="314" t="s">
        <v>1196</v>
      </c>
      <c r="E199" s="312">
        <v>36</v>
      </c>
      <c r="F199" s="314" t="s">
        <v>358</v>
      </c>
      <c r="G199" s="312">
        <v>3604</v>
      </c>
      <c r="H199" s="314" t="s">
        <v>776</v>
      </c>
      <c r="I199" s="312">
        <v>3604</v>
      </c>
      <c r="J199" s="315" t="s">
        <v>1254</v>
      </c>
      <c r="K199" s="321" t="s">
        <v>777</v>
      </c>
      <c r="L199" s="312">
        <v>3604006</v>
      </c>
      <c r="M199" s="315" t="s">
        <v>778</v>
      </c>
      <c r="N199" s="312">
        <v>3604006</v>
      </c>
      <c r="O199" s="315" t="s">
        <v>778</v>
      </c>
      <c r="P199" s="361">
        <v>360400600</v>
      </c>
      <c r="Q199" s="316" t="s">
        <v>274</v>
      </c>
      <c r="R199" s="361">
        <v>360400600</v>
      </c>
      <c r="S199" s="316" t="s">
        <v>274</v>
      </c>
      <c r="T199" s="317" t="s">
        <v>1460</v>
      </c>
      <c r="U199" s="401">
        <v>250</v>
      </c>
      <c r="V199" s="401"/>
      <c r="W199" s="318">
        <f t="shared" si="21"/>
        <v>250</v>
      </c>
      <c r="X199" s="402">
        <v>250</v>
      </c>
      <c r="Y199" s="320">
        <v>2020003630114</v>
      </c>
      <c r="Z199" s="337" t="s">
        <v>779</v>
      </c>
      <c r="AA199" s="407" t="s">
        <v>780</v>
      </c>
      <c r="AB199" s="322"/>
      <c r="AC199" s="322"/>
      <c r="AD199" s="322"/>
      <c r="AE199" s="322"/>
      <c r="AF199" s="322"/>
      <c r="AG199" s="322"/>
      <c r="AH199" s="322"/>
      <c r="AI199" s="322"/>
      <c r="AJ199" s="322"/>
      <c r="AK199" s="322"/>
      <c r="AL199" s="322"/>
      <c r="AM199" s="322"/>
      <c r="AN199" s="322"/>
      <c r="AO199" s="322"/>
      <c r="AP199" s="322"/>
      <c r="AQ199" s="322"/>
      <c r="AR199" s="322"/>
      <c r="AS199" s="322"/>
      <c r="AT199" s="343">
        <f>18000000-4000000+10000000</f>
        <v>24000000</v>
      </c>
      <c r="AU199" s="342">
        <v>24000000</v>
      </c>
      <c r="AV199" s="342">
        <v>24000000</v>
      </c>
      <c r="AW199" s="323"/>
      <c r="AX199" s="322"/>
      <c r="AY199" s="322"/>
      <c r="AZ199" s="324"/>
      <c r="BA199" s="322"/>
      <c r="BB199" s="322"/>
      <c r="BC199" s="323"/>
      <c r="BD199" s="322"/>
      <c r="BE199" s="322"/>
      <c r="BF199" s="462">
        <f t="shared" si="22"/>
        <v>24000000</v>
      </c>
      <c r="BG199" s="462">
        <f t="shared" si="23"/>
        <v>24000000</v>
      </c>
      <c r="BH199" s="462">
        <f t="shared" si="24"/>
        <v>24000000</v>
      </c>
      <c r="BI199" s="332" t="s">
        <v>1471</v>
      </c>
      <c r="BK199" s="327"/>
      <c r="BL199" s="328"/>
    </row>
    <row r="200" spans="1:64" s="326" customFormat="1" ht="117" customHeight="1" x14ac:dyDescent="0.2">
      <c r="A200" s="312">
        <v>316</v>
      </c>
      <c r="B200" s="314" t="s">
        <v>1204</v>
      </c>
      <c r="C200" s="312">
        <v>4</v>
      </c>
      <c r="D200" s="314" t="s">
        <v>1205</v>
      </c>
      <c r="E200" s="312">
        <v>45</v>
      </c>
      <c r="F200" s="314" t="s">
        <v>781</v>
      </c>
      <c r="G200" s="312">
        <v>4502</v>
      </c>
      <c r="H200" s="314" t="s">
        <v>1223</v>
      </c>
      <c r="I200" s="312">
        <v>4502</v>
      </c>
      <c r="J200" s="315" t="s">
        <v>1222</v>
      </c>
      <c r="K200" s="321" t="s">
        <v>782</v>
      </c>
      <c r="L200" s="319">
        <v>4502001</v>
      </c>
      <c r="M200" s="315" t="s">
        <v>58</v>
      </c>
      <c r="N200" s="319">
        <v>4502001</v>
      </c>
      <c r="O200" s="315" t="s">
        <v>58</v>
      </c>
      <c r="P200" s="312" t="s">
        <v>31</v>
      </c>
      <c r="Q200" s="316" t="s">
        <v>783</v>
      </c>
      <c r="R200" s="319">
        <v>450200108</v>
      </c>
      <c r="S200" s="316" t="s">
        <v>784</v>
      </c>
      <c r="T200" s="317" t="s">
        <v>1460</v>
      </c>
      <c r="U200" s="345">
        <v>1</v>
      </c>
      <c r="V200" s="345">
        <v>1</v>
      </c>
      <c r="W200" s="318">
        <f t="shared" si="21"/>
        <v>2</v>
      </c>
      <c r="X200" s="385">
        <v>1</v>
      </c>
      <c r="Y200" s="320">
        <v>2020003630115</v>
      </c>
      <c r="Z200" s="315" t="s">
        <v>1370</v>
      </c>
      <c r="AA200" s="321" t="s">
        <v>786</v>
      </c>
      <c r="AB200" s="322"/>
      <c r="AC200" s="322"/>
      <c r="AD200" s="322"/>
      <c r="AE200" s="322"/>
      <c r="AF200" s="322"/>
      <c r="AG200" s="322"/>
      <c r="AH200" s="322"/>
      <c r="AI200" s="322"/>
      <c r="AJ200" s="322"/>
      <c r="AK200" s="322"/>
      <c r="AL200" s="322"/>
      <c r="AM200" s="322"/>
      <c r="AN200" s="322"/>
      <c r="AO200" s="322"/>
      <c r="AP200" s="322"/>
      <c r="AQ200" s="322"/>
      <c r="AR200" s="322"/>
      <c r="AS200" s="322"/>
      <c r="AT200" s="343">
        <f>18000000-3000000</f>
        <v>15000000</v>
      </c>
      <c r="AU200" s="342">
        <v>0</v>
      </c>
      <c r="AV200" s="342">
        <v>0</v>
      </c>
      <c r="AW200" s="323"/>
      <c r="AX200" s="322"/>
      <c r="AY200" s="322"/>
      <c r="AZ200" s="324"/>
      <c r="BA200" s="322"/>
      <c r="BB200" s="322"/>
      <c r="BC200" s="323"/>
      <c r="BD200" s="322"/>
      <c r="BE200" s="322"/>
      <c r="BF200" s="462">
        <f t="shared" si="22"/>
        <v>15000000</v>
      </c>
      <c r="BG200" s="462">
        <f t="shared" si="23"/>
        <v>0</v>
      </c>
      <c r="BH200" s="462">
        <f t="shared" si="24"/>
        <v>0</v>
      </c>
      <c r="BI200" s="332" t="s">
        <v>1471</v>
      </c>
      <c r="BK200" s="327"/>
      <c r="BL200" s="328"/>
    </row>
    <row r="201" spans="1:64" s="326" customFormat="1" ht="117" customHeight="1" x14ac:dyDescent="0.2">
      <c r="A201" s="312">
        <v>316</v>
      </c>
      <c r="B201" s="314" t="s">
        <v>1204</v>
      </c>
      <c r="C201" s="312">
        <v>4</v>
      </c>
      <c r="D201" s="314" t="s">
        <v>1205</v>
      </c>
      <c r="E201" s="312">
        <v>45</v>
      </c>
      <c r="F201" s="314" t="s">
        <v>781</v>
      </c>
      <c r="G201" s="312">
        <v>4502</v>
      </c>
      <c r="H201" s="314" t="s">
        <v>1223</v>
      </c>
      <c r="I201" s="312">
        <v>4502</v>
      </c>
      <c r="J201" s="315" t="s">
        <v>1222</v>
      </c>
      <c r="K201" s="384" t="s">
        <v>793</v>
      </c>
      <c r="L201" s="312" t="s">
        <v>31</v>
      </c>
      <c r="M201" s="315" t="s">
        <v>787</v>
      </c>
      <c r="N201" s="339">
        <v>4502038</v>
      </c>
      <c r="O201" s="315" t="s">
        <v>788</v>
      </c>
      <c r="P201" s="312" t="s">
        <v>31</v>
      </c>
      <c r="Q201" s="316" t="s">
        <v>789</v>
      </c>
      <c r="R201" s="329">
        <v>450203800</v>
      </c>
      <c r="S201" s="316" t="s">
        <v>790</v>
      </c>
      <c r="T201" s="317" t="s">
        <v>1459</v>
      </c>
      <c r="U201" s="345">
        <v>1</v>
      </c>
      <c r="V201" s="345"/>
      <c r="W201" s="318">
        <f t="shared" si="21"/>
        <v>1</v>
      </c>
      <c r="X201" s="385">
        <v>1</v>
      </c>
      <c r="Y201" s="379">
        <v>2021003630008</v>
      </c>
      <c r="Z201" s="315" t="s">
        <v>1371</v>
      </c>
      <c r="AA201" s="321" t="s">
        <v>792</v>
      </c>
      <c r="AB201" s="322"/>
      <c r="AC201" s="322"/>
      <c r="AD201" s="322"/>
      <c r="AE201" s="322"/>
      <c r="AF201" s="322"/>
      <c r="AG201" s="322"/>
      <c r="AH201" s="322"/>
      <c r="AI201" s="322"/>
      <c r="AJ201" s="322"/>
      <c r="AK201" s="322"/>
      <c r="AL201" s="322"/>
      <c r="AM201" s="322"/>
      <c r="AN201" s="322"/>
      <c r="AO201" s="322"/>
      <c r="AP201" s="322"/>
      <c r="AQ201" s="322"/>
      <c r="AR201" s="322"/>
      <c r="AS201" s="322"/>
      <c r="AT201" s="343">
        <f>95000000-18000000+9900000+2310000</f>
        <v>89210000</v>
      </c>
      <c r="AU201" s="342">
        <v>85728875</v>
      </c>
      <c r="AV201" s="342">
        <v>85728875</v>
      </c>
      <c r="AW201" s="323"/>
      <c r="AX201" s="322"/>
      <c r="AY201" s="322"/>
      <c r="AZ201" s="324"/>
      <c r="BA201" s="322"/>
      <c r="BB201" s="322"/>
      <c r="BC201" s="323"/>
      <c r="BD201" s="322"/>
      <c r="BE201" s="322"/>
      <c r="BF201" s="462">
        <f t="shared" si="22"/>
        <v>89210000</v>
      </c>
      <c r="BG201" s="462">
        <f t="shared" si="23"/>
        <v>85728875</v>
      </c>
      <c r="BH201" s="462">
        <f t="shared" si="24"/>
        <v>85728875</v>
      </c>
      <c r="BI201" s="332" t="s">
        <v>1471</v>
      </c>
      <c r="BK201" s="327"/>
      <c r="BL201" s="328"/>
    </row>
    <row r="202" spans="1:64" s="326" customFormat="1" ht="117" customHeight="1" x14ac:dyDescent="0.2">
      <c r="A202" s="312">
        <v>316</v>
      </c>
      <c r="B202" s="314" t="s">
        <v>1204</v>
      </c>
      <c r="C202" s="312">
        <v>4</v>
      </c>
      <c r="D202" s="314" t="s">
        <v>1205</v>
      </c>
      <c r="E202" s="312">
        <v>45</v>
      </c>
      <c r="F202" s="314" t="s">
        <v>781</v>
      </c>
      <c r="G202" s="312">
        <v>4502</v>
      </c>
      <c r="H202" s="314" t="s">
        <v>1223</v>
      </c>
      <c r="I202" s="312">
        <v>4502</v>
      </c>
      <c r="J202" s="315" t="s">
        <v>1222</v>
      </c>
      <c r="K202" s="321" t="s">
        <v>793</v>
      </c>
      <c r="L202" s="312" t="s">
        <v>31</v>
      </c>
      <c r="M202" s="315" t="s">
        <v>794</v>
      </c>
      <c r="N202" s="339">
        <v>4502038</v>
      </c>
      <c r="O202" s="315" t="s">
        <v>788</v>
      </c>
      <c r="P202" s="312" t="s">
        <v>31</v>
      </c>
      <c r="Q202" s="316" t="s">
        <v>795</v>
      </c>
      <c r="R202" s="329">
        <v>450203800</v>
      </c>
      <c r="S202" s="316" t="s">
        <v>790</v>
      </c>
      <c r="T202" s="317" t="s">
        <v>1459</v>
      </c>
      <c r="U202" s="345">
        <v>1</v>
      </c>
      <c r="V202" s="345"/>
      <c r="W202" s="318">
        <f t="shared" si="21"/>
        <v>1</v>
      </c>
      <c r="X202" s="385">
        <v>0.7</v>
      </c>
      <c r="Y202" s="379">
        <v>2021003630007</v>
      </c>
      <c r="Z202" s="321" t="s">
        <v>1372</v>
      </c>
      <c r="AA202" s="321" t="s">
        <v>796</v>
      </c>
      <c r="AB202" s="322"/>
      <c r="AC202" s="322"/>
      <c r="AD202" s="322"/>
      <c r="AE202" s="322"/>
      <c r="AF202" s="322"/>
      <c r="AG202" s="322"/>
      <c r="AH202" s="322"/>
      <c r="AI202" s="322"/>
      <c r="AJ202" s="322"/>
      <c r="AK202" s="322"/>
      <c r="AL202" s="322"/>
      <c r="AM202" s="322"/>
      <c r="AN202" s="322"/>
      <c r="AO202" s="322"/>
      <c r="AP202" s="322"/>
      <c r="AQ202" s="322"/>
      <c r="AR202" s="322"/>
      <c r="AS202" s="322"/>
      <c r="AT202" s="343">
        <v>90000000</v>
      </c>
      <c r="AU202" s="342">
        <v>59797533</v>
      </c>
      <c r="AV202" s="342">
        <v>59797533</v>
      </c>
      <c r="AW202" s="323"/>
      <c r="AX202" s="322"/>
      <c r="AY202" s="322"/>
      <c r="AZ202" s="324"/>
      <c r="BA202" s="322"/>
      <c r="BB202" s="322"/>
      <c r="BC202" s="323"/>
      <c r="BD202" s="322"/>
      <c r="BE202" s="322"/>
      <c r="BF202" s="462">
        <f t="shared" si="22"/>
        <v>90000000</v>
      </c>
      <c r="BG202" s="462">
        <f t="shared" si="23"/>
        <v>59797533</v>
      </c>
      <c r="BH202" s="462">
        <f t="shared" si="24"/>
        <v>59797533</v>
      </c>
      <c r="BI202" s="332" t="s">
        <v>1471</v>
      </c>
      <c r="BK202" s="327"/>
      <c r="BL202" s="328"/>
    </row>
    <row r="203" spans="1:64" s="326" customFormat="1" ht="117" customHeight="1" x14ac:dyDescent="0.2">
      <c r="A203" s="312">
        <v>316</v>
      </c>
      <c r="B203" s="314" t="s">
        <v>1204</v>
      </c>
      <c r="C203" s="312">
        <v>4</v>
      </c>
      <c r="D203" s="314" t="s">
        <v>1205</v>
      </c>
      <c r="E203" s="312">
        <v>45</v>
      </c>
      <c r="F203" s="314" t="s">
        <v>781</v>
      </c>
      <c r="G203" s="312">
        <v>4502</v>
      </c>
      <c r="H203" s="314" t="s">
        <v>1223</v>
      </c>
      <c r="I203" s="312">
        <v>4502</v>
      </c>
      <c r="J203" s="315" t="s">
        <v>1222</v>
      </c>
      <c r="K203" s="384" t="s">
        <v>1162</v>
      </c>
      <c r="L203" s="319">
        <v>4502024</v>
      </c>
      <c r="M203" s="315" t="s">
        <v>284</v>
      </c>
      <c r="N203" s="319">
        <v>4502024</v>
      </c>
      <c r="O203" s="315" t="s">
        <v>284</v>
      </c>
      <c r="P203" s="312" t="s">
        <v>31</v>
      </c>
      <c r="Q203" s="316" t="s">
        <v>797</v>
      </c>
      <c r="R203" s="319">
        <v>450202401</v>
      </c>
      <c r="S203" s="315" t="s">
        <v>798</v>
      </c>
      <c r="T203" s="317" t="s">
        <v>1459</v>
      </c>
      <c r="U203" s="345">
        <v>1</v>
      </c>
      <c r="V203" s="345"/>
      <c r="W203" s="318">
        <f t="shared" si="21"/>
        <v>1</v>
      </c>
      <c r="X203" s="385">
        <v>1</v>
      </c>
      <c r="Y203" s="379">
        <v>2020003630111</v>
      </c>
      <c r="Z203" s="321" t="s">
        <v>1286</v>
      </c>
      <c r="AA203" s="321" t="s">
        <v>799</v>
      </c>
      <c r="AB203" s="322"/>
      <c r="AC203" s="322"/>
      <c r="AD203" s="322"/>
      <c r="AE203" s="322"/>
      <c r="AF203" s="322"/>
      <c r="AG203" s="322"/>
      <c r="AH203" s="322"/>
      <c r="AI203" s="322"/>
      <c r="AJ203" s="322"/>
      <c r="AK203" s="322"/>
      <c r="AL203" s="322"/>
      <c r="AM203" s="322"/>
      <c r="AN203" s="322"/>
      <c r="AO203" s="322"/>
      <c r="AP203" s="322"/>
      <c r="AQ203" s="322"/>
      <c r="AR203" s="322"/>
      <c r="AS203" s="322"/>
      <c r="AT203" s="343">
        <f>33000000+29843334</f>
        <v>62843334</v>
      </c>
      <c r="AU203" s="342">
        <v>48426500</v>
      </c>
      <c r="AV203" s="342">
        <v>48426500</v>
      </c>
      <c r="AW203" s="323"/>
      <c r="AX203" s="322"/>
      <c r="AY203" s="322"/>
      <c r="AZ203" s="324"/>
      <c r="BA203" s="322"/>
      <c r="BB203" s="322"/>
      <c r="BC203" s="323"/>
      <c r="BD203" s="322"/>
      <c r="BE203" s="322"/>
      <c r="BF203" s="462">
        <f t="shared" si="22"/>
        <v>62843334</v>
      </c>
      <c r="BG203" s="462">
        <f t="shared" si="23"/>
        <v>48426500</v>
      </c>
      <c r="BH203" s="462">
        <f t="shared" si="24"/>
        <v>48426500</v>
      </c>
      <c r="BI203" s="332" t="s">
        <v>1471</v>
      </c>
      <c r="BK203" s="327"/>
      <c r="BL203" s="328"/>
    </row>
    <row r="204" spans="1:64" s="326" customFormat="1" ht="117" customHeight="1" x14ac:dyDescent="0.2">
      <c r="A204" s="312">
        <v>316</v>
      </c>
      <c r="B204" s="314" t="s">
        <v>1204</v>
      </c>
      <c r="C204" s="312">
        <v>4</v>
      </c>
      <c r="D204" s="314" t="s">
        <v>1205</v>
      </c>
      <c r="E204" s="312">
        <v>45</v>
      </c>
      <c r="F204" s="314" t="s">
        <v>781</v>
      </c>
      <c r="G204" s="312">
        <v>4502</v>
      </c>
      <c r="H204" s="314" t="s">
        <v>1223</v>
      </c>
      <c r="I204" s="312">
        <v>4502</v>
      </c>
      <c r="J204" s="315" t="s">
        <v>1222</v>
      </c>
      <c r="K204" s="408" t="s">
        <v>1163</v>
      </c>
      <c r="L204" s="319">
        <v>4502024</v>
      </c>
      <c r="M204" s="315" t="s">
        <v>284</v>
      </c>
      <c r="N204" s="319">
        <v>4502024</v>
      </c>
      <c r="O204" s="315" t="s">
        <v>284</v>
      </c>
      <c r="P204" s="312" t="s">
        <v>31</v>
      </c>
      <c r="Q204" s="316" t="s">
        <v>800</v>
      </c>
      <c r="R204" s="319">
        <v>450202401</v>
      </c>
      <c r="S204" s="316" t="s">
        <v>798</v>
      </c>
      <c r="T204" s="317" t="s">
        <v>1459</v>
      </c>
      <c r="U204" s="345">
        <v>1</v>
      </c>
      <c r="V204" s="345"/>
      <c r="W204" s="318">
        <f t="shared" si="21"/>
        <v>1</v>
      </c>
      <c r="X204" s="385">
        <v>0.75</v>
      </c>
      <c r="Y204" s="320">
        <v>2020003630112</v>
      </c>
      <c r="Z204" s="315" t="s">
        <v>801</v>
      </c>
      <c r="AA204" s="321" t="s">
        <v>802</v>
      </c>
      <c r="AB204" s="322"/>
      <c r="AC204" s="322"/>
      <c r="AD204" s="322"/>
      <c r="AE204" s="322"/>
      <c r="AF204" s="322"/>
      <c r="AG204" s="322"/>
      <c r="AH204" s="322"/>
      <c r="AI204" s="322"/>
      <c r="AJ204" s="322"/>
      <c r="AK204" s="322"/>
      <c r="AL204" s="322"/>
      <c r="AM204" s="322"/>
      <c r="AN204" s="322"/>
      <c r="AO204" s="322"/>
      <c r="AP204" s="322"/>
      <c r="AQ204" s="322"/>
      <c r="AR204" s="322"/>
      <c r="AS204" s="322"/>
      <c r="AT204" s="343">
        <f>40000000+30000000+13851781</f>
        <v>83851781</v>
      </c>
      <c r="AU204" s="342">
        <v>41036667</v>
      </c>
      <c r="AV204" s="342">
        <v>41036667</v>
      </c>
      <c r="AW204" s="323"/>
      <c r="AX204" s="322"/>
      <c r="AY204" s="322"/>
      <c r="AZ204" s="324"/>
      <c r="BA204" s="322"/>
      <c r="BB204" s="322"/>
      <c r="BC204" s="323"/>
      <c r="BD204" s="322"/>
      <c r="BE204" s="322"/>
      <c r="BF204" s="462">
        <f t="shared" si="22"/>
        <v>83851781</v>
      </c>
      <c r="BG204" s="462">
        <f t="shared" si="23"/>
        <v>41036667</v>
      </c>
      <c r="BH204" s="462">
        <f t="shared" si="24"/>
        <v>41036667</v>
      </c>
      <c r="BI204" s="332" t="s">
        <v>1471</v>
      </c>
      <c r="BK204" s="327"/>
      <c r="BL204" s="328"/>
    </row>
    <row r="205" spans="1:64" s="326" customFormat="1" ht="117" customHeight="1" x14ac:dyDescent="0.2">
      <c r="A205" s="312">
        <v>318</v>
      </c>
      <c r="B205" s="314" t="s">
        <v>1208</v>
      </c>
      <c r="C205" s="312">
        <v>1</v>
      </c>
      <c r="D205" s="314" t="s">
        <v>1200</v>
      </c>
      <c r="E205" s="312">
        <v>19</v>
      </c>
      <c r="F205" s="314" t="s">
        <v>122</v>
      </c>
      <c r="G205" s="312">
        <v>1903</v>
      </c>
      <c r="H205" s="314" t="s">
        <v>805</v>
      </c>
      <c r="I205" s="312">
        <v>1903</v>
      </c>
      <c r="J205" s="315" t="s">
        <v>1239</v>
      </c>
      <c r="K205" s="321" t="s">
        <v>806</v>
      </c>
      <c r="L205" s="312">
        <v>1903009</v>
      </c>
      <c r="M205" s="315" t="s">
        <v>807</v>
      </c>
      <c r="N205" s="312">
        <v>1903009</v>
      </c>
      <c r="O205" s="315" t="s">
        <v>808</v>
      </c>
      <c r="P205" s="329">
        <v>190300900</v>
      </c>
      <c r="Q205" s="316" t="s">
        <v>809</v>
      </c>
      <c r="R205" s="329">
        <v>190300900</v>
      </c>
      <c r="S205" s="316" t="s">
        <v>1181</v>
      </c>
      <c r="T205" s="317" t="s">
        <v>1460</v>
      </c>
      <c r="U205" s="345">
        <v>960</v>
      </c>
      <c r="V205" s="345"/>
      <c r="W205" s="318">
        <f t="shared" si="21"/>
        <v>960</v>
      </c>
      <c r="X205" s="385">
        <v>1234</v>
      </c>
      <c r="Y205" s="320">
        <v>2020003630116</v>
      </c>
      <c r="Z205" s="315" t="s">
        <v>810</v>
      </c>
      <c r="AA205" s="321" t="s">
        <v>811</v>
      </c>
      <c r="AB205" s="322"/>
      <c r="AC205" s="322"/>
      <c r="AD205" s="322"/>
      <c r="AE205" s="322"/>
      <c r="AF205" s="322"/>
      <c r="AG205" s="322"/>
      <c r="AH205" s="322">
        <f>65000000+8127667</f>
        <v>73127667</v>
      </c>
      <c r="AI205" s="322">
        <v>66796833</v>
      </c>
      <c r="AJ205" s="322">
        <v>66796833</v>
      </c>
      <c r="AK205" s="322"/>
      <c r="AL205" s="322"/>
      <c r="AM205" s="322"/>
      <c r="AN205" s="322"/>
      <c r="AO205" s="322"/>
      <c r="AP205" s="322"/>
      <c r="AQ205" s="322"/>
      <c r="AR205" s="322"/>
      <c r="AS205" s="322"/>
      <c r="AT205" s="343"/>
      <c r="AU205" s="342"/>
      <c r="AV205" s="342"/>
      <c r="AW205" s="323"/>
      <c r="AX205" s="322"/>
      <c r="AY205" s="322"/>
      <c r="AZ205" s="324"/>
      <c r="BA205" s="322"/>
      <c r="BB205" s="322"/>
      <c r="BC205" s="323"/>
      <c r="BD205" s="322"/>
      <c r="BE205" s="322"/>
      <c r="BF205" s="462">
        <f t="shared" si="22"/>
        <v>73127667</v>
      </c>
      <c r="BG205" s="462">
        <f t="shared" si="23"/>
        <v>66796833</v>
      </c>
      <c r="BH205" s="462">
        <f t="shared" si="24"/>
        <v>66796833</v>
      </c>
      <c r="BI205" s="332" t="s">
        <v>1473</v>
      </c>
      <c r="BK205" s="327"/>
      <c r="BL205" s="328"/>
    </row>
    <row r="206" spans="1:64" s="326" customFormat="1" ht="117" customHeight="1" x14ac:dyDescent="0.2">
      <c r="A206" s="312">
        <v>318</v>
      </c>
      <c r="B206" s="314" t="s">
        <v>1208</v>
      </c>
      <c r="C206" s="312">
        <v>1</v>
      </c>
      <c r="D206" s="314" t="s">
        <v>1200</v>
      </c>
      <c r="E206" s="312">
        <v>19</v>
      </c>
      <c r="F206" s="314" t="s">
        <v>122</v>
      </c>
      <c r="G206" s="312">
        <v>1903</v>
      </c>
      <c r="H206" s="314" t="s">
        <v>805</v>
      </c>
      <c r="I206" s="312">
        <v>1903</v>
      </c>
      <c r="J206" s="315" t="s">
        <v>1239</v>
      </c>
      <c r="K206" s="321" t="s">
        <v>812</v>
      </c>
      <c r="L206" s="312">
        <v>1903031</v>
      </c>
      <c r="M206" s="315" t="s">
        <v>813</v>
      </c>
      <c r="N206" s="312">
        <v>1903031</v>
      </c>
      <c r="O206" s="315" t="s">
        <v>813</v>
      </c>
      <c r="P206" s="329">
        <v>190303100</v>
      </c>
      <c r="Q206" s="316" t="s">
        <v>814</v>
      </c>
      <c r="R206" s="329">
        <v>190303100</v>
      </c>
      <c r="S206" s="316" t="s">
        <v>814</v>
      </c>
      <c r="T206" s="317" t="s">
        <v>1459</v>
      </c>
      <c r="U206" s="345">
        <v>12</v>
      </c>
      <c r="V206" s="345"/>
      <c r="W206" s="318">
        <f t="shared" si="21"/>
        <v>12</v>
      </c>
      <c r="X206" s="385">
        <v>12</v>
      </c>
      <c r="Y206" s="320">
        <v>2020003630116</v>
      </c>
      <c r="Z206" s="315" t="s">
        <v>810</v>
      </c>
      <c r="AA206" s="321" t="s">
        <v>811</v>
      </c>
      <c r="AB206" s="322"/>
      <c r="AC206" s="322"/>
      <c r="AD206" s="322"/>
      <c r="AE206" s="322"/>
      <c r="AF206" s="322"/>
      <c r="AG206" s="322"/>
      <c r="AH206" s="331">
        <f>64000000+35317635</f>
        <v>99317635</v>
      </c>
      <c r="AI206" s="331">
        <v>95525221</v>
      </c>
      <c r="AJ206" s="331">
        <v>95525221</v>
      </c>
      <c r="AK206" s="322"/>
      <c r="AL206" s="322"/>
      <c r="AM206" s="322"/>
      <c r="AN206" s="322"/>
      <c r="AO206" s="322"/>
      <c r="AP206" s="322"/>
      <c r="AQ206" s="322"/>
      <c r="AR206" s="322"/>
      <c r="AS206" s="322"/>
      <c r="AT206" s="343"/>
      <c r="AU206" s="342"/>
      <c r="AV206" s="342"/>
      <c r="AW206" s="323"/>
      <c r="AX206" s="322"/>
      <c r="AY206" s="322"/>
      <c r="AZ206" s="324"/>
      <c r="BA206" s="322"/>
      <c r="BB206" s="322"/>
      <c r="BC206" s="323"/>
      <c r="BD206" s="322"/>
      <c r="BE206" s="322"/>
      <c r="BF206" s="462">
        <f t="shared" si="22"/>
        <v>99317635</v>
      </c>
      <c r="BG206" s="462">
        <f t="shared" si="23"/>
        <v>95525221</v>
      </c>
      <c r="BH206" s="462">
        <f t="shared" si="24"/>
        <v>95525221</v>
      </c>
      <c r="BI206" s="332" t="s">
        <v>1473</v>
      </c>
      <c r="BK206" s="327"/>
      <c r="BL206" s="328"/>
    </row>
    <row r="207" spans="1:64" s="398" customFormat="1" ht="117" customHeight="1" x14ac:dyDescent="0.25">
      <c r="A207" s="312">
        <v>318</v>
      </c>
      <c r="B207" s="314" t="s">
        <v>1208</v>
      </c>
      <c r="C207" s="312">
        <v>1</v>
      </c>
      <c r="D207" s="314" t="s">
        <v>1200</v>
      </c>
      <c r="E207" s="312">
        <v>19</v>
      </c>
      <c r="F207" s="314" t="s">
        <v>122</v>
      </c>
      <c r="G207" s="312">
        <v>1903</v>
      </c>
      <c r="H207" s="314" t="s">
        <v>805</v>
      </c>
      <c r="I207" s="312">
        <v>1903</v>
      </c>
      <c r="J207" s="315" t="s">
        <v>1239</v>
      </c>
      <c r="K207" s="321" t="s">
        <v>815</v>
      </c>
      <c r="L207" s="312">
        <v>1903023</v>
      </c>
      <c r="M207" s="315" t="s">
        <v>816</v>
      </c>
      <c r="N207" s="312">
        <v>1903023</v>
      </c>
      <c r="O207" s="315" t="s">
        <v>816</v>
      </c>
      <c r="P207" s="329">
        <v>190302300</v>
      </c>
      <c r="Q207" s="316" t="s">
        <v>817</v>
      </c>
      <c r="R207" s="329">
        <v>190302300</v>
      </c>
      <c r="S207" s="316" t="s">
        <v>817</v>
      </c>
      <c r="T207" s="317" t="s">
        <v>1459</v>
      </c>
      <c r="U207" s="345">
        <v>12</v>
      </c>
      <c r="V207" s="345"/>
      <c r="W207" s="318">
        <f t="shared" si="21"/>
        <v>12</v>
      </c>
      <c r="X207" s="385">
        <v>11</v>
      </c>
      <c r="Y207" s="320">
        <v>2020003630116</v>
      </c>
      <c r="Z207" s="315" t="s">
        <v>810</v>
      </c>
      <c r="AA207" s="321" t="s">
        <v>811</v>
      </c>
      <c r="AB207" s="322"/>
      <c r="AC207" s="322"/>
      <c r="AD207" s="322"/>
      <c r="AE207" s="322"/>
      <c r="AF207" s="322"/>
      <c r="AG207" s="322"/>
      <c r="AH207" s="331">
        <f>40000000+200000000+4184864-29000000</f>
        <v>215184864</v>
      </c>
      <c r="AI207" s="322">
        <v>215057551</v>
      </c>
      <c r="AJ207" s="322">
        <v>215057551</v>
      </c>
      <c r="AK207" s="322"/>
      <c r="AL207" s="322"/>
      <c r="AM207" s="322"/>
      <c r="AN207" s="322"/>
      <c r="AO207" s="322"/>
      <c r="AP207" s="322"/>
      <c r="AQ207" s="322"/>
      <c r="AR207" s="322"/>
      <c r="AS207" s="322"/>
      <c r="AT207" s="330"/>
      <c r="AU207" s="331"/>
      <c r="AV207" s="331"/>
      <c r="AW207" s="323"/>
      <c r="AX207" s="322"/>
      <c r="AY207" s="322"/>
      <c r="AZ207" s="324"/>
      <c r="BA207" s="322"/>
      <c r="BB207" s="322"/>
      <c r="BC207" s="323"/>
      <c r="BD207" s="322"/>
      <c r="BE207" s="322"/>
      <c r="BF207" s="462">
        <f t="shared" si="22"/>
        <v>215184864</v>
      </c>
      <c r="BG207" s="462">
        <f t="shared" si="23"/>
        <v>215057551</v>
      </c>
      <c r="BH207" s="462">
        <f t="shared" si="24"/>
        <v>215057551</v>
      </c>
      <c r="BI207" s="332" t="s">
        <v>1473</v>
      </c>
      <c r="BK207" s="327"/>
      <c r="BL207" s="328"/>
    </row>
    <row r="208" spans="1:64" s="398" customFormat="1" ht="117" customHeight="1" x14ac:dyDescent="0.25">
      <c r="A208" s="312">
        <v>318</v>
      </c>
      <c r="B208" s="314" t="s">
        <v>1208</v>
      </c>
      <c r="C208" s="312">
        <v>1</v>
      </c>
      <c r="D208" s="314" t="s">
        <v>1200</v>
      </c>
      <c r="E208" s="312">
        <v>19</v>
      </c>
      <c r="F208" s="314" t="s">
        <v>122</v>
      </c>
      <c r="G208" s="312">
        <v>1903</v>
      </c>
      <c r="H208" s="314" t="s">
        <v>805</v>
      </c>
      <c r="I208" s="312">
        <v>1903</v>
      </c>
      <c r="J208" s="315" t="s">
        <v>1239</v>
      </c>
      <c r="K208" s="321" t="s">
        <v>818</v>
      </c>
      <c r="L208" s="312" t="s">
        <v>31</v>
      </c>
      <c r="M208" s="315" t="s">
        <v>819</v>
      </c>
      <c r="N208" s="312">
        <v>1903050</v>
      </c>
      <c r="O208" s="315" t="s">
        <v>1456</v>
      </c>
      <c r="P208" s="312" t="s">
        <v>31</v>
      </c>
      <c r="Q208" s="316" t="s">
        <v>820</v>
      </c>
      <c r="R208" s="329">
        <v>190305000</v>
      </c>
      <c r="S208" s="316" t="s">
        <v>1351</v>
      </c>
      <c r="T208" s="317" t="s">
        <v>1459</v>
      </c>
      <c r="U208" s="345">
        <v>12</v>
      </c>
      <c r="V208" s="345"/>
      <c r="W208" s="318">
        <f t="shared" si="21"/>
        <v>12</v>
      </c>
      <c r="X208" s="385">
        <v>11</v>
      </c>
      <c r="Y208" s="320">
        <v>2020003630116</v>
      </c>
      <c r="Z208" s="315" t="s">
        <v>810</v>
      </c>
      <c r="AA208" s="321" t="s">
        <v>811</v>
      </c>
      <c r="AB208" s="322"/>
      <c r="AC208" s="322"/>
      <c r="AD208" s="322"/>
      <c r="AE208" s="322"/>
      <c r="AF208" s="322"/>
      <c r="AG208" s="322"/>
      <c r="AH208" s="322">
        <f>40000000-5000000</f>
        <v>35000000</v>
      </c>
      <c r="AI208" s="322">
        <v>28850000</v>
      </c>
      <c r="AJ208" s="322">
        <v>28850000</v>
      </c>
      <c r="AK208" s="331"/>
      <c r="AL208" s="331"/>
      <c r="AM208" s="331"/>
      <c r="AN208" s="322"/>
      <c r="AO208" s="322"/>
      <c r="AP208" s="322"/>
      <c r="AQ208" s="322"/>
      <c r="AR208" s="322"/>
      <c r="AS208" s="322"/>
      <c r="AT208" s="330"/>
      <c r="AU208" s="331"/>
      <c r="AV208" s="331"/>
      <c r="AW208" s="323"/>
      <c r="AX208" s="322"/>
      <c r="AY208" s="322"/>
      <c r="AZ208" s="324"/>
      <c r="BA208" s="322"/>
      <c r="BB208" s="322"/>
      <c r="BC208" s="323"/>
      <c r="BD208" s="322"/>
      <c r="BE208" s="322"/>
      <c r="BF208" s="462">
        <f t="shared" si="22"/>
        <v>35000000</v>
      </c>
      <c r="BG208" s="462">
        <f t="shared" si="23"/>
        <v>28850000</v>
      </c>
      <c r="BH208" s="462">
        <f t="shared" si="24"/>
        <v>28850000</v>
      </c>
      <c r="BI208" s="332" t="s">
        <v>1473</v>
      </c>
      <c r="BK208" s="327"/>
      <c r="BL208" s="328"/>
    </row>
    <row r="209" spans="1:64" s="398" customFormat="1" ht="117" customHeight="1" x14ac:dyDescent="0.25">
      <c r="A209" s="312">
        <v>318</v>
      </c>
      <c r="B209" s="314" t="s">
        <v>1208</v>
      </c>
      <c r="C209" s="312">
        <v>1</v>
      </c>
      <c r="D209" s="314" t="s">
        <v>1200</v>
      </c>
      <c r="E209" s="312">
        <v>19</v>
      </c>
      <c r="F209" s="314" t="s">
        <v>122</v>
      </c>
      <c r="G209" s="312">
        <v>1903</v>
      </c>
      <c r="H209" s="314" t="s">
        <v>805</v>
      </c>
      <c r="I209" s="312">
        <v>1903</v>
      </c>
      <c r="J209" s="315" t="s">
        <v>1239</v>
      </c>
      <c r="K209" s="321" t="s">
        <v>806</v>
      </c>
      <c r="L209" s="312" t="s">
        <v>31</v>
      </c>
      <c r="M209" s="315" t="s">
        <v>821</v>
      </c>
      <c r="N209" s="312">
        <v>1903038</v>
      </c>
      <c r="O209" s="315" t="s">
        <v>822</v>
      </c>
      <c r="P209" s="312" t="s">
        <v>31</v>
      </c>
      <c r="Q209" s="316" t="s">
        <v>823</v>
      </c>
      <c r="R209" s="312">
        <v>190303801</v>
      </c>
      <c r="S209" s="316" t="s">
        <v>824</v>
      </c>
      <c r="T209" s="317" t="s">
        <v>1459</v>
      </c>
      <c r="U209" s="320">
        <v>1</v>
      </c>
      <c r="V209" s="320"/>
      <c r="W209" s="318">
        <f t="shared" si="21"/>
        <v>1</v>
      </c>
      <c r="X209" s="385">
        <v>1</v>
      </c>
      <c r="Y209" s="320">
        <v>2020003630116</v>
      </c>
      <c r="Z209" s="315" t="s">
        <v>810</v>
      </c>
      <c r="AA209" s="321" t="s">
        <v>811</v>
      </c>
      <c r="AB209" s="322"/>
      <c r="AC209" s="322"/>
      <c r="AD209" s="322"/>
      <c r="AE209" s="322"/>
      <c r="AF209" s="322"/>
      <c r="AG209" s="322"/>
      <c r="AH209" s="322">
        <v>0</v>
      </c>
      <c r="AI209" s="322"/>
      <c r="AJ209" s="322"/>
      <c r="AK209" s="322"/>
      <c r="AL209" s="322"/>
      <c r="AM209" s="322"/>
      <c r="AN209" s="322"/>
      <c r="AO209" s="322"/>
      <c r="AP209" s="322"/>
      <c r="AQ209" s="322"/>
      <c r="AR209" s="322"/>
      <c r="AS209" s="322"/>
      <c r="AT209" s="330">
        <v>40000000</v>
      </c>
      <c r="AU209" s="331">
        <v>34975106.240000002</v>
      </c>
      <c r="AV209" s="331">
        <v>5360385.0599999996</v>
      </c>
      <c r="AW209" s="323"/>
      <c r="AX209" s="322"/>
      <c r="AY209" s="322"/>
      <c r="AZ209" s="324"/>
      <c r="BA209" s="322"/>
      <c r="BB209" s="322"/>
      <c r="BC209" s="323">
        <v>1783090149.6199999</v>
      </c>
      <c r="BD209" s="365">
        <v>511868062.34000003</v>
      </c>
      <c r="BE209" s="365">
        <v>511868062.34000003</v>
      </c>
      <c r="BF209" s="462">
        <f t="shared" si="22"/>
        <v>1823090149.6199999</v>
      </c>
      <c r="BG209" s="462">
        <f t="shared" si="23"/>
        <v>546843168.58000004</v>
      </c>
      <c r="BH209" s="462">
        <f t="shared" si="24"/>
        <v>517228447.40000004</v>
      </c>
      <c r="BI209" s="332" t="s">
        <v>1473</v>
      </c>
      <c r="BK209" s="327"/>
      <c r="BL209" s="328"/>
    </row>
    <row r="210" spans="1:64" s="398" customFormat="1" ht="117" customHeight="1" x14ac:dyDescent="0.25">
      <c r="A210" s="312">
        <v>318</v>
      </c>
      <c r="B210" s="314" t="s">
        <v>1208</v>
      </c>
      <c r="C210" s="312">
        <v>1</v>
      </c>
      <c r="D210" s="314" t="s">
        <v>1200</v>
      </c>
      <c r="E210" s="312">
        <v>19</v>
      </c>
      <c r="F210" s="314" t="s">
        <v>122</v>
      </c>
      <c r="G210" s="312">
        <v>1903</v>
      </c>
      <c r="H210" s="314" t="s">
        <v>805</v>
      </c>
      <c r="I210" s="312">
        <v>1903</v>
      </c>
      <c r="J210" s="315" t="s">
        <v>1239</v>
      </c>
      <c r="K210" s="321" t="s">
        <v>825</v>
      </c>
      <c r="L210" s="312">
        <v>1903038</v>
      </c>
      <c r="M210" s="315" t="s">
        <v>822</v>
      </c>
      <c r="N210" s="312">
        <v>1903038</v>
      </c>
      <c r="O210" s="315" t="s">
        <v>822</v>
      </c>
      <c r="P210" s="329">
        <v>190303801</v>
      </c>
      <c r="Q210" s="315" t="s">
        <v>826</v>
      </c>
      <c r="R210" s="329">
        <v>190303801</v>
      </c>
      <c r="S210" s="316" t="s">
        <v>826</v>
      </c>
      <c r="T210" s="317" t="s">
        <v>1459</v>
      </c>
      <c r="U210" s="345">
        <v>11</v>
      </c>
      <c r="V210" s="345"/>
      <c r="W210" s="318">
        <f t="shared" ref="W210:W273" si="25">U210+V210</f>
        <v>11</v>
      </c>
      <c r="X210" s="385">
        <v>11</v>
      </c>
      <c r="Y210" s="320">
        <v>2020003630116</v>
      </c>
      <c r="Z210" s="315" t="s">
        <v>810</v>
      </c>
      <c r="AA210" s="321" t="s">
        <v>811</v>
      </c>
      <c r="AB210" s="322"/>
      <c r="AC210" s="322"/>
      <c r="AD210" s="322"/>
      <c r="AE210" s="322"/>
      <c r="AF210" s="322"/>
      <c r="AG210" s="322"/>
      <c r="AH210" s="365">
        <f>30000000+9430000+5000000</f>
        <v>44430000</v>
      </c>
      <c r="AI210" s="365">
        <v>40420000</v>
      </c>
      <c r="AJ210" s="365">
        <v>37120000</v>
      </c>
      <c r="AK210" s="322"/>
      <c r="AL210" s="322"/>
      <c r="AM210" s="322"/>
      <c r="AN210" s="322"/>
      <c r="AO210" s="322"/>
      <c r="AP210" s="322"/>
      <c r="AQ210" s="322"/>
      <c r="AR210" s="322"/>
      <c r="AS210" s="322"/>
      <c r="AT210" s="330"/>
      <c r="AU210" s="331"/>
      <c r="AV210" s="331"/>
      <c r="AW210" s="323"/>
      <c r="AX210" s="322"/>
      <c r="AY210" s="322"/>
      <c r="AZ210" s="324"/>
      <c r="BA210" s="322"/>
      <c r="BB210" s="322"/>
      <c r="BC210" s="323"/>
      <c r="BD210" s="322"/>
      <c r="BE210" s="322"/>
      <c r="BF210" s="462">
        <f t="shared" si="22"/>
        <v>44430000</v>
      </c>
      <c r="BG210" s="462">
        <f t="shared" si="23"/>
        <v>40420000</v>
      </c>
      <c r="BH210" s="462">
        <f t="shared" si="24"/>
        <v>37120000</v>
      </c>
      <c r="BI210" s="332" t="s">
        <v>1473</v>
      </c>
      <c r="BK210" s="327"/>
      <c r="BL210" s="328"/>
    </row>
    <row r="211" spans="1:64" s="398" customFormat="1" ht="117" customHeight="1" x14ac:dyDescent="0.25">
      <c r="A211" s="312">
        <v>318</v>
      </c>
      <c r="B211" s="314" t="s">
        <v>1208</v>
      </c>
      <c r="C211" s="312">
        <v>1</v>
      </c>
      <c r="D211" s="314" t="s">
        <v>1200</v>
      </c>
      <c r="E211" s="312">
        <v>19</v>
      </c>
      <c r="F211" s="314" t="s">
        <v>122</v>
      </c>
      <c r="G211" s="312">
        <v>1903</v>
      </c>
      <c r="H211" s="314" t="s">
        <v>805</v>
      </c>
      <c r="I211" s="312">
        <v>1903</v>
      </c>
      <c r="J211" s="315" t="s">
        <v>1239</v>
      </c>
      <c r="K211" s="321" t="s">
        <v>812</v>
      </c>
      <c r="L211" s="312">
        <v>1903027</v>
      </c>
      <c r="M211" s="315" t="s">
        <v>827</v>
      </c>
      <c r="N211" s="312">
        <v>1903027</v>
      </c>
      <c r="O211" s="315" t="s">
        <v>827</v>
      </c>
      <c r="P211" s="329">
        <v>190302700</v>
      </c>
      <c r="Q211" s="316" t="s">
        <v>828</v>
      </c>
      <c r="R211" s="329">
        <v>190302700</v>
      </c>
      <c r="S211" s="316" t="s">
        <v>828</v>
      </c>
      <c r="T211" s="317" t="s">
        <v>1459</v>
      </c>
      <c r="U211" s="345">
        <v>5</v>
      </c>
      <c r="V211" s="345"/>
      <c r="W211" s="318">
        <f t="shared" si="25"/>
        <v>5</v>
      </c>
      <c r="X211" s="385">
        <v>11</v>
      </c>
      <c r="Y211" s="320">
        <v>2020003630116</v>
      </c>
      <c r="Z211" s="315" t="s">
        <v>810</v>
      </c>
      <c r="AA211" s="321" t="s">
        <v>811</v>
      </c>
      <c r="AB211" s="322"/>
      <c r="AC211" s="322"/>
      <c r="AD211" s="322"/>
      <c r="AE211" s="322"/>
      <c r="AF211" s="322"/>
      <c r="AG211" s="322"/>
      <c r="AH211" s="365">
        <f>20000000+11254167</f>
        <v>31254167</v>
      </c>
      <c r="AI211" s="365">
        <v>28657667</v>
      </c>
      <c r="AJ211" s="365">
        <v>28657667</v>
      </c>
      <c r="AK211" s="322"/>
      <c r="AL211" s="322"/>
      <c r="AM211" s="322"/>
      <c r="AN211" s="322"/>
      <c r="AO211" s="322"/>
      <c r="AP211" s="322"/>
      <c r="AQ211" s="322"/>
      <c r="AR211" s="322"/>
      <c r="AS211" s="322"/>
      <c r="AT211" s="330"/>
      <c r="AU211" s="331"/>
      <c r="AV211" s="331"/>
      <c r="AW211" s="323"/>
      <c r="AX211" s="322"/>
      <c r="AY211" s="322"/>
      <c r="AZ211" s="324"/>
      <c r="BA211" s="322"/>
      <c r="BB211" s="322"/>
      <c r="BC211" s="323"/>
      <c r="BD211" s="322"/>
      <c r="BE211" s="322"/>
      <c r="BF211" s="462">
        <f t="shared" si="22"/>
        <v>31254167</v>
      </c>
      <c r="BG211" s="462">
        <f t="shared" si="23"/>
        <v>28657667</v>
      </c>
      <c r="BH211" s="462">
        <f t="shared" si="24"/>
        <v>28657667</v>
      </c>
      <c r="BI211" s="332" t="s">
        <v>1473</v>
      </c>
      <c r="BK211" s="327"/>
      <c r="BL211" s="328"/>
    </row>
    <row r="212" spans="1:64" s="398" customFormat="1" ht="117" customHeight="1" x14ac:dyDescent="0.25">
      <c r="A212" s="312">
        <v>318</v>
      </c>
      <c r="B212" s="314" t="s">
        <v>1208</v>
      </c>
      <c r="C212" s="312">
        <v>1</v>
      </c>
      <c r="D212" s="314" t="s">
        <v>1200</v>
      </c>
      <c r="E212" s="312">
        <v>19</v>
      </c>
      <c r="F212" s="314" t="s">
        <v>122</v>
      </c>
      <c r="G212" s="312">
        <v>1903</v>
      </c>
      <c r="H212" s="314" t="s">
        <v>805</v>
      </c>
      <c r="I212" s="312">
        <v>1903</v>
      </c>
      <c r="J212" s="315" t="s">
        <v>1239</v>
      </c>
      <c r="K212" s="384" t="s">
        <v>859</v>
      </c>
      <c r="L212" s="312">
        <v>1903011</v>
      </c>
      <c r="M212" s="315" t="s">
        <v>830</v>
      </c>
      <c r="N212" s="312">
        <v>1903011</v>
      </c>
      <c r="O212" s="315" t="s">
        <v>830</v>
      </c>
      <c r="P212" s="329">
        <v>190301100</v>
      </c>
      <c r="Q212" s="316" t="s">
        <v>831</v>
      </c>
      <c r="R212" s="329">
        <v>190301100</v>
      </c>
      <c r="S212" s="316" t="s">
        <v>832</v>
      </c>
      <c r="T212" s="317" t="s">
        <v>1459</v>
      </c>
      <c r="U212" s="345">
        <v>140</v>
      </c>
      <c r="V212" s="345"/>
      <c r="W212" s="318">
        <f t="shared" si="25"/>
        <v>140</v>
      </c>
      <c r="X212" s="385">
        <v>235</v>
      </c>
      <c r="Y212" s="320">
        <v>2020003630116</v>
      </c>
      <c r="Z212" s="315" t="s">
        <v>810</v>
      </c>
      <c r="AA212" s="321" t="s">
        <v>811</v>
      </c>
      <c r="AB212" s="322"/>
      <c r="AC212" s="322"/>
      <c r="AD212" s="322"/>
      <c r="AE212" s="322"/>
      <c r="AF212" s="322"/>
      <c r="AG212" s="322"/>
      <c r="AH212" s="322">
        <f>40000000+10917167</f>
        <v>50917167</v>
      </c>
      <c r="AI212" s="322">
        <v>47394333</v>
      </c>
      <c r="AJ212" s="322">
        <v>47394333</v>
      </c>
      <c r="AK212" s="322"/>
      <c r="AL212" s="322"/>
      <c r="AM212" s="322"/>
      <c r="AN212" s="322"/>
      <c r="AO212" s="322"/>
      <c r="AP212" s="322"/>
      <c r="AQ212" s="322"/>
      <c r="AR212" s="322"/>
      <c r="AS212" s="322"/>
      <c r="AT212" s="330"/>
      <c r="AU212" s="331"/>
      <c r="AV212" s="331"/>
      <c r="AW212" s="323"/>
      <c r="AX212" s="322"/>
      <c r="AY212" s="322"/>
      <c r="AZ212" s="324"/>
      <c r="BA212" s="322"/>
      <c r="BB212" s="322"/>
      <c r="BC212" s="323"/>
      <c r="BD212" s="322"/>
      <c r="BE212" s="322"/>
      <c r="BF212" s="462">
        <f t="shared" si="22"/>
        <v>50917167</v>
      </c>
      <c r="BG212" s="462">
        <f t="shared" si="23"/>
        <v>47394333</v>
      </c>
      <c r="BH212" s="462">
        <f t="shared" si="24"/>
        <v>47394333</v>
      </c>
      <c r="BI212" s="332" t="s">
        <v>1473</v>
      </c>
      <c r="BK212" s="327"/>
      <c r="BL212" s="328"/>
    </row>
    <row r="213" spans="1:64" s="398" customFormat="1" ht="117" customHeight="1" x14ac:dyDescent="0.25">
      <c r="A213" s="312">
        <v>318</v>
      </c>
      <c r="B213" s="314" t="s">
        <v>1208</v>
      </c>
      <c r="C213" s="312">
        <v>1</v>
      </c>
      <c r="D213" s="314" t="s">
        <v>1200</v>
      </c>
      <c r="E213" s="312">
        <v>19</v>
      </c>
      <c r="F213" s="314" t="s">
        <v>122</v>
      </c>
      <c r="G213" s="312">
        <v>1903</v>
      </c>
      <c r="H213" s="314" t="s">
        <v>805</v>
      </c>
      <c r="I213" s="312">
        <v>1903</v>
      </c>
      <c r="J213" s="315" t="s">
        <v>1239</v>
      </c>
      <c r="K213" s="321" t="s">
        <v>833</v>
      </c>
      <c r="L213" s="329">
        <v>1903001</v>
      </c>
      <c r="M213" s="316" t="s">
        <v>68</v>
      </c>
      <c r="N213" s="316">
        <v>1903001</v>
      </c>
      <c r="O213" s="333" t="s">
        <v>68</v>
      </c>
      <c r="P213" s="333">
        <v>190300100</v>
      </c>
      <c r="Q213" s="316" t="s">
        <v>834</v>
      </c>
      <c r="R213" s="329">
        <v>190300100</v>
      </c>
      <c r="S213" s="316" t="s">
        <v>834</v>
      </c>
      <c r="T213" s="317" t="s">
        <v>1459</v>
      </c>
      <c r="U213" s="345">
        <v>1</v>
      </c>
      <c r="V213" s="345"/>
      <c r="W213" s="318">
        <f t="shared" si="25"/>
        <v>1</v>
      </c>
      <c r="X213" s="385">
        <v>1</v>
      </c>
      <c r="Y213" s="320">
        <v>2020003630117</v>
      </c>
      <c r="Z213" s="315" t="s">
        <v>835</v>
      </c>
      <c r="AA213" s="321" t="s">
        <v>836</v>
      </c>
      <c r="AB213" s="322"/>
      <c r="AC213" s="322"/>
      <c r="AD213" s="322"/>
      <c r="AE213" s="322"/>
      <c r="AF213" s="322"/>
      <c r="AG213" s="322"/>
      <c r="AH213" s="322">
        <f>90000000+60877501</f>
        <v>150877501</v>
      </c>
      <c r="AI213" s="322">
        <v>137660999</v>
      </c>
      <c r="AJ213" s="322">
        <v>137660999</v>
      </c>
      <c r="AK213" s="322"/>
      <c r="AL213" s="322"/>
      <c r="AM213" s="322"/>
      <c r="AN213" s="322"/>
      <c r="AO213" s="322"/>
      <c r="AP213" s="322"/>
      <c r="AQ213" s="322"/>
      <c r="AR213" s="322"/>
      <c r="AS213" s="322"/>
      <c r="AT213" s="343">
        <v>20000000</v>
      </c>
      <c r="AU213" s="342">
        <v>18557500</v>
      </c>
      <c r="AV213" s="342">
        <v>18557500</v>
      </c>
      <c r="AW213" s="323"/>
      <c r="AX213" s="322"/>
      <c r="AY213" s="322"/>
      <c r="AZ213" s="324"/>
      <c r="BA213" s="322"/>
      <c r="BB213" s="322"/>
      <c r="BC213" s="323"/>
      <c r="BD213" s="322"/>
      <c r="BE213" s="322"/>
      <c r="BF213" s="462">
        <f t="shared" si="22"/>
        <v>170877501</v>
      </c>
      <c r="BG213" s="462">
        <f t="shared" si="23"/>
        <v>156218499</v>
      </c>
      <c r="BH213" s="462">
        <f t="shared" si="24"/>
        <v>156218499</v>
      </c>
      <c r="BI213" s="332" t="s">
        <v>1473</v>
      </c>
      <c r="BK213" s="327"/>
      <c r="BL213" s="328"/>
    </row>
    <row r="214" spans="1:64" s="398" customFormat="1" ht="117" customHeight="1" x14ac:dyDescent="0.25">
      <c r="A214" s="312">
        <v>318</v>
      </c>
      <c r="B214" s="314" t="s">
        <v>1208</v>
      </c>
      <c r="C214" s="312">
        <v>1</v>
      </c>
      <c r="D214" s="314" t="s">
        <v>1200</v>
      </c>
      <c r="E214" s="312">
        <v>19</v>
      </c>
      <c r="F214" s="314" t="s">
        <v>122</v>
      </c>
      <c r="G214" s="312">
        <v>1903</v>
      </c>
      <c r="H214" s="314" t="s">
        <v>805</v>
      </c>
      <c r="I214" s="312">
        <v>1903</v>
      </c>
      <c r="J214" s="315" t="s">
        <v>1239</v>
      </c>
      <c r="K214" s="321" t="s">
        <v>837</v>
      </c>
      <c r="L214" s="312">
        <v>1903015</v>
      </c>
      <c r="M214" s="315" t="s">
        <v>838</v>
      </c>
      <c r="N214" s="312">
        <v>1903015</v>
      </c>
      <c r="O214" s="315" t="s">
        <v>838</v>
      </c>
      <c r="P214" s="329">
        <v>190301500</v>
      </c>
      <c r="Q214" s="315" t="s">
        <v>839</v>
      </c>
      <c r="R214" s="312">
        <v>190301500</v>
      </c>
      <c r="S214" s="316" t="s">
        <v>839</v>
      </c>
      <c r="T214" s="317" t="s">
        <v>1459</v>
      </c>
      <c r="U214" s="345">
        <v>12</v>
      </c>
      <c r="V214" s="345"/>
      <c r="W214" s="318">
        <f t="shared" si="25"/>
        <v>12</v>
      </c>
      <c r="X214" s="385">
        <v>12</v>
      </c>
      <c r="Y214" s="320">
        <v>2020003630117</v>
      </c>
      <c r="Z214" s="315" t="s">
        <v>835</v>
      </c>
      <c r="AA214" s="321" t="s">
        <v>836</v>
      </c>
      <c r="AB214" s="322"/>
      <c r="AC214" s="322"/>
      <c r="AD214" s="322"/>
      <c r="AE214" s="322"/>
      <c r="AF214" s="322"/>
      <c r="AG214" s="322"/>
      <c r="AH214" s="322">
        <f>190000000-606682.1+67092516.1</f>
        <v>256485834</v>
      </c>
      <c r="AI214" s="322">
        <v>227180940</v>
      </c>
      <c r="AJ214" s="322">
        <v>227180940</v>
      </c>
      <c r="AK214" s="322"/>
      <c r="AL214" s="322"/>
      <c r="AM214" s="322"/>
      <c r="AN214" s="322"/>
      <c r="AO214" s="322"/>
      <c r="AP214" s="322"/>
      <c r="AQ214" s="322"/>
      <c r="AR214" s="322"/>
      <c r="AS214" s="322"/>
      <c r="AT214" s="343">
        <v>30000000</v>
      </c>
      <c r="AU214" s="342">
        <v>24337334</v>
      </c>
      <c r="AV214" s="342">
        <v>24337334</v>
      </c>
      <c r="AW214" s="323"/>
      <c r="AX214" s="322"/>
      <c r="AY214" s="322"/>
      <c r="AZ214" s="324"/>
      <c r="BA214" s="322"/>
      <c r="BB214" s="322"/>
      <c r="BC214" s="323"/>
      <c r="BD214" s="322"/>
      <c r="BE214" s="322"/>
      <c r="BF214" s="462">
        <f t="shared" si="22"/>
        <v>286485834</v>
      </c>
      <c r="BG214" s="462">
        <f t="shared" si="23"/>
        <v>251518274</v>
      </c>
      <c r="BH214" s="462">
        <f t="shared" si="24"/>
        <v>251518274</v>
      </c>
      <c r="BI214" s="332" t="s">
        <v>1473</v>
      </c>
      <c r="BK214" s="327"/>
      <c r="BL214" s="328"/>
    </row>
    <row r="215" spans="1:64" s="398" customFormat="1" ht="117" customHeight="1" x14ac:dyDescent="0.25">
      <c r="A215" s="312">
        <v>318</v>
      </c>
      <c r="B215" s="314" t="s">
        <v>1208</v>
      </c>
      <c r="C215" s="312">
        <v>1</v>
      </c>
      <c r="D215" s="314" t="s">
        <v>1200</v>
      </c>
      <c r="E215" s="312">
        <v>19</v>
      </c>
      <c r="F215" s="314" t="s">
        <v>122</v>
      </c>
      <c r="G215" s="312">
        <v>1903</v>
      </c>
      <c r="H215" s="314" t="s">
        <v>805</v>
      </c>
      <c r="I215" s="312">
        <v>1903</v>
      </c>
      <c r="J215" s="315" t="s">
        <v>1239</v>
      </c>
      <c r="K215" s="321" t="s">
        <v>840</v>
      </c>
      <c r="L215" s="312">
        <v>1903012</v>
      </c>
      <c r="M215" s="315" t="s">
        <v>841</v>
      </c>
      <c r="N215" s="312">
        <v>1903012</v>
      </c>
      <c r="O215" s="315" t="s">
        <v>841</v>
      </c>
      <c r="P215" s="329">
        <v>190301200</v>
      </c>
      <c r="Q215" s="315" t="s">
        <v>842</v>
      </c>
      <c r="R215" s="329">
        <v>190301200</v>
      </c>
      <c r="S215" s="316" t="s">
        <v>842</v>
      </c>
      <c r="T215" s="317" t="s">
        <v>1459</v>
      </c>
      <c r="U215" s="345">
        <v>4000</v>
      </c>
      <c r="V215" s="345"/>
      <c r="W215" s="318">
        <f t="shared" si="25"/>
        <v>4000</v>
      </c>
      <c r="X215" s="385">
        <v>4524</v>
      </c>
      <c r="Y215" s="320">
        <v>2020003630118</v>
      </c>
      <c r="Z215" s="315" t="s">
        <v>1170</v>
      </c>
      <c r="AA215" s="321" t="s">
        <v>843</v>
      </c>
      <c r="AB215" s="322"/>
      <c r="AC215" s="322"/>
      <c r="AD215" s="322"/>
      <c r="AE215" s="322"/>
      <c r="AF215" s="322"/>
      <c r="AG215" s="322"/>
      <c r="AH215" s="331">
        <f>600000000+3000000+17323100+8500000+193172933-662908</f>
        <v>821333125</v>
      </c>
      <c r="AI215" s="331">
        <v>785686004.96000004</v>
      </c>
      <c r="AJ215" s="331">
        <v>739559200.96000004</v>
      </c>
      <c r="AK215" s="331"/>
      <c r="AL215" s="331"/>
      <c r="AM215" s="331"/>
      <c r="AN215" s="322"/>
      <c r="AO215" s="322"/>
      <c r="AP215" s="322"/>
      <c r="AQ215" s="322"/>
      <c r="AR215" s="322"/>
      <c r="AS215" s="322"/>
      <c r="AT215" s="343">
        <f>100000000+200000000</f>
        <v>300000000</v>
      </c>
      <c r="AU215" s="342">
        <v>295123474.16999996</v>
      </c>
      <c r="AV215" s="342">
        <v>286393132.16999996</v>
      </c>
      <c r="AW215" s="323"/>
      <c r="AX215" s="322"/>
      <c r="AY215" s="322"/>
      <c r="AZ215" s="324"/>
      <c r="BA215" s="322"/>
      <c r="BB215" s="322"/>
      <c r="BC215" s="409"/>
      <c r="BD215" s="410"/>
      <c r="BE215" s="410"/>
      <c r="BF215" s="462">
        <f t="shared" si="22"/>
        <v>1121333125</v>
      </c>
      <c r="BG215" s="462">
        <f t="shared" si="23"/>
        <v>1080809479.1300001</v>
      </c>
      <c r="BH215" s="462">
        <f t="shared" si="24"/>
        <v>1025952333.13</v>
      </c>
      <c r="BI215" s="332" t="s">
        <v>1473</v>
      </c>
      <c r="BK215" s="327"/>
      <c r="BL215" s="328"/>
    </row>
    <row r="216" spans="1:64" s="398" customFormat="1" ht="117" customHeight="1" x14ac:dyDescent="0.25">
      <c r="A216" s="312">
        <v>318</v>
      </c>
      <c r="B216" s="314" t="s">
        <v>1208</v>
      </c>
      <c r="C216" s="312">
        <v>1</v>
      </c>
      <c r="D216" s="314" t="s">
        <v>1200</v>
      </c>
      <c r="E216" s="312">
        <v>19</v>
      </c>
      <c r="F216" s="314" t="s">
        <v>122</v>
      </c>
      <c r="G216" s="312">
        <v>1903</v>
      </c>
      <c r="H216" s="314" t="s">
        <v>805</v>
      </c>
      <c r="I216" s="312">
        <v>1903</v>
      </c>
      <c r="J216" s="315" t="s">
        <v>1239</v>
      </c>
      <c r="K216" s="321" t="s">
        <v>844</v>
      </c>
      <c r="L216" s="312">
        <v>1903016</v>
      </c>
      <c r="M216" s="315" t="s">
        <v>845</v>
      </c>
      <c r="N216" s="312">
        <v>1903016</v>
      </c>
      <c r="O216" s="315" t="s">
        <v>845</v>
      </c>
      <c r="P216" s="329">
        <v>190301600</v>
      </c>
      <c r="Q216" s="316" t="s">
        <v>846</v>
      </c>
      <c r="R216" s="329">
        <v>190301600</v>
      </c>
      <c r="S216" s="316" t="s">
        <v>846</v>
      </c>
      <c r="T216" s="317" t="s">
        <v>1459</v>
      </c>
      <c r="U216" s="345">
        <v>240</v>
      </c>
      <c r="V216" s="345"/>
      <c r="W216" s="318">
        <f t="shared" si="25"/>
        <v>240</v>
      </c>
      <c r="X216" s="385">
        <v>244</v>
      </c>
      <c r="Y216" s="320">
        <v>2020003630118</v>
      </c>
      <c r="Z216" s="315" t="s">
        <v>1170</v>
      </c>
      <c r="AA216" s="321" t="s">
        <v>843</v>
      </c>
      <c r="AB216" s="322"/>
      <c r="AC216" s="322"/>
      <c r="AD216" s="322"/>
      <c r="AE216" s="322"/>
      <c r="AF216" s="322"/>
      <c r="AG216" s="322"/>
      <c r="AH216" s="331">
        <f>94000000+50000</f>
        <v>94050000</v>
      </c>
      <c r="AI216" s="331">
        <v>87449933</v>
      </c>
      <c r="AJ216" s="331">
        <v>82510933</v>
      </c>
      <c r="AK216" s="322"/>
      <c r="AL216" s="322"/>
      <c r="AM216" s="322"/>
      <c r="AN216" s="322"/>
      <c r="AO216" s="322"/>
      <c r="AP216" s="322"/>
      <c r="AQ216" s="322"/>
      <c r="AR216" s="322"/>
      <c r="AS216" s="322"/>
      <c r="AT216" s="343"/>
      <c r="AU216" s="342"/>
      <c r="AV216" s="342"/>
      <c r="AW216" s="323"/>
      <c r="AX216" s="322"/>
      <c r="AY216" s="322"/>
      <c r="AZ216" s="324"/>
      <c r="BA216" s="322"/>
      <c r="BB216" s="322"/>
      <c r="BC216" s="323"/>
      <c r="BD216" s="322"/>
      <c r="BE216" s="322"/>
      <c r="BF216" s="462">
        <f t="shared" si="22"/>
        <v>94050000</v>
      </c>
      <c r="BG216" s="462">
        <f t="shared" si="23"/>
        <v>87449933</v>
      </c>
      <c r="BH216" s="462">
        <f t="shared" si="24"/>
        <v>82510933</v>
      </c>
      <c r="BI216" s="332" t="s">
        <v>1473</v>
      </c>
      <c r="BK216" s="327"/>
      <c r="BL216" s="328"/>
    </row>
    <row r="217" spans="1:64" s="398" customFormat="1" ht="117" customHeight="1" x14ac:dyDescent="0.25">
      <c r="A217" s="312">
        <v>318</v>
      </c>
      <c r="B217" s="314" t="s">
        <v>1208</v>
      </c>
      <c r="C217" s="312">
        <v>1</v>
      </c>
      <c r="D217" s="314" t="s">
        <v>1200</v>
      </c>
      <c r="E217" s="312">
        <v>19</v>
      </c>
      <c r="F217" s="314" t="s">
        <v>122</v>
      </c>
      <c r="G217" s="312">
        <v>1903</v>
      </c>
      <c r="H217" s="314" t="s">
        <v>805</v>
      </c>
      <c r="I217" s="312">
        <v>1903</v>
      </c>
      <c r="J217" s="315" t="s">
        <v>1239</v>
      </c>
      <c r="K217" s="321" t="s">
        <v>829</v>
      </c>
      <c r="L217" s="329">
        <v>1903011</v>
      </c>
      <c r="M217" s="315" t="s">
        <v>830</v>
      </c>
      <c r="N217" s="329">
        <v>1903011</v>
      </c>
      <c r="O217" s="329" t="s">
        <v>830</v>
      </c>
      <c r="P217" s="329">
        <v>190301101</v>
      </c>
      <c r="Q217" s="315" t="s">
        <v>847</v>
      </c>
      <c r="R217" s="329">
        <v>190301101</v>
      </c>
      <c r="S217" s="316" t="s">
        <v>847</v>
      </c>
      <c r="T217" s="317" t="s">
        <v>1459</v>
      </c>
      <c r="U217" s="345">
        <v>12</v>
      </c>
      <c r="V217" s="345"/>
      <c r="W217" s="318">
        <f t="shared" si="25"/>
        <v>12</v>
      </c>
      <c r="X217" s="385">
        <v>12</v>
      </c>
      <c r="Y217" s="320">
        <v>2020003630118</v>
      </c>
      <c r="Z217" s="315" t="s">
        <v>1170</v>
      </c>
      <c r="AA217" s="321" t="s">
        <v>843</v>
      </c>
      <c r="AB217" s="322"/>
      <c r="AC217" s="322"/>
      <c r="AD217" s="322"/>
      <c r="AE217" s="322"/>
      <c r="AF217" s="322"/>
      <c r="AG217" s="322"/>
      <c r="AH217" s="331">
        <v>110000000</v>
      </c>
      <c r="AI217" s="331">
        <v>92931263.5</v>
      </c>
      <c r="AJ217" s="331">
        <v>86235590</v>
      </c>
      <c r="AK217" s="322"/>
      <c r="AL217" s="322"/>
      <c r="AM217" s="322"/>
      <c r="AN217" s="322"/>
      <c r="AO217" s="322"/>
      <c r="AP217" s="322"/>
      <c r="AQ217" s="322"/>
      <c r="AR217" s="322"/>
      <c r="AS217" s="322"/>
      <c r="AT217" s="343"/>
      <c r="AU217" s="342"/>
      <c r="AV217" s="342"/>
      <c r="AW217" s="323"/>
      <c r="AX217" s="322"/>
      <c r="AY217" s="322"/>
      <c r="AZ217" s="324"/>
      <c r="BA217" s="322"/>
      <c r="BB217" s="322"/>
      <c r="BC217" s="323"/>
      <c r="BD217" s="322"/>
      <c r="BE217" s="322"/>
      <c r="BF217" s="462">
        <f t="shared" si="22"/>
        <v>110000000</v>
      </c>
      <c r="BG217" s="462">
        <f t="shared" si="23"/>
        <v>92931263.5</v>
      </c>
      <c r="BH217" s="462">
        <f t="shared" si="24"/>
        <v>86235590</v>
      </c>
      <c r="BI217" s="332" t="s">
        <v>1473</v>
      </c>
      <c r="BK217" s="327"/>
      <c r="BL217" s="328"/>
    </row>
    <row r="218" spans="1:64" s="398" customFormat="1" ht="117" customHeight="1" x14ac:dyDescent="0.25">
      <c r="A218" s="312">
        <v>318</v>
      </c>
      <c r="B218" s="314" t="s">
        <v>1208</v>
      </c>
      <c r="C218" s="312">
        <v>1</v>
      </c>
      <c r="D218" s="314" t="s">
        <v>1200</v>
      </c>
      <c r="E218" s="312">
        <v>19</v>
      </c>
      <c r="F218" s="314" t="s">
        <v>122</v>
      </c>
      <c r="G218" s="312">
        <v>1903</v>
      </c>
      <c r="H218" s="314" t="s">
        <v>805</v>
      </c>
      <c r="I218" s="312">
        <v>1903</v>
      </c>
      <c r="J218" s="315" t="s">
        <v>1239</v>
      </c>
      <c r="K218" s="321" t="s">
        <v>829</v>
      </c>
      <c r="L218" s="312">
        <v>1903034</v>
      </c>
      <c r="M218" s="315" t="s">
        <v>84</v>
      </c>
      <c r="N218" s="312">
        <v>1903034</v>
      </c>
      <c r="O218" s="315" t="s">
        <v>84</v>
      </c>
      <c r="P218" s="329">
        <v>190303400</v>
      </c>
      <c r="Q218" s="316" t="s">
        <v>848</v>
      </c>
      <c r="R218" s="329">
        <v>190303400</v>
      </c>
      <c r="S218" s="316" t="s">
        <v>848</v>
      </c>
      <c r="T218" s="317" t="s">
        <v>1459</v>
      </c>
      <c r="U218" s="345">
        <v>12</v>
      </c>
      <c r="V218" s="345"/>
      <c r="W218" s="318">
        <f t="shared" si="25"/>
        <v>12</v>
      </c>
      <c r="X218" s="385">
        <v>12</v>
      </c>
      <c r="Y218" s="320">
        <v>2020003630119</v>
      </c>
      <c r="Z218" s="315" t="s">
        <v>849</v>
      </c>
      <c r="AA218" s="321" t="s">
        <v>850</v>
      </c>
      <c r="AB218" s="322"/>
      <c r="AC218" s="322"/>
      <c r="AD218" s="322"/>
      <c r="AE218" s="322"/>
      <c r="AF218" s="322"/>
      <c r="AG218" s="322"/>
      <c r="AH218" s="322"/>
      <c r="AI218" s="322"/>
      <c r="AJ218" s="322"/>
      <c r="AK218" s="331"/>
      <c r="AL218" s="331"/>
      <c r="AM218" s="331"/>
      <c r="AN218" s="322"/>
      <c r="AO218" s="322"/>
      <c r="AP218" s="322"/>
      <c r="AQ218" s="322"/>
      <c r="AR218" s="322"/>
      <c r="AS218" s="322"/>
      <c r="AT218" s="343">
        <v>96954000</v>
      </c>
      <c r="AU218" s="342">
        <v>95074000</v>
      </c>
      <c r="AV218" s="342">
        <v>95074000</v>
      </c>
      <c r="AW218" s="323"/>
      <c r="AX218" s="322"/>
      <c r="AY218" s="322"/>
      <c r="AZ218" s="324"/>
      <c r="BA218" s="322"/>
      <c r="BB218" s="322"/>
      <c r="BC218" s="323"/>
      <c r="BD218" s="322"/>
      <c r="BE218" s="322"/>
      <c r="BF218" s="462">
        <f t="shared" si="22"/>
        <v>96954000</v>
      </c>
      <c r="BG218" s="462">
        <f t="shared" si="23"/>
        <v>95074000</v>
      </c>
      <c r="BH218" s="462">
        <f t="shared" si="24"/>
        <v>95074000</v>
      </c>
      <c r="BI218" s="332" t="s">
        <v>1473</v>
      </c>
      <c r="BK218" s="327"/>
      <c r="BL218" s="328"/>
    </row>
    <row r="219" spans="1:64" s="398" customFormat="1" ht="117" customHeight="1" x14ac:dyDescent="0.25">
      <c r="A219" s="312">
        <v>318</v>
      </c>
      <c r="B219" s="314" t="s">
        <v>1208</v>
      </c>
      <c r="C219" s="312">
        <v>1</v>
      </c>
      <c r="D219" s="314" t="s">
        <v>1200</v>
      </c>
      <c r="E219" s="312">
        <v>19</v>
      </c>
      <c r="F219" s="314" t="s">
        <v>122</v>
      </c>
      <c r="G219" s="312">
        <v>1903</v>
      </c>
      <c r="H219" s="314" t="s">
        <v>805</v>
      </c>
      <c r="I219" s="312">
        <v>1903</v>
      </c>
      <c r="J219" s="315" t="s">
        <v>1239</v>
      </c>
      <c r="K219" s="321" t="s">
        <v>851</v>
      </c>
      <c r="L219" s="312">
        <v>1903045</v>
      </c>
      <c r="M219" s="315" t="s">
        <v>852</v>
      </c>
      <c r="N219" s="312">
        <v>1903045</v>
      </c>
      <c r="O219" s="315" t="s">
        <v>852</v>
      </c>
      <c r="P219" s="329">
        <v>190304500</v>
      </c>
      <c r="Q219" s="316" t="s">
        <v>853</v>
      </c>
      <c r="R219" s="329">
        <v>190304500</v>
      </c>
      <c r="S219" s="316" t="s">
        <v>853</v>
      </c>
      <c r="T219" s="317" t="s">
        <v>1460</v>
      </c>
      <c r="U219" s="345">
        <v>1057</v>
      </c>
      <c r="V219" s="345">
        <v>236</v>
      </c>
      <c r="W219" s="318">
        <f t="shared" si="25"/>
        <v>1293</v>
      </c>
      <c r="X219" s="385">
        <v>453</v>
      </c>
      <c r="Y219" s="320">
        <v>2020003630120</v>
      </c>
      <c r="Z219" s="315" t="s">
        <v>854</v>
      </c>
      <c r="AA219" s="321" t="s">
        <v>855</v>
      </c>
      <c r="AB219" s="322"/>
      <c r="AC219" s="322"/>
      <c r="AD219" s="322"/>
      <c r="AE219" s="322"/>
      <c r="AF219" s="322"/>
      <c r="AG219" s="322"/>
      <c r="AH219" s="322"/>
      <c r="AI219" s="322"/>
      <c r="AJ219" s="322"/>
      <c r="AK219" s="331"/>
      <c r="AL219" s="331"/>
      <c r="AM219" s="331"/>
      <c r="AN219" s="322"/>
      <c r="AO219" s="322"/>
      <c r="AP219" s="322"/>
      <c r="AQ219" s="322"/>
      <c r="AR219" s="322"/>
      <c r="AS219" s="322"/>
      <c r="AT219" s="343">
        <f>19636000+25000000</f>
        <v>44636000</v>
      </c>
      <c r="AU219" s="342">
        <v>44443666</v>
      </c>
      <c r="AV219" s="342">
        <v>44443666</v>
      </c>
      <c r="AW219" s="323"/>
      <c r="AX219" s="322"/>
      <c r="AY219" s="322"/>
      <c r="AZ219" s="324"/>
      <c r="BA219" s="322"/>
      <c r="BB219" s="322"/>
      <c r="BC219" s="323"/>
      <c r="BD219" s="322"/>
      <c r="BE219" s="322"/>
      <c r="BF219" s="462">
        <f t="shared" si="22"/>
        <v>44636000</v>
      </c>
      <c r="BG219" s="462">
        <f t="shared" si="23"/>
        <v>44443666</v>
      </c>
      <c r="BH219" s="462">
        <f t="shared" si="24"/>
        <v>44443666</v>
      </c>
      <c r="BI219" s="332" t="s">
        <v>1473</v>
      </c>
      <c r="BK219" s="327"/>
      <c r="BL219" s="328"/>
    </row>
    <row r="220" spans="1:64" s="398" customFormat="1" ht="117" customHeight="1" x14ac:dyDescent="0.25">
      <c r="A220" s="312">
        <v>318</v>
      </c>
      <c r="B220" s="314" t="s">
        <v>1208</v>
      </c>
      <c r="C220" s="312">
        <v>1</v>
      </c>
      <c r="D220" s="314" t="s">
        <v>1200</v>
      </c>
      <c r="E220" s="312">
        <v>19</v>
      </c>
      <c r="F220" s="314" t="s">
        <v>122</v>
      </c>
      <c r="G220" s="312">
        <v>1903</v>
      </c>
      <c r="H220" s="314" t="s">
        <v>805</v>
      </c>
      <c r="I220" s="312">
        <v>1903</v>
      </c>
      <c r="J220" s="315" t="s">
        <v>1239</v>
      </c>
      <c r="K220" s="321" t="s">
        <v>833</v>
      </c>
      <c r="L220" s="329">
        <v>1903001</v>
      </c>
      <c r="M220" s="316" t="s">
        <v>68</v>
      </c>
      <c r="N220" s="312">
        <v>1903001</v>
      </c>
      <c r="O220" s="315" t="s">
        <v>68</v>
      </c>
      <c r="P220" s="329">
        <v>190300100</v>
      </c>
      <c r="Q220" s="316" t="s">
        <v>834</v>
      </c>
      <c r="R220" s="329">
        <v>190300100</v>
      </c>
      <c r="S220" s="316" t="s">
        <v>834</v>
      </c>
      <c r="T220" s="317" t="s">
        <v>1459</v>
      </c>
      <c r="U220" s="320">
        <v>1</v>
      </c>
      <c r="V220" s="320"/>
      <c r="W220" s="318">
        <f t="shared" si="25"/>
        <v>1</v>
      </c>
      <c r="X220" s="385">
        <v>1</v>
      </c>
      <c r="Y220" s="320">
        <v>2020003630120</v>
      </c>
      <c r="Z220" s="315" t="s">
        <v>854</v>
      </c>
      <c r="AA220" s="321" t="s">
        <v>855</v>
      </c>
      <c r="AB220" s="322"/>
      <c r="AC220" s="322"/>
      <c r="AD220" s="322"/>
      <c r="AE220" s="322"/>
      <c r="AF220" s="322"/>
      <c r="AG220" s="322"/>
      <c r="AH220" s="322"/>
      <c r="AI220" s="322"/>
      <c r="AJ220" s="322"/>
      <c r="AK220" s="322"/>
      <c r="AL220" s="322"/>
      <c r="AM220" s="322"/>
      <c r="AN220" s="322"/>
      <c r="AO220" s="322"/>
      <c r="AP220" s="322"/>
      <c r="AQ220" s="322"/>
      <c r="AR220" s="322"/>
      <c r="AS220" s="322"/>
      <c r="AT220" s="343">
        <v>15000000</v>
      </c>
      <c r="AU220" s="342">
        <v>15000000</v>
      </c>
      <c r="AV220" s="342">
        <v>15000000</v>
      </c>
      <c r="AW220" s="323"/>
      <c r="AX220" s="322"/>
      <c r="AY220" s="322"/>
      <c r="AZ220" s="324"/>
      <c r="BA220" s="322"/>
      <c r="BB220" s="322"/>
      <c r="BC220" s="323"/>
      <c r="BD220" s="322"/>
      <c r="BE220" s="322"/>
      <c r="BF220" s="462">
        <f t="shared" si="22"/>
        <v>15000000</v>
      </c>
      <c r="BG220" s="462">
        <f t="shared" si="23"/>
        <v>15000000</v>
      </c>
      <c r="BH220" s="462">
        <f t="shared" si="24"/>
        <v>15000000</v>
      </c>
      <c r="BI220" s="332" t="s">
        <v>1473</v>
      </c>
      <c r="BK220" s="327"/>
      <c r="BL220" s="328"/>
    </row>
    <row r="221" spans="1:64" s="398" customFormat="1" ht="117" customHeight="1" x14ac:dyDescent="0.25">
      <c r="A221" s="312">
        <v>318</v>
      </c>
      <c r="B221" s="314" t="s">
        <v>1208</v>
      </c>
      <c r="C221" s="312">
        <v>1</v>
      </c>
      <c r="D221" s="314" t="s">
        <v>1200</v>
      </c>
      <c r="E221" s="312">
        <v>19</v>
      </c>
      <c r="F221" s="314" t="s">
        <v>122</v>
      </c>
      <c r="G221" s="312">
        <v>1903</v>
      </c>
      <c r="H221" s="314" t="s">
        <v>805</v>
      </c>
      <c r="I221" s="312">
        <v>1903</v>
      </c>
      <c r="J221" s="315" t="s">
        <v>1239</v>
      </c>
      <c r="K221" s="384" t="s">
        <v>856</v>
      </c>
      <c r="L221" s="329">
        <v>1903010</v>
      </c>
      <c r="M221" s="333" t="s">
        <v>857</v>
      </c>
      <c r="N221" s="329">
        <v>1903010</v>
      </c>
      <c r="O221" s="333" t="s">
        <v>857</v>
      </c>
      <c r="P221" s="329">
        <v>190301000</v>
      </c>
      <c r="Q221" s="316" t="s">
        <v>858</v>
      </c>
      <c r="R221" s="329">
        <v>190301000</v>
      </c>
      <c r="S221" s="316" t="s">
        <v>858</v>
      </c>
      <c r="T221" s="317" t="s">
        <v>1459</v>
      </c>
      <c r="U221" s="345">
        <v>12</v>
      </c>
      <c r="V221" s="345"/>
      <c r="W221" s="318">
        <f t="shared" si="25"/>
        <v>12</v>
      </c>
      <c r="X221" s="385">
        <v>12</v>
      </c>
      <c r="Y221" s="320">
        <v>2020003630120</v>
      </c>
      <c r="Z221" s="315" t="s">
        <v>854</v>
      </c>
      <c r="AA221" s="321" t="s">
        <v>855</v>
      </c>
      <c r="AB221" s="322"/>
      <c r="AC221" s="322"/>
      <c r="AD221" s="322"/>
      <c r="AE221" s="322"/>
      <c r="AF221" s="322"/>
      <c r="AG221" s="322"/>
      <c r="AH221" s="322"/>
      <c r="AI221" s="322"/>
      <c r="AJ221" s="322"/>
      <c r="AK221" s="331"/>
      <c r="AL221" s="331"/>
      <c r="AM221" s="331"/>
      <c r="AN221" s="322"/>
      <c r="AO221" s="322"/>
      <c r="AP221" s="322"/>
      <c r="AQ221" s="322"/>
      <c r="AR221" s="322"/>
      <c r="AS221" s="322"/>
      <c r="AT221" s="343">
        <v>15000000</v>
      </c>
      <c r="AU221" s="342">
        <v>11540000</v>
      </c>
      <c r="AV221" s="342">
        <v>11540000</v>
      </c>
      <c r="AW221" s="323"/>
      <c r="AX221" s="322"/>
      <c r="AY221" s="322"/>
      <c r="AZ221" s="324"/>
      <c r="BA221" s="322"/>
      <c r="BB221" s="322"/>
      <c r="BC221" s="323"/>
      <c r="BD221" s="322"/>
      <c r="BE221" s="322"/>
      <c r="BF221" s="462">
        <f t="shared" si="22"/>
        <v>15000000</v>
      </c>
      <c r="BG221" s="462">
        <f t="shared" si="23"/>
        <v>11540000</v>
      </c>
      <c r="BH221" s="462">
        <f t="shared" si="24"/>
        <v>11540000</v>
      </c>
      <c r="BI221" s="332" t="s">
        <v>1473</v>
      </c>
      <c r="BK221" s="327"/>
      <c r="BL221" s="328"/>
    </row>
    <row r="222" spans="1:64" s="398" customFormat="1" ht="117" customHeight="1" x14ac:dyDescent="0.25">
      <c r="A222" s="312">
        <v>318</v>
      </c>
      <c r="B222" s="314" t="s">
        <v>1208</v>
      </c>
      <c r="C222" s="312">
        <v>1</v>
      </c>
      <c r="D222" s="314" t="s">
        <v>1200</v>
      </c>
      <c r="E222" s="312">
        <v>19</v>
      </c>
      <c r="F222" s="314" t="s">
        <v>122</v>
      </c>
      <c r="G222" s="312">
        <v>1903</v>
      </c>
      <c r="H222" s="314" t="s">
        <v>805</v>
      </c>
      <c r="I222" s="312">
        <v>1903</v>
      </c>
      <c r="J222" s="315" t="s">
        <v>1239</v>
      </c>
      <c r="K222" s="384" t="s">
        <v>829</v>
      </c>
      <c r="L222" s="312">
        <v>1903011</v>
      </c>
      <c r="M222" s="315" t="s">
        <v>830</v>
      </c>
      <c r="N222" s="312">
        <v>1903011</v>
      </c>
      <c r="O222" s="315" t="s">
        <v>830</v>
      </c>
      <c r="P222" s="329">
        <v>190301101</v>
      </c>
      <c r="Q222" s="315" t="s">
        <v>847</v>
      </c>
      <c r="R222" s="329">
        <v>190301101</v>
      </c>
      <c r="S222" s="316" t="s">
        <v>847</v>
      </c>
      <c r="T222" s="317" t="s">
        <v>1459</v>
      </c>
      <c r="U222" s="345">
        <v>12</v>
      </c>
      <c r="V222" s="345"/>
      <c r="W222" s="318">
        <f t="shared" si="25"/>
        <v>12</v>
      </c>
      <c r="X222" s="385">
        <v>12</v>
      </c>
      <c r="Y222" s="320">
        <v>2020003630120</v>
      </c>
      <c r="Z222" s="315" t="s">
        <v>854</v>
      </c>
      <c r="AA222" s="321" t="s">
        <v>855</v>
      </c>
      <c r="AB222" s="322"/>
      <c r="AC222" s="322"/>
      <c r="AD222" s="322"/>
      <c r="AE222" s="322"/>
      <c r="AF222" s="322"/>
      <c r="AG222" s="322"/>
      <c r="AH222" s="322"/>
      <c r="AI222" s="322"/>
      <c r="AJ222" s="322"/>
      <c r="AK222" s="331"/>
      <c r="AL222" s="331"/>
      <c r="AM222" s="331"/>
      <c r="AN222" s="322"/>
      <c r="AO222" s="322"/>
      <c r="AP222" s="322"/>
      <c r="AQ222" s="322"/>
      <c r="AR222" s="322"/>
      <c r="AS222" s="322"/>
      <c r="AT222" s="343">
        <v>15000000</v>
      </c>
      <c r="AU222" s="342">
        <v>14807666</v>
      </c>
      <c r="AV222" s="342">
        <v>14807666</v>
      </c>
      <c r="AW222" s="323"/>
      <c r="AX222" s="322"/>
      <c r="AY222" s="322"/>
      <c r="AZ222" s="324"/>
      <c r="BA222" s="322"/>
      <c r="BB222" s="322"/>
      <c r="BC222" s="323"/>
      <c r="BD222" s="322"/>
      <c r="BE222" s="322"/>
      <c r="BF222" s="462">
        <f t="shared" si="22"/>
        <v>15000000</v>
      </c>
      <c r="BG222" s="462">
        <f t="shared" si="23"/>
        <v>14807666</v>
      </c>
      <c r="BH222" s="462">
        <f t="shared" si="24"/>
        <v>14807666</v>
      </c>
      <c r="BI222" s="332" t="s">
        <v>1473</v>
      </c>
      <c r="BK222" s="327"/>
      <c r="BL222" s="328"/>
    </row>
    <row r="223" spans="1:64" s="326" customFormat="1" ht="117" customHeight="1" x14ac:dyDescent="0.2">
      <c r="A223" s="312">
        <v>318</v>
      </c>
      <c r="B223" s="314" t="s">
        <v>1208</v>
      </c>
      <c r="C223" s="312">
        <v>1</v>
      </c>
      <c r="D223" s="314" t="s">
        <v>1200</v>
      </c>
      <c r="E223" s="312">
        <v>19</v>
      </c>
      <c r="F223" s="314" t="s">
        <v>122</v>
      </c>
      <c r="G223" s="312">
        <v>1903</v>
      </c>
      <c r="H223" s="314" t="s">
        <v>805</v>
      </c>
      <c r="I223" s="312">
        <v>1903</v>
      </c>
      <c r="J223" s="315" t="s">
        <v>1239</v>
      </c>
      <c r="K223" s="321" t="s">
        <v>860</v>
      </c>
      <c r="L223" s="312">
        <v>1903047</v>
      </c>
      <c r="M223" s="315" t="s">
        <v>861</v>
      </c>
      <c r="N223" s="312">
        <v>1903047</v>
      </c>
      <c r="O223" s="315" t="s">
        <v>861</v>
      </c>
      <c r="P223" s="329">
        <v>190304701</v>
      </c>
      <c r="Q223" s="316" t="s">
        <v>862</v>
      </c>
      <c r="R223" s="329">
        <v>190304701</v>
      </c>
      <c r="S223" s="316" t="s">
        <v>862</v>
      </c>
      <c r="T223" s="317" t="s">
        <v>1459</v>
      </c>
      <c r="U223" s="345">
        <v>1</v>
      </c>
      <c r="V223" s="345"/>
      <c r="W223" s="318">
        <f t="shared" si="25"/>
        <v>1</v>
      </c>
      <c r="X223" s="385">
        <v>1</v>
      </c>
      <c r="Y223" s="320">
        <v>2020003630121</v>
      </c>
      <c r="Z223" s="315" t="s">
        <v>1368</v>
      </c>
      <c r="AA223" s="321" t="s">
        <v>864</v>
      </c>
      <c r="AB223" s="322"/>
      <c r="AC223" s="322"/>
      <c r="AD223" s="322"/>
      <c r="AE223" s="322"/>
      <c r="AF223" s="322"/>
      <c r="AG223" s="322"/>
      <c r="AH223" s="322"/>
      <c r="AI223" s="322"/>
      <c r="AJ223" s="322"/>
      <c r="AK223" s="365">
        <v>20000000</v>
      </c>
      <c r="AL223" s="365">
        <v>20000000</v>
      </c>
      <c r="AM223" s="365">
        <v>20000000</v>
      </c>
      <c r="AN223" s="322"/>
      <c r="AO223" s="322"/>
      <c r="AP223" s="322"/>
      <c r="AQ223" s="322"/>
      <c r="AR223" s="322"/>
      <c r="AS223" s="322"/>
      <c r="AT223" s="343"/>
      <c r="AU223" s="342"/>
      <c r="AV223" s="342"/>
      <c r="AW223" s="323"/>
      <c r="AX223" s="322"/>
      <c r="AY223" s="322"/>
      <c r="AZ223" s="324"/>
      <c r="BA223" s="322"/>
      <c r="BB223" s="322"/>
      <c r="BC223" s="323"/>
      <c r="BD223" s="322"/>
      <c r="BE223" s="322"/>
      <c r="BF223" s="462">
        <f t="shared" si="22"/>
        <v>20000000</v>
      </c>
      <c r="BG223" s="462">
        <f t="shared" si="23"/>
        <v>20000000</v>
      </c>
      <c r="BH223" s="462">
        <f t="shared" si="24"/>
        <v>20000000</v>
      </c>
      <c r="BI223" s="332" t="s">
        <v>1473</v>
      </c>
      <c r="BK223" s="327"/>
      <c r="BL223" s="328"/>
    </row>
    <row r="224" spans="1:64" s="326" customFormat="1" ht="117" customHeight="1" x14ac:dyDescent="0.2">
      <c r="A224" s="312">
        <v>318</v>
      </c>
      <c r="B224" s="314" t="s">
        <v>1208</v>
      </c>
      <c r="C224" s="312">
        <v>1</v>
      </c>
      <c r="D224" s="314" t="s">
        <v>1200</v>
      </c>
      <c r="E224" s="312">
        <v>19</v>
      </c>
      <c r="F224" s="314" t="s">
        <v>122</v>
      </c>
      <c r="G224" s="312">
        <v>1903</v>
      </c>
      <c r="H224" s="314" t="s">
        <v>805</v>
      </c>
      <c r="I224" s="312">
        <v>1903</v>
      </c>
      <c r="J224" s="315" t="s">
        <v>1239</v>
      </c>
      <c r="K224" s="321" t="s">
        <v>865</v>
      </c>
      <c r="L224" s="312">
        <v>1903019</v>
      </c>
      <c r="M224" s="315" t="s">
        <v>866</v>
      </c>
      <c r="N224" s="312">
        <v>1903019</v>
      </c>
      <c r="O224" s="315" t="s">
        <v>866</v>
      </c>
      <c r="P224" s="329">
        <v>190301900</v>
      </c>
      <c r="Q224" s="316" t="s">
        <v>867</v>
      </c>
      <c r="R224" s="329">
        <v>190301900</v>
      </c>
      <c r="S224" s="316" t="s">
        <v>867</v>
      </c>
      <c r="T224" s="317" t="s">
        <v>1459</v>
      </c>
      <c r="U224" s="345">
        <v>75</v>
      </c>
      <c r="V224" s="345"/>
      <c r="W224" s="318">
        <f t="shared" si="25"/>
        <v>75</v>
      </c>
      <c r="X224" s="385">
        <v>128</v>
      </c>
      <c r="Y224" s="320">
        <v>2020003630121</v>
      </c>
      <c r="Z224" s="315" t="s">
        <v>1368</v>
      </c>
      <c r="AA224" s="321" t="s">
        <v>864</v>
      </c>
      <c r="AB224" s="322"/>
      <c r="AC224" s="322"/>
      <c r="AD224" s="322"/>
      <c r="AE224" s="322"/>
      <c r="AF224" s="322"/>
      <c r="AG224" s="322"/>
      <c r="AH224" s="322"/>
      <c r="AI224" s="322"/>
      <c r="AJ224" s="322"/>
      <c r="AK224" s="365">
        <v>50000000</v>
      </c>
      <c r="AL224" s="365">
        <v>50000000</v>
      </c>
      <c r="AM224" s="365">
        <v>50000000</v>
      </c>
      <c r="AN224" s="411"/>
      <c r="AO224" s="411"/>
      <c r="AP224" s="411"/>
      <c r="AQ224" s="322"/>
      <c r="AR224" s="322"/>
      <c r="AS224" s="322"/>
      <c r="AT224" s="343"/>
      <c r="AU224" s="342"/>
      <c r="AV224" s="342"/>
      <c r="AW224" s="323"/>
      <c r="AX224" s="322"/>
      <c r="AY224" s="322"/>
      <c r="AZ224" s="324"/>
      <c r="BA224" s="322"/>
      <c r="BB224" s="322"/>
      <c r="BC224" s="323"/>
      <c r="BD224" s="322"/>
      <c r="BE224" s="322"/>
      <c r="BF224" s="462">
        <f t="shared" si="22"/>
        <v>50000000</v>
      </c>
      <c r="BG224" s="462">
        <f t="shared" si="23"/>
        <v>50000000</v>
      </c>
      <c r="BH224" s="462">
        <f t="shared" si="24"/>
        <v>50000000</v>
      </c>
      <c r="BI224" s="332" t="s">
        <v>1473</v>
      </c>
      <c r="BK224" s="327"/>
      <c r="BL224" s="328"/>
    </row>
    <row r="225" spans="1:64" s="326" customFormat="1" ht="117" customHeight="1" x14ac:dyDescent="0.2">
      <c r="A225" s="312">
        <v>318</v>
      </c>
      <c r="B225" s="314" t="s">
        <v>1208</v>
      </c>
      <c r="C225" s="312">
        <v>1</v>
      </c>
      <c r="D225" s="314" t="s">
        <v>1200</v>
      </c>
      <c r="E225" s="312">
        <v>19</v>
      </c>
      <c r="F225" s="314" t="s">
        <v>122</v>
      </c>
      <c r="G225" s="312">
        <v>1903</v>
      </c>
      <c r="H225" s="314" t="s">
        <v>805</v>
      </c>
      <c r="I225" s="312">
        <v>1903</v>
      </c>
      <c r="J225" s="315" t="s">
        <v>1239</v>
      </c>
      <c r="K225" s="321" t="s">
        <v>868</v>
      </c>
      <c r="L225" s="312">
        <v>1903028</v>
      </c>
      <c r="M225" s="315" t="s">
        <v>869</v>
      </c>
      <c r="N225" s="312">
        <v>1903028</v>
      </c>
      <c r="O225" s="315" t="s">
        <v>869</v>
      </c>
      <c r="P225" s="329">
        <v>190302800</v>
      </c>
      <c r="Q225" s="316" t="s">
        <v>870</v>
      </c>
      <c r="R225" s="329">
        <v>190302800</v>
      </c>
      <c r="S225" s="316" t="s">
        <v>870</v>
      </c>
      <c r="T225" s="317" t="s">
        <v>1459</v>
      </c>
      <c r="U225" s="345">
        <v>250</v>
      </c>
      <c r="V225" s="345"/>
      <c r="W225" s="318">
        <f t="shared" si="25"/>
        <v>250</v>
      </c>
      <c r="X225" s="385">
        <v>378</v>
      </c>
      <c r="Y225" s="320">
        <v>2020003630121</v>
      </c>
      <c r="Z225" s="315" t="s">
        <v>1368</v>
      </c>
      <c r="AA225" s="321" t="s">
        <v>864</v>
      </c>
      <c r="AB225" s="322"/>
      <c r="AC225" s="322"/>
      <c r="AD225" s="322"/>
      <c r="AE225" s="322"/>
      <c r="AF225" s="322"/>
      <c r="AG225" s="322"/>
      <c r="AH225" s="322"/>
      <c r="AI225" s="322"/>
      <c r="AJ225" s="322"/>
      <c r="AK225" s="365">
        <v>40000000</v>
      </c>
      <c r="AL225" s="365">
        <v>40000000</v>
      </c>
      <c r="AM225" s="365">
        <v>40000000</v>
      </c>
      <c r="AN225" s="322"/>
      <c r="AO225" s="322"/>
      <c r="AP225" s="322"/>
      <c r="AQ225" s="322"/>
      <c r="AR225" s="322"/>
      <c r="AS225" s="322"/>
      <c r="AT225" s="343"/>
      <c r="AU225" s="342"/>
      <c r="AV225" s="342"/>
      <c r="AW225" s="323"/>
      <c r="AX225" s="322"/>
      <c r="AY225" s="322"/>
      <c r="AZ225" s="324"/>
      <c r="BA225" s="322"/>
      <c r="BB225" s="322"/>
      <c r="BC225" s="323"/>
      <c r="BD225" s="322"/>
      <c r="BE225" s="322"/>
      <c r="BF225" s="462">
        <f t="shared" si="22"/>
        <v>40000000</v>
      </c>
      <c r="BG225" s="462">
        <f t="shared" si="23"/>
        <v>40000000</v>
      </c>
      <c r="BH225" s="462">
        <f t="shared" si="24"/>
        <v>40000000</v>
      </c>
      <c r="BI225" s="332" t="s">
        <v>1473</v>
      </c>
      <c r="BK225" s="327"/>
      <c r="BL225" s="328"/>
    </row>
    <row r="226" spans="1:64" s="326" customFormat="1" ht="117" customHeight="1" x14ac:dyDescent="0.2">
      <c r="A226" s="312">
        <v>318</v>
      </c>
      <c r="B226" s="314" t="s">
        <v>1208</v>
      </c>
      <c r="C226" s="312">
        <v>1</v>
      </c>
      <c r="D226" s="314" t="s">
        <v>1200</v>
      </c>
      <c r="E226" s="312">
        <v>19</v>
      </c>
      <c r="F226" s="314" t="s">
        <v>122</v>
      </c>
      <c r="G226" s="312">
        <v>1903</v>
      </c>
      <c r="H226" s="314" t="s">
        <v>805</v>
      </c>
      <c r="I226" s="312">
        <v>1903</v>
      </c>
      <c r="J226" s="315" t="s">
        <v>1239</v>
      </c>
      <c r="K226" s="321" t="s">
        <v>837</v>
      </c>
      <c r="L226" s="312">
        <v>1903025</v>
      </c>
      <c r="M226" s="315" t="s">
        <v>871</v>
      </c>
      <c r="N226" s="312">
        <v>1903025</v>
      </c>
      <c r="O226" s="315" t="s">
        <v>871</v>
      </c>
      <c r="P226" s="329">
        <v>190302500</v>
      </c>
      <c r="Q226" s="316" t="s">
        <v>872</v>
      </c>
      <c r="R226" s="329">
        <v>190302500</v>
      </c>
      <c r="S226" s="316" t="s">
        <v>872</v>
      </c>
      <c r="T226" s="317" t="s">
        <v>1459</v>
      </c>
      <c r="U226" s="345">
        <v>12</v>
      </c>
      <c r="V226" s="345"/>
      <c r="W226" s="318">
        <f t="shared" si="25"/>
        <v>12</v>
      </c>
      <c r="X226" s="385">
        <v>12</v>
      </c>
      <c r="Y226" s="320">
        <v>2020003630121</v>
      </c>
      <c r="Z226" s="315" t="s">
        <v>1368</v>
      </c>
      <c r="AA226" s="321" t="s">
        <v>864</v>
      </c>
      <c r="AB226" s="322"/>
      <c r="AC226" s="322"/>
      <c r="AD226" s="322"/>
      <c r="AE226" s="322"/>
      <c r="AF226" s="322"/>
      <c r="AG226" s="322"/>
      <c r="AH226" s="322"/>
      <c r="AI226" s="322"/>
      <c r="AJ226" s="322"/>
      <c r="AK226" s="365">
        <f>49125000+10000</f>
        <v>49135000</v>
      </c>
      <c r="AL226" s="365">
        <v>49135000</v>
      </c>
      <c r="AM226" s="365">
        <v>49135000</v>
      </c>
      <c r="AN226" s="322"/>
      <c r="AO226" s="322"/>
      <c r="AP226" s="322"/>
      <c r="AQ226" s="322"/>
      <c r="AR226" s="322"/>
      <c r="AS226" s="322"/>
      <c r="AT226" s="343"/>
      <c r="AU226" s="342"/>
      <c r="AV226" s="342"/>
      <c r="AW226" s="323"/>
      <c r="AX226" s="322"/>
      <c r="AY226" s="322"/>
      <c r="AZ226" s="324"/>
      <c r="BA226" s="322"/>
      <c r="BB226" s="322"/>
      <c r="BC226" s="323"/>
      <c r="BD226" s="322"/>
      <c r="BE226" s="322"/>
      <c r="BF226" s="462">
        <f t="shared" si="22"/>
        <v>49135000</v>
      </c>
      <c r="BG226" s="462">
        <f t="shared" si="23"/>
        <v>49135000</v>
      </c>
      <c r="BH226" s="462">
        <f t="shared" si="24"/>
        <v>49135000</v>
      </c>
      <c r="BI226" s="332" t="s">
        <v>1473</v>
      </c>
      <c r="BK226" s="327"/>
      <c r="BL226" s="328"/>
    </row>
    <row r="227" spans="1:64" s="326" customFormat="1" ht="117" customHeight="1" x14ac:dyDescent="0.2">
      <c r="A227" s="312">
        <v>318</v>
      </c>
      <c r="B227" s="314" t="s">
        <v>1208</v>
      </c>
      <c r="C227" s="312">
        <v>1</v>
      </c>
      <c r="D227" s="314" t="s">
        <v>1200</v>
      </c>
      <c r="E227" s="312">
        <v>19</v>
      </c>
      <c r="F227" s="314" t="s">
        <v>122</v>
      </c>
      <c r="G227" s="312">
        <v>1905</v>
      </c>
      <c r="H227" s="314" t="s">
        <v>650</v>
      </c>
      <c r="I227" s="312">
        <v>1905</v>
      </c>
      <c r="J227" s="315" t="s">
        <v>1240</v>
      </c>
      <c r="K227" s="321" t="s">
        <v>815</v>
      </c>
      <c r="L227" s="312">
        <v>1905028</v>
      </c>
      <c r="M227" s="315" t="s">
        <v>873</v>
      </c>
      <c r="N227" s="312">
        <v>1905028</v>
      </c>
      <c r="O227" s="315" t="s">
        <v>873</v>
      </c>
      <c r="P227" s="329">
        <v>190502800</v>
      </c>
      <c r="Q227" s="316" t="s">
        <v>874</v>
      </c>
      <c r="R227" s="329">
        <v>190502800</v>
      </c>
      <c r="S227" s="316" t="s">
        <v>874</v>
      </c>
      <c r="T227" s="317" t="s">
        <v>1459</v>
      </c>
      <c r="U227" s="345">
        <v>12</v>
      </c>
      <c r="V227" s="345"/>
      <c r="W227" s="318">
        <f t="shared" si="25"/>
        <v>12</v>
      </c>
      <c r="X227" s="385">
        <v>12</v>
      </c>
      <c r="Y227" s="320">
        <v>2020003630122</v>
      </c>
      <c r="Z227" s="315" t="s">
        <v>1369</v>
      </c>
      <c r="AA227" s="321" t="s">
        <v>876</v>
      </c>
      <c r="AB227" s="322"/>
      <c r="AC227" s="322"/>
      <c r="AD227" s="322"/>
      <c r="AE227" s="322"/>
      <c r="AF227" s="322"/>
      <c r="AG227" s="322"/>
      <c r="AH227" s="322">
        <f>45000000+22935000</f>
        <v>67935000</v>
      </c>
      <c r="AI227" s="322">
        <v>66931999</v>
      </c>
      <c r="AJ227" s="322">
        <v>66931999</v>
      </c>
      <c r="AK227" s="322"/>
      <c r="AL227" s="322"/>
      <c r="AM227" s="322"/>
      <c r="AN227" s="322"/>
      <c r="AO227" s="322"/>
      <c r="AP227" s="322"/>
      <c r="AQ227" s="322"/>
      <c r="AR227" s="322"/>
      <c r="AS227" s="322"/>
      <c r="AT227" s="343"/>
      <c r="AU227" s="342"/>
      <c r="AV227" s="342"/>
      <c r="AW227" s="323"/>
      <c r="AX227" s="322"/>
      <c r="AY227" s="322"/>
      <c r="AZ227" s="324"/>
      <c r="BA227" s="322"/>
      <c r="BB227" s="322"/>
      <c r="BC227" s="323"/>
      <c r="BD227" s="322"/>
      <c r="BE227" s="322"/>
      <c r="BF227" s="462">
        <f t="shared" si="22"/>
        <v>67935000</v>
      </c>
      <c r="BG227" s="462">
        <f t="shared" si="23"/>
        <v>66931999</v>
      </c>
      <c r="BH227" s="462">
        <f t="shared" si="24"/>
        <v>66931999</v>
      </c>
      <c r="BI227" s="332" t="s">
        <v>1473</v>
      </c>
      <c r="BK227" s="327"/>
      <c r="BL227" s="328"/>
    </row>
    <row r="228" spans="1:64" s="326" customFormat="1" ht="117" customHeight="1" x14ac:dyDescent="0.2">
      <c r="A228" s="312">
        <v>318</v>
      </c>
      <c r="B228" s="314" t="s">
        <v>1208</v>
      </c>
      <c r="C228" s="312">
        <v>1</v>
      </c>
      <c r="D228" s="314" t="s">
        <v>1200</v>
      </c>
      <c r="E228" s="312">
        <v>19</v>
      </c>
      <c r="F228" s="314" t="s">
        <v>122</v>
      </c>
      <c r="G228" s="312">
        <v>1905</v>
      </c>
      <c r="H228" s="314" t="s">
        <v>650</v>
      </c>
      <c r="I228" s="312">
        <v>1905</v>
      </c>
      <c r="J228" s="315" t="s">
        <v>1240</v>
      </c>
      <c r="K228" s="321" t="s">
        <v>815</v>
      </c>
      <c r="L228" s="312">
        <v>1905031</v>
      </c>
      <c r="M228" s="316" t="s">
        <v>877</v>
      </c>
      <c r="N228" s="312">
        <v>1905031</v>
      </c>
      <c r="O228" s="315" t="s">
        <v>877</v>
      </c>
      <c r="P228" s="312">
        <v>190503100</v>
      </c>
      <c r="Q228" s="316" t="s">
        <v>878</v>
      </c>
      <c r="R228" s="312">
        <v>190503100</v>
      </c>
      <c r="S228" s="316" t="s">
        <v>878</v>
      </c>
      <c r="T228" s="317" t="s">
        <v>1459</v>
      </c>
      <c r="U228" s="345">
        <v>12</v>
      </c>
      <c r="V228" s="345"/>
      <c r="W228" s="318">
        <f t="shared" si="25"/>
        <v>12</v>
      </c>
      <c r="X228" s="385">
        <v>12</v>
      </c>
      <c r="Y228" s="320">
        <v>2020003630122</v>
      </c>
      <c r="Z228" s="315" t="s">
        <v>1369</v>
      </c>
      <c r="AA228" s="321" t="s">
        <v>876</v>
      </c>
      <c r="AB228" s="322"/>
      <c r="AC228" s="322"/>
      <c r="AD228" s="322"/>
      <c r="AE228" s="322"/>
      <c r="AF228" s="322"/>
      <c r="AG228" s="322"/>
      <c r="AH228" s="322">
        <f>45000000+2400000</f>
        <v>47400000</v>
      </c>
      <c r="AI228" s="322">
        <v>43896667</v>
      </c>
      <c r="AJ228" s="322">
        <v>43896667</v>
      </c>
      <c r="AK228" s="322"/>
      <c r="AL228" s="322"/>
      <c r="AM228" s="322"/>
      <c r="AN228" s="322"/>
      <c r="AO228" s="322"/>
      <c r="AP228" s="322"/>
      <c r="AQ228" s="322"/>
      <c r="AR228" s="322"/>
      <c r="AS228" s="322"/>
      <c r="AT228" s="343"/>
      <c r="AU228" s="342"/>
      <c r="AV228" s="342"/>
      <c r="AW228" s="323"/>
      <c r="AX228" s="322"/>
      <c r="AY228" s="322"/>
      <c r="AZ228" s="324"/>
      <c r="BA228" s="322"/>
      <c r="BB228" s="322"/>
      <c r="BC228" s="323"/>
      <c r="BD228" s="322"/>
      <c r="BE228" s="322"/>
      <c r="BF228" s="462">
        <f t="shared" si="22"/>
        <v>47400000</v>
      </c>
      <c r="BG228" s="462">
        <f t="shared" si="23"/>
        <v>43896667</v>
      </c>
      <c r="BH228" s="462">
        <f t="shared" si="24"/>
        <v>43896667</v>
      </c>
      <c r="BI228" s="332" t="s">
        <v>1473</v>
      </c>
      <c r="BK228" s="327"/>
      <c r="BL228" s="328"/>
    </row>
    <row r="229" spans="1:64" s="326" customFormat="1" ht="117" customHeight="1" x14ac:dyDescent="0.2">
      <c r="A229" s="312">
        <v>318</v>
      </c>
      <c r="B229" s="314" t="s">
        <v>1208</v>
      </c>
      <c r="C229" s="312">
        <v>1</v>
      </c>
      <c r="D229" s="314" t="s">
        <v>1200</v>
      </c>
      <c r="E229" s="312">
        <v>19</v>
      </c>
      <c r="F229" s="314" t="s">
        <v>122</v>
      </c>
      <c r="G229" s="312">
        <v>1905</v>
      </c>
      <c r="H229" s="314" t="s">
        <v>650</v>
      </c>
      <c r="I229" s="312">
        <v>1905</v>
      </c>
      <c r="J229" s="315" t="s">
        <v>1240</v>
      </c>
      <c r="K229" s="321" t="s">
        <v>879</v>
      </c>
      <c r="L229" s="312">
        <v>1905019</v>
      </c>
      <c r="M229" s="315" t="s">
        <v>880</v>
      </c>
      <c r="N229" s="312">
        <v>1905019</v>
      </c>
      <c r="O229" s="315" t="s">
        <v>880</v>
      </c>
      <c r="P229" s="312">
        <v>190501900</v>
      </c>
      <c r="Q229" s="315" t="s">
        <v>274</v>
      </c>
      <c r="R229" s="312">
        <v>190501900</v>
      </c>
      <c r="S229" s="316" t="s">
        <v>274</v>
      </c>
      <c r="T229" s="317" t="s">
        <v>1459</v>
      </c>
      <c r="U229" s="345">
        <v>60</v>
      </c>
      <c r="V229" s="345"/>
      <c r="W229" s="318">
        <f t="shared" si="25"/>
        <v>60</v>
      </c>
      <c r="X229" s="385">
        <v>353</v>
      </c>
      <c r="Y229" s="320">
        <v>2020003630123</v>
      </c>
      <c r="Z229" s="315" t="s">
        <v>881</v>
      </c>
      <c r="AA229" s="321" t="s">
        <v>882</v>
      </c>
      <c r="AB229" s="322"/>
      <c r="AC229" s="322"/>
      <c r="AD229" s="322"/>
      <c r="AE229" s="322"/>
      <c r="AF229" s="322"/>
      <c r="AG229" s="322"/>
      <c r="AH229" s="322">
        <f>30000000</f>
        <v>30000000</v>
      </c>
      <c r="AI229" s="322">
        <v>28274333</v>
      </c>
      <c r="AJ229" s="322">
        <v>28274333</v>
      </c>
      <c r="AK229" s="322"/>
      <c r="AL229" s="322"/>
      <c r="AM229" s="322"/>
      <c r="AN229" s="322"/>
      <c r="AO229" s="322"/>
      <c r="AP229" s="322"/>
      <c r="AQ229" s="322"/>
      <c r="AR229" s="322"/>
      <c r="AS229" s="322"/>
      <c r="AT229" s="343"/>
      <c r="AU229" s="342"/>
      <c r="AV229" s="342"/>
      <c r="AW229" s="323"/>
      <c r="AX229" s="322"/>
      <c r="AY229" s="322"/>
      <c r="AZ229" s="324"/>
      <c r="BA229" s="322"/>
      <c r="BB229" s="322"/>
      <c r="BC229" s="323"/>
      <c r="BD229" s="322"/>
      <c r="BE229" s="322"/>
      <c r="BF229" s="462">
        <f t="shared" si="22"/>
        <v>30000000</v>
      </c>
      <c r="BG229" s="462">
        <f t="shared" si="23"/>
        <v>28274333</v>
      </c>
      <c r="BH229" s="462">
        <f t="shared" si="24"/>
        <v>28274333</v>
      </c>
      <c r="BI229" s="332" t="s">
        <v>1473</v>
      </c>
      <c r="BK229" s="327"/>
      <c r="BL229" s="328"/>
    </row>
    <row r="230" spans="1:64" s="326" customFormat="1" ht="117" customHeight="1" x14ac:dyDescent="0.2">
      <c r="A230" s="312">
        <v>318</v>
      </c>
      <c r="B230" s="314" t="s">
        <v>1208</v>
      </c>
      <c r="C230" s="312">
        <v>1</v>
      </c>
      <c r="D230" s="314" t="s">
        <v>1200</v>
      </c>
      <c r="E230" s="312">
        <v>19</v>
      </c>
      <c r="F230" s="314" t="s">
        <v>122</v>
      </c>
      <c r="G230" s="312">
        <v>1905</v>
      </c>
      <c r="H230" s="314" t="s">
        <v>650</v>
      </c>
      <c r="I230" s="312">
        <v>1905</v>
      </c>
      <c r="J230" s="315" t="s">
        <v>1240</v>
      </c>
      <c r="K230" s="321" t="s">
        <v>883</v>
      </c>
      <c r="L230" s="312" t="s">
        <v>31</v>
      </c>
      <c r="M230" s="315" t="s">
        <v>885</v>
      </c>
      <c r="N230" s="312">
        <v>1905031</v>
      </c>
      <c r="O230" s="315" t="s">
        <v>886</v>
      </c>
      <c r="P230" s="312" t="s">
        <v>884</v>
      </c>
      <c r="Q230" s="316" t="s">
        <v>887</v>
      </c>
      <c r="R230" s="312">
        <v>190503100</v>
      </c>
      <c r="S230" s="316" t="s">
        <v>888</v>
      </c>
      <c r="T230" s="317" t="s">
        <v>1459</v>
      </c>
      <c r="U230" s="345">
        <v>11</v>
      </c>
      <c r="V230" s="345"/>
      <c r="W230" s="318">
        <f t="shared" si="25"/>
        <v>11</v>
      </c>
      <c r="X230" s="385">
        <v>11</v>
      </c>
      <c r="Y230" s="320">
        <v>2020003630123</v>
      </c>
      <c r="Z230" s="315" t="s">
        <v>881</v>
      </c>
      <c r="AA230" s="321" t="s">
        <v>882</v>
      </c>
      <c r="AB230" s="322"/>
      <c r="AC230" s="322"/>
      <c r="AD230" s="322"/>
      <c r="AE230" s="322"/>
      <c r="AF230" s="322"/>
      <c r="AG230" s="322"/>
      <c r="AH230" s="322">
        <v>50000000</v>
      </c>
      <c r="AI230" s="322">
        <v>44388333</v>
      </c>
      <c r="AJ230" s="322">
        <v>44388333</v>
      </c>
      <c r="AK230" s="322"/>
      <c r="AL230" s="322"/>
      <c r="AM230" s="322"/>
      <c r="AN230" s="322"/>
      <c r="AO230" s="322"/>
      <c r="AP230" s="322"/>
      <c r="AQ230" s="322"/>
      <c r="AR230" s="322"/>
      <c r="AS230" s="322"/>
      <c r="AT230" s="343"/>
      <c r="AU230" s="342"/>
      <c r="AV230" s="342"/>
      <c r="AW230" s="323"/>
      <c r="AX230" s="322"/>
      <c r="AY230" s="322"/>
      <c r="AZ230" s="324"/>
      <c r="BA230" s="322"/>
      <c r="BB230" s="322"/>
      <c r="BC230" s="323"/>
      <c r="BD230" s="322"/>
      <c r="BE230" s="322"/>
      <c r="BF230" s="462">
        <f t="shared" si="22"/>
        <v>50000000</v>
      </c>
      <c r="BG230" s="462">
        <f t="shared" si="23"/>
        <v>44388333</v>
      </c>
      <c r="BH230" s="462">
        <f t="shared" si="24"/>
        <v>44388333</v>
      </c>
      <c r="BI230" s="332" t="s">
        <v>1473</v>
      </c>
      <c r="BK230" s="327"/>
      <c r="BL230" s="328"/>
    </row>
    <row r="231" spans="1:64" s="326" customFormat="1" ht="117" customHeight="1" x14ac:dyDescent="0.2">
      <c r="A231" s="312">
        <v>318</v>
      </c>
      <c r="B231" s="314" t="s">
        <v>1208</v>
      </c>
      <c r="C231" s="312">
        <v>1</v>
      </c>
      <c r="D231" s="314" t="s">
        <v>1200</v>
      </c>
      <c r="E231" s="312">
        <v>19</v>
      </c>
      <c r="F231" s="314" t="s">
        <v>122</v>
      </c>
      <c r="G231" s="312">
        <v>1905</v>
      </c>
      <c r="H231" s="314" t="s">
        <v>650</v>
      </c>
      <c r="I231" s="312">
        <v>1905</v>
      </c>
      <c r="J231" s="315" t="s">
        <v>1240</v>
      </c>
      <c r="K231" s="384" t="s">
        <v>895</v>
      </c>
      <c r="L231" s="312" t="s">
        <v>31</v>
      </c>
      <c r="M231" s="315" t="s">
        <v>889</v>
      </c>
      <c r="N231" s="312">
        <v>1905015</v>
      </c>
      <c r="O231" s="315" t="s">
        <v>193</v>
      </c>
      <c r="P231" s="312" t="s">
        <v>31</v>
      </c>
      <c r="Q231" s="316" t="s">
        <v>890</v>
      </c>
      <c r="R231" s="312">
        <v>190501500</v>
      </c>
      <c r="S231" s="316" t="s">
        <v>195</v>
      </c>
      <c r="T231" s="317" t="s">
        <v>1459</v>
      </c>
      <c r="U231" s="345">
        <v>1</v>
      </c>
      <c r="V231" s="345"/>
      <c r="W231" s="318">
        <f t="shared" si="25"/>
        <v>1</v>
      </c>
      <c r="X231" s="385">
        <v>0.7</v>
      </c>
      <c r="Y231" s="320">
        <v>2020003630123</v>
      </c>
      <c r="Z231" s="315" t="s">
        <v>881</v>
      </c>
      <c r="AA231" s="321" t="s">
        <v>882</v>
      </c>
      <c r="AB231" s="322"/>
      <c r="AC231" s="322"/>
      <c r="AD231" s="322"/>
      <c r="AE231" s="322"/>
      <c r="AF231" s="322"/>
      <c r="AG231" s="322"/>
      <c r="AH231" s="322">
        <v>35000000</v>
      </c>
      <c r="AI231" s="322">
        <v>28850000</v>
      </c>
      <c r="AJ231" s="322">
        <f>AI231</f>
        <v>28850000</v>
      </c>
      <c r="AK231" s="322"/>
      <c r="AL231" s="322"/>
      <c r="AM231" s="322"/>
      <c r="AN231" s="322"/>
      <c r="AO231" s="322"/>
      <c r="AP231" s="322"/>
      <c r="AQ231" s="322"/>
      <c r="AR231" s="322"/>
      <c r="AS231" s="322"/>
      <c r="AT231" s="343"/>
      <c r="AU231" s="342"/>
      <c r="AV231" s="342"/>
      <c r="AW231" s="323"/>
      <c r="AX231" s="322"/>
      <c r="AY231" s="322"/>
      <c r="AZ231" s="324"/>
      <c r="BA231" s="322"/>
      <c r="BB231" s="322"/>
      <c r="BC231" s="323"/>
      <c r="BD231" s="322"/>
      <c r="BE231" s="322"/>
      <c r="BF231" s="462">
        <f t="shared" si="22"/>
        <v>35000000</v>
      </c>
      <c r="BG231" s="462">
        <f t="shared" si="23"/>
        <v>28850000</v>
      </c>
      <c r="BH231" s="462">
        <f t="shared" si="24"/>
        <v>28850000</v>
      </c>
      <c r="BI231" s="332" t="s">
        <v>1473</v>
      </c>
      <c r="BK231" s="327"/>
      <c r="BL231" s="328"/>
    </row>
    <row r="232" spans="1:64" s="326" customFormat="1" ht="117" customHeight="1" x14ac:dyDescent="0.2">
      <c r="A232" s="312">
        <v>318</v>
      </c>
      <c r="B232" s="314" t="s">
        <v>1208</v>
      </c>
      <c r="C232" s="312">
        <v>1</v>
      </c>
      <c r="D232" s="314" t="s">
        <v>1200</v>
      </c>
      <c r="E232" s="312">
        <v>19</v>
      </c>
      <c r="F232" s="314" t="s">
        <v>122</v>
      </c>
      <c r="G232" s="312">
        <v>1905</v>
      </c>
      <c r="H232" s="314" t="s">
        <v>650</v>
      </c>
      <c r="I232" s="312">
        <v>1905</v>
      </c>
      <c r="J232" s="315" t="s">
        <v>1240</v>
      </c>
      <c r="K232" s="321" t="s">
        <v>818</v>
      </c>
      <c r="L232" s="312" t="s">
        <v>31</v>
      </c>
      <c r="M232" s="315" t="s">
        <v>891</v>
      </c>
      <c r="N232" s="316">
        <v>1905024</v>
      </c>
      <c r="O232" s="312" t="s">
        <v>892</v>
      </c>
      <c r="P232" s="315" t="s">
        <v>31</v>
      </c>
      <c r="Q232" s="316" t="s">
        <v>893</v>
      </c>
      <c r="R232" s="312">
        <v>190502400</v>
      </c>
      <c r="S232" s="316" t="s">
        <v>894</v>
      </c>
      <c r="T232" s="317" t="s">
        <v>1460</v>
      </c>
      <c r="U232" s="345">
        <v>4</v>
      </c>
      <c r="V232" s="400">
        <v>0.4</v>
      </c>
      <c r="W232" s="363">
        <f t="shared" si="25"/>
        <v>4.4000000000000004</v>
      </c>
      <c r="X232" s="385">
        <v>11</v>
      </c>
      <c r="Y232" s="320">
        <v>2020003630123</v>
      </c>
      <c r="Z232" s="315" t="s">
        <v>881</v>
      </c>
      <c r="AA232" s="321" t="s">
        <v>882</v>
      </c>
      <c r="AB232" s="322"/>
      <c r="AC232" s="322"/>
      <c r="AD232" s="322"/>
      <c r="AE232" s="322"/>
      <c r="AF232" s="322"/>
      <c r="AG232" s="322"/>
      <c r="AH232" s="322">
        <v>70000000</v>
      </c>
      <c r="AI232" s="322">
        <v>65658694</v>
      </c>
      <c r="AJ232" s="322">
        <v>65658694</v>
      </c>
      <c r="AK232" s="322"/>
      <c r="AL232" s="322"/>
      <c r="AM232" s="322"/>
      <c r="AN232" s="322"/>
      <c r="AO232" s="322"/>
      <c r="AP232" s="322"/>
      <c r="AQ232" s="322"/>
      <c r="AR232" s="322"/>
      <c r="AS232" s="322"/>
      <c r="AT232" s="343">
        <v>24000000</v>
      </c>
      <c r="AU232" s="342">
        <v>9715500</v>
      </c>
      <c r="AV232" s="342">
        <v>9715500</v>
      </c>
      <c r="AW232" s="323"/>
      <c r="AX232" s="322"/>
      <c r="AY232" s="322"/>
      <c r="AZ232" s="324"/>
      <c r="BA232" s="322"/>
      <c r="BB232" s="322"/>
      <c r="BC232" s="323"/>
      <c r="BD232" s="322"/>
      <c r="BE232" s="322"/>
      <c r="BF232" s="462">
        <f t="shared" si="22"/>
        <v>94000000</v>
      </c>
      <c r="BG232" s="462">
        <f t="shared" si="23"/>
        <v>75374194</v>
      </c>
      <c r="BH232" s="462">
        <f t="shared" si="24"/>
        <v>75374194</v>
      </c>
      <c r="BI232" s="332" t="s">
        <v>1473</v>
      </c>
      <c r="BK232" s="327"/>
      <c r="BL232" s="328"/>
    </row>
    <row r="233" spans="1:64" s="326" customFormat="1" ht="117" customHeight="1" x14ac:dyDescent="0.2">
      <c r="A233" s="312">
        <v>318</v>
      </c>
      <c r="B233" s="314" t="s">
        <v>1208</v>
      </c>
      <c r="C233" s="312">
        <v>1</v>
      </c>
      <c r="D233" s="314" t="s">
        <v>1200</v>
      </c>
      <c r="E233" s="312">
        <v>19</v>
      </c>
      <c r="F233" s="314" t="s">
        <v>122</v>
      </c>
      <c r="G233" s="312">
        <v>1905</v>
      </c>
      <c r="H233" s="314" t="s">
        <v>650</v>
      </c>
      <c r="I233" s="312">
        <v>1905</v>
      </c>
      <c r="J233" s="315" t="s">
        <v>1240</v>
      </c>
      <c r="K233" s="321" t="s">
        <v>895</v>
      </c>
      <c r="L233" s="312" t="s">
        <v>31</v>
      </c>
      <c r="M233" s="315" t="s">
        <v>896</v>
      </c>
      <c r="N233" s="312">
        <v>1905015</v>
      </c>
      <c r="O233" s="315" t="s">
        <v>193</v>
      </c>
      <c r="P233" s="312" t="s">
        <v>31</v>
      </c>
      <c r="Q233" s="316" t="s">
        <v>897</v>
      </c>
      <c r="R233" s="312">
        <v>190501500</v>
      </c>
      <c r="S233" s="316" t="s">
        <v>195</v>
      </c>
      <c r="T233" s="317" t="s">
        <v>1460</v>
      </c>
      <c r="U233" s="345">
        <v>4</v>
      </c>
      <c r="V233" s="345">
        <v>2</v>
      </c>
      <c r="W233" s="318">
        <f t="shared" si="25"/>
        <v>6</v>
      </c>
      <c r="X233" s="385">
        <v>1</v>
      </c>
      <c r="Y233" s="320">
        <v>2020003630123</v>
      </c>
      <c r="Z233" s="315" t="s">
        <v>881</v>
      </c>
      <c r="AA233" s="321" t="s">
        <v>882</v>
      </c>
      <c r="AB233" s="322"/>
      <c r="AC233" s="322"/>
      <c r="AD233" s="322"/>
      <c r="AE233" s="322"/>
      <c r="AF233" s="322"/>
      <c r="AG233" s="322"/>
      <c r="AH233" s="322">
        <v>30000000</v>
      </c>
      <c r="AI233" s="322">
        <v>30000000</v>
      </c>
      <c r="AJ233" s="322"/>
      <c r="AK233" s="322"/>
      <c r="AL233" s="322"/>
      <c r="AM233" s="322"/>
      <c r="AN233" s="322"/>
      <c r="AO233" s="322"/>
      <c r="AP233" s="322"/>
      <c r="AQ233" s="322"/>
      <c r="AR233" s="322"/>
      <c r="AS233" s="322"/>
      <c r="AT233" s="343"/>
      <c r="AU233" s="342"/>
      <c r="AV233" s="342"/>
      <c r="AW233" s="323"/>
      <c r="AX233" s="322"/>
      <c r="AY233" s="322"/>
      <c r="AZ233" s="324"/>
      <c r="BA233" s="322"/>
      <c r="BB233" s="322"/>
      <c r="BC233" s="323"/>
      <c r="BD233" s="322"/>
      <c r="BE233" s="322"/>
      <c r="BF233" s="462">
        <f t="shared" ref="BF233:BF296" si="26">AB233+AE233+AH233+AK233+AN233+AQ233+AT233+AW233+BC233</f>
        <v>30000000</v>
      </c>
      <c r="BG233" s="462">
        <f t="shared" ref="BG233:BG296" si="27">AC233+AF233+AI233+AL233+AO233+AR233+AU233+AX233+BD233</f>
        <v>30000000</v>
      </c>
      <c r="BH233" s="462">
        <f t="shared" ref="BH233:BH296" si="28">AD233+AG233+AJ233+AM233+AP233+AS233+AV233+AY233+BE233</f>
        <v>0</v>
      </c>
      <c r="BI233" s="332" t="s">
        <v>1473</v>
      </c>
      <c r="BK233" s="327"/>
      <c r="BL233" s="328"/>
    </row>
    <row r="234" spans="1:64" s="326" customFormat="1" ht="117" customHeight="1" x14ac:dyDescent="0.2">
      <c r="A234" s="312">
        <v>318</v>
      </c>
      <c r="B234" s="314" t="s">
        <v>1208</v>
      </c>
      <c r="C234" s="312">
        <v>1</v>
      </c>
      <c r="D234" s="314" t="s">
        <v>1200</v>
      </c>
      <c r="E234" s="312">
        <v>19</v>
      </c>
      <c r="F234" s="314" t="s">
        <v>122</v>
      </c>
      <c r="G234" s="312">
        <v>1905</v>
      </c>
      <c r="H234" s="314" t="s">
        <v>650</v>
      </c>
      <c r="I234" s="312">
        <v>1905</v>
      </c>
      <c r="J234" s="315" t="s">
        <v>1240</v>
      </c>
      <c r="K234" s="321" t="s">
        <v>818</v>
      </c>
      <c r="L234" s="312" t="s">
        <v>31</v>
      </c>
      <c r="M234" s="315" t="s">
        <v>898</v>
      </c>
      <c r="N234" s="312">
        <v>1905024</v>
      </c>
      <c r="O234" s="315" t="s">
        <v>892</v>
      </c>
      <c r="P234" s="312" t="s">
        <v>31</v>
      </c>
      <c r="Q234" s="316" t="s">
        <v>899</v>
      </c>
      <c r="R234" s="329">
        <v>190502400</v>
      </c>
      <c r="S234" s="316" t="s">
        <v>894</v>
      </c>
      <c r="T234" s="317" t="s">
        <v>1459</v>
      </c>
      <c r="U234" s="345">
        <v>12</v>
      </c>
      <c r="V234" s="345"/>
      <c r="W234" s="318">
        <f t="shared" si="25"/>
        <v>12</v>
      </c>
      <c r="X234" s="385">
        <v>11</v>
      </c>
      <c r="Y234" s="320">
        <v>2020003630123</v>
      </c>
      <c r="Z234" s="315" t="s">
        <v>881</v>
      </c>
      <c r="AA234" s="321" t="s">
        <v>882</v>
      </c>
      <c r="AB234" s="322"/>
      <c r="AC234" s="322"/>
      <c r="AD234" s="322"/>
      <c r="AE234" s="322"/>
      <c r="AF234" s="322"/>
      <c r="AG234" s="322"/>
      <c r="AH234" s="322">
        <v>30000000</v>
      </c>
      <c r="AI234" s="322">
        <v>28654000</v>
      </c>
      <c r="AJ234" s="322">
        <v>28654000</v>
      </c>
      <c r="AK234" s="322"/>
      <c r="AL234" s="322"/>
      <c r="AM234" s="322"/>
      <c r="AN234" s="322"/>
      <c r="AO234" s="322"/>
      <c r="AP234" s="322"/>
      <c r="AQ234" s="322"/>
      <c r="AR234" s="322"/>
      <c r="AS234" s="322"/>
      <c r="AT234" s="343"/>
      <c r="AU234" s="342"/>
      <c r="AV234" s="342"/>
      <c r="AW234" s="323"/>
      <c r="AX234" s="322"/>
      <c r="AY234" s="322"/>
      <c r="AZ234" s="324"/>
      <c r="BA234" s="322"/>
      <c r="BB234" s="322"/>
      <c r="BC234" s="323"/>
      <c r="BD234" s="322"/>
      <c r="BE234" s="322"/>
      <c r="BF234" s="462">
        <f t="shared" si="26"/>
        <v>30000000</v>
      </c>
      <c r="BG234" s="462">
        <f t="shared" si="27"/>
        <v>28654000</v>
      </c>
      <c r="BH234" s="462">
        <f t="shared" si="28"/>
        <v>28654000</v>
      </c>
      <c r="BI234" s="332" t="s">
        <v>1473</v>
      </c>
      <c r="BK234" s="327"/>
      <c r="BL234" s="328"/>
    </row>
    <row r="235" spans="1:64" s="326" customFormat="1" ht="117" customHeight="1" x14ac:dyDescent="0.2">
      <c r="A235" s="312">
        <v>318</v>
      </c>
      <c r="B235" s="314" t="s">
        <v>1208</v>
      </c>
      <c r="C235" s="312">
        <v>1</v>
      </c>
      <c r="D235" s="314" t="s">
        <v>1200</v>
      </c>
      <c r="E235" s="312">
        <v>19</v>
      </c>
      <c r="F235" s="314" t="s">
        <v>122</v>
      </c>
      <c r="G235" s="312">
        <v>1905</v>
      </c>
      <c r="H235" s="314" t="s">
        <v>650</v>
      </c>
      <c r="I235" s="312">
        <v>1905</v>
      </c>
      <c r="J235" s="315" t="s">
        <v>1240</v>
      </c>
      <c r="K235" s="321" t="s">
        <v>851</v>
      </c>
      <c r="L235" s="312" t="s">
        <v>31</v>
      </c>
      <c r="M235" s="315" t="s">
        <v>900</v>
      </c>
      <c r="N235" s="312">
        <v>1905024</v>
      </c>
      <c r="O235" s="315" t="s">
        <v>892</v>
      </c>
      <c r="P235" s="312" t="s">
        <v>31</v>
      </c>
      <c r="Q235" s="316" t="s">
        <v>901</v>
      </c>
      <c r="R235" s="329">
        <v>190502401</v>
      </c>
      <c r="S235" s="316" t="s">
        <v>902</v>
      </c>
      <c r="T235" s="317" t="s">
        <v>1460</v>
      </c>
      <c r="U235" s="345">
        <v>4</v>
      </c>
      <c r="V235" s="345"/>
      <c r="W235" s="318">
        <f t="shared" si="25"/>
        <v>4</v>
      </c>
      <c r="X235" s="385">
        <v>5</v>
      </c>
      <c r="Y235" s="320">
        <v>2020003630123</v>
      </c>
      <c r="Z235" s="315" t="s">
        <v>881</v>
      </c>
      <c r="AA235" s="321" t="s">
        <v>882</v>
      </c>
      <c r="AB235" s="322"/>
      <c r="AC235" s="322"/>
      <c r="AD235" s="322"/>
      <c r="AE235" s="322"/>
      <c r="AF235" s="322"/>
      <c r="AG235" s="322"/>
      <c r="AH235" s="346">
        <v>30000000</v>
      </c>
      <c r="AI235" s="346">
        <v>28850000</v>
      </c>
      <c r="AJ235" s="346">
        <v>28850000</v>
      </c>
      <c r="AK235" s="322"/>
      <c r="AL235" s="322"/>
      <c r="AM235" s="322"/>
      <c r="AN235" s="322"/>
      <c r="AO235" s="322"/>
      <c r="AP235" s="322"/>
      <c r="AQ235" s="322"/>
      <c r="AR235" s="322"/>
      <c r="AS235" s="322"/>
      <c r="AT235" s="343"/>
      <c r="AU235" s="342"/>
      <c r="AV235" s="342"/>
      <c r="AW235" s="323"/>
      <c r="AX235" s="322"/>
      <c r="AY235" s="322"/>
      <c r="AZ235" s="324"/>
      <c r="BA235" s="322"/>
      <c r="BB235" s="322"/>
      <c r="BC235" s="323"/>
      <c r="BD235" s="322"/>
      <c r="BE235" s="322"/>
      <c r="BF235" s="462">
        <f t="shared" si="26"/>
        <v>30000000</v>
      </c>
      <c r="BG235" s="462">
        <f t="shared" si="27"/>
        <v>28850000</v>
      </c>
      <c r="BH235" s="462">
        <f t="shared" si="28"/>
        <v>28850000</v>
      </c>
      <c r="BI235" s="332" t="s">
        <v>1473</v>
      </c>
      <c r="BK235" s="327"/>
      <c r="BL235" s="328"/>
    </row>
    <row r="236" spans="1:64" s="326" customFormat="1" ht="117" customHeight="1" x14ac:dyDescent="0.2">
      <c r="A236" s="312">
        <v>318</v>
      </c>
      <c r="B236" s="314" t="s">
        <v>1208</v>
      </c>
      <c r="C236" s="312">
        <v>1</v>
      </c>
      <c r="D236" s="314" t="s">
        <v>1200</v>
      </c>
      <c r="E236" s="312">
        <v>19</v>
      </c>
      <c r="F236" s="314" t="s">
        <v>122</v>
      </c>
      <c r="G236" s="312">
        <v>1905</v>
      </c>
      <c r="H236" s="314" t="s">
        <v>650</v>
      </c>
      <c r="I236" s="312">
        <v>1905</v>
      </c>
      <c r="J236" s="315" t="s">
        <v>1240</v>
      </c>
      <c r="K236" s="321" t="s">
        <v>651</v>
      </c>
      <c r="L236" s="312">
        <v>1905021</v>
      </c>
      <c r="M236" s="315" t="s">
        <v>652</v>
      </c>
      <c r="N236" s="312">
        <v>1905021</v>
      </c>
      <c r="O236" s="315" t="s">
        <v>652</v>
      </c>
      <c r="P236" s="329">
        <v>190502100</v>
      </c>
      <c r="Q236" s="316" t="s">
        <v>653</v>
      </c>
      <c r="R236" s="319">
        <v>190502100</v>
      </c>
      <c r="S236" s="316" t="s">
        <v>653</v>
      </c>
      <c r="T236" s="317" t="s">
        <v>1459</v>
      </c>
      <c r="U236" s="345">
        <v>12</v>
      </c>
      <c r="V236" s="345"/>
      <c r="W236" s="318">
        <f t="shared" si="25"/>
        <v>12</v>
      </c>
      <c r="X236" s="385">
        <v>12</v>
      </c>
      <c r="Y236" s="320">
        <v>2020003630124</v>
      </c>
      <c r="Z236" s="315" t="s">
        <v>903</v>
      </c>
      <c r="AA236" s="321" t="s">
        <v>904</v>
      </c>
      <c r="AB236" s="322"/>
      <c r="AC236" s="322"/>
      <c r="AD236" s="322"/>
      <c r="AE236" s="322"/>
      <c r="AF236" s="322"/>
      <c r="AG236" s="322"/>
      <c r="AH236" s="346">
        <v>109515000</v>
      </c>
      <c r="AI236" s="342">
        <v>105380967</v>
      </c>
      <c r="AJ236" s="342">
        <v>105380967</v>
      </c>
      <c r="AK236" s="322"/>
      <c r="AL236" s="322"/>
      <c r="AM236" s="322"/>
      <c r="AN236" s="322"/>
      <c r="AO236" s="322"/>
      <c r="AP236" s="322"/>
      <c r="AQ236" s="322"/>
      <c r="AR236" s="322"/>
      <c r="AS236" s="322"/>
      <c r="AT236" s="343"/>
      <c r="AU236" s="342"/>
      <c r="AV236" s="342"/>
      <c r="AW236" s="323"/>
      <c r="AX236" s="322"/>
      <c r="AY236" s="322"/>
      <c r="AZ236" s="324"/>
      <c r="BA236" s="322"/>
      <c r="BB236" s="322"/>
      <c r="BC236" s="323"/>
      <c r="BD236" s="322"/>
      <c r="BE236" s="322"/>
      <c r="BF236" s="462">
        <f t="shared" si="26"/>
        <v>109515000</v>
      </c>
      <c r="BG236" s="462">
        <f t="shared" si="27"/>
        <v>105380967</v>
      </c>
      <c r="BH236" s="462">
        <f t="shared" si="28"/>
        <v>105380967</v>
      </c>
      <c r="BI236" s="332" t="s">
        <v>1473</v>
      </c>
      <c r="BK236" s="327"/>
      <c r="BL236" s="328"/>
    </row>
    <row r="237" spans="1:64" s="326" customFormat="1" ht="117" customHeight="1" x14ac:dyDescent="0.2">
      <c r="A237" s="312">
        <v>318</v>
      </c>
      <c r="B237" s="314" t="s">
        <v>1208</v>
      </c>
      <c r="C237" s="312">
        <v>1</v>
      </c>
      <c r="D237" s="314" t="s">
        <v>1200</v>
      </c>
      <c r="E237" s="312">
        <v>19</v>
      </c>
      <c r="F237" s="314" t="s">
        <v>122</v>
      </c>
      <c r="G237" s="312">
        <v>1905</v>
      </c>
      <c r="H237" s="314" t="s">
        <v>650</v>
      </c>
      <c r="I237" s="312">
        <v>1905</v>
      </c>
      <c r="J237" s="315" t="s">
        <v>1240</v>
      </c>
      <c r="K237" s="321" t="s">
        <v>883</v>
      </c>
      <c r="L237" s="312" t="s">
        <v>31</v>
      </c>
      <c r="M237" s="315" t="s">
        <v>905</v>
      </c>
      <c r="N237" s="312">
        <v>1905021</v>
      </c>
      <c r="O237" s="315" t="s">
        <v>906</v>
      </c>
      <c r="P237" s="312" t="s">
        <v>31</v>
      </c>
      <c r="Q237" s="316" t="s">
        <v>887</v>
      </c>
      <c r="R237" s="312">
        <v>190502100</v>
      </c>
      <c r="S237" s="316" t="s">
        <v>907</v>
      </c>
      <c r="T237" s="317" t="s">
        <v>1459</v>
      </c>
      <c r="U237" s="345">
        <v>11</v>
      </c>
      <c r="V237" s="345"/>
      <c r="W237" s="318">
        <f t="shared" si="25"/>
        <v>11</v>
      </c>
      <c r="X237" s="385">
        <v>12</v>
      </c>
      <c r="Y237" s="320">
        <v>2020003630124</v>
      </c>
      <c r="Z237" s="315" t="s">
        <v>903</v>
      </c>
      <c r="AA237" s="321" t="s">
        <v>904</v>
      </c>
      <c r="AB237" s="322"/>
      <c r="AC237" s="322"/>
      <c r="AD237" s="322"/>
      <c r="AE237" s="322"/>
      <c r="AF237" s="322"/>
      <c r="AG237" s="322"/>
      <c r="AH237" s="346">
        <v>87930000</v>
      </c>
      <c r="AI237" s="342">
        <v>83366865</v>
      </c>
      <c r="AJ237" s="342">
        <v>83366865</v>
      </c>
      <c r="AK237" s="322"/>
      <c r="AL237" s="322"/>
      <c r="AM237" s="322"/>
      <c r="AN237" s="322"/>
      <c r="AO237" s="322"/>
      <c r="AP237" s="322"/>
      <c r="AQ237" s="322"/>
      <c r="AR237" s="322"/>
      <c r="AS237" s="322"/>
      <c r="AT237" s="343"/>
      <c r="AU237" s="342"/>
      <c r="AV237" s="342"/>
      <c r="AW237" s="323"/>
      <c r="AX237" s="322"/>
      <c r="AY237" s="322"/>
      <c r="AZ237" s="324"/>
      <c r="BA237" s="322"/>
      <c r="BB237" s="322"/>
      <c r="BC237" s="323"/>
      <c r="BD237" s="322"/>
      <c r="BE237" s="322"/>
      <c r="BF237" s="462">
        <f t="shared" si="26"/>
        <v>87930000</v>
      </c>
      <c r="BG237" s="462">
        <f t="shared" si="27"/>
        <v>83366865</v>
      </c>
      <c r="BH237" s="462">
        <f t="shared" si="28"/>
        <v>83366865</v>
      </c>
      <c r="BI237" s="332" t="s">
        <v>1473</v>
      </c>
      <c r="BK237" s="327"/>
      <c r="BL237" s="328"/>
    </row>
    <row r="238" spans="1:64" s="326" customFormat="1" ht="117" customHeight="1" x14ac:dyDescent="0.2">
      <c r="A238" s="312">
        <v>318</v>
      </c>
      <c r="B238" s="314" t="s">
        <v>1208</v>
      </c>
      <c r="C238" s="312">
        <v>1</v>
      </c>
      <c r="D238" s="314" t="s">
        <v>1200</v>
      </c>
      <c r="E238" s="312">
        <v>19</v>
      </c>
      <c r="F238" s="314" t="s">
        <v>122</v>
      </c>
      <c r="G238" s="312">
        <v>1905</v>
      </c>
      <c r="H238" s="314" t="s">
        <v>650</v>
      </c>
      <c r="I238" s="312">
        <v>1905</v>
      </c>
      <c r="J238" s="315" t="s">
        <v>1240</v>
      </c>
      <c r="K238" s="321" t="s">
        <v>837</v>
      </c>
      <c r="L238" s="312">
        <v>1905020</v>
      </c>
      <c r="M238" s="315" t="s">
        <v>908</v>
      </c>
      <c r="N238" s="388">
        <v>1905020</v>
      </c>
      <c r="O238" s="315" t="s">
        <v>908</v>
      </c>
      <c r="P238" s="329">
        <v>190502000</v>
      </c>
      <c r="Q238" s="316" t="s">
        <v>909</v>
      </c>
      <c r="R238" s="329">
        <v>190502000</v>
      </c>
      <c r="S238" s="316" t="s">
        <v>909</v>
      </c>
      <c r="T238" s="317" t="s">
        <v>1459</v>
      </c>
      <c r="U238" s="345">
        <v>12</v>
      </c>
      <c r="V238" s="345"/>
      <c r="W238" s="318">
        <f t="shared" si="25"/>
        <v>12</v>
      </c>
      <c r="X238" s="385">
        <v>12</v>
      </c>
      <c r="Y238" s="320">
        <v>2020003630125</v>
      </c>
      <c r="Z238" s="315" t="s">
        <v>910</v>
      </c>
      <c r="AA238" s="321" t="s">
        <v>911</v>
      </c>
      <c r="AB238" s="322"/>
      <c r="AC238" s="322"/>
      <c r="AD238" s="322"/>
      <c r="AE238" s="322"/>
      <c r="AF238" s="322"/>
      <c r="AG238" s="322"/>
      <c r="AH238" s="342">
        <f>40000000+13271000</f>
        <v>53271000</v>
      </c>
      <c r="AI238" s="342">
        <v>52944166</v>
      </c>
      <c r="AJ238" s="342">
        <v>52944166</v>
      </c>
      <c r="AK238" s="322"/>
      <c r="AL238" s="322"/>
      <c r="AM238" s="322"/>
      <c r="AN238" s="322"/>
      <c r="AO238" s="322"/>
      <c r="AP238" s="322"/>
      <c r="AQ238" s="322"/>
      <c r="AR238" s="322"/>
      <c r="AS238" s="322"/>
      <c r="AT238" s="343"/>
      <c r="AU238" s="342"/>
      <c r="AV238" s="342"/>
      <c r="AW238" s="323"/>
      <c r="AX238" s="322"/>
      <c r="AY238" s="322"/>
      <c r="AZ238" s="324"/>
      <c r="BA238" s="322"/>
      <c r="BB238" s="322"/>
      <c r="BC238" s="323">
        <f>548597644+225000000</f>
        <v>773597644</v>
      </c>
      <c r="BD238" s="322">
        <v>608973180</v>
      </c>
      <c r="BE238" s="322">
        <v>608973180</v>
      </c>
      <c r="BF238" s="462">
        <f t="shared" si="26"/>
        <v>826868644</v>
      </c>
      <c r="BG238" s="462">
        <f t="shared" si="27"/>
        <v>661917346</v>
      </c>
      <c r="BH238" s="462">
        <f t="shared" si="28"/>
        <v>661917346</v>
      </c>
      <c r="BI238" s="332" t="s">
        <v>1473</v>
      </c>
      <c r="BK238" s="327"/>
      <c r="BL238" s="328"/>
    </row>
    <row r="239" spans="1:64" s="326" customFormat="1" ht="117" customHeight="1" x14ac:dyDescent="0.2">
      <c r="A239" s="312">
        <v>318</v>
      </c>
      <c r="B239" s="314" t="s">
        <v>1208</v>
      </c>
      <c r="C239" s="312">
        <v>1</v>
      </c>
      <c r="D239" s="314" t="s">
        <v>1200</v>
      </c>
      <c r="E239" s="312">
        <v>19</v>
      </c>
      <c r="F239" s="314" t="s">
        <v>122</v>
      </c>
      <c r="G239" s="312">
        <v>1905</v>
      </c>
      <c r="H239" s="314" t="s">
        <v>650</v>
      </c>
      <c r="I239" s="312">
        <v>1905</v>
      </c>
      <c r="J239" s="315" t="s">
        <v>1240</v>
      </c>
      <c r="K239" s="321" t="s">
        <v>655</v>
      </c>
      <c r="L239" s="312">
        <v>1905022</v>
      </c>
      <c r="M239" s="315" t="s">
        <v>656</v>
      </c>
      <c r="N239" s="388">
        <v>1905022</v>
      </c>
      <c r="O239" s="315" t="s">
        <v>656</v>
      </c>
      <c r="P239" s="329">
        <v>190502200</v>
      </c>
      <c r="Q239" s="316" t="s">
        <v>657</v>
      </c>
      <c r="R239" s="329">
        <v>190502200</v>
      </c>
      <c r="S239" s="316" t="s">
        <v>657</v>
      </c>
      <c r="T239" s="317" t="s">
        <v>1459</v>
      </c>
      <c r="U239" s="345">
        <v>12</v>
      </c>
      <c r="V239" s="345"/>
      <c r="W239" s="318">
        <f t="shared" si="25"/>
        <v>12</v>
      </c>
      <c r="X239" s="385">
        <v>12</v>
      </c>
      <c r="Y239" s="320">
        <v>2020003630125</v>
      </c>
      <c r="Z239" s="315" t="s">
        <v>910</v>
      </c>
      <c r="AA239" s="321" t="s">
        <v>911</v>
      </c>
      <c r="AB239" s="322"/>
      <c r="AC239" s="322"/>
      <c r="AD239" s="322"/>
      <c r="AE239" s="322"/>
      <c r="AF239" s="322"/>
      <c r="AG239" s="322"/>
      <c r="AH239" s="342">
        <f>70000000+12004333</f>
        <v>82004333</v>
      </c>
      <c r="AI239" s="342">
        <v>76733164</v>
      </c>
      <c r="AJ239" s="342">
        <v>76733164</v>
      </c>
      <c r="AK239" s="322"/>
      <c r="AL239" s="322"/>
      <c r="AM239" s="322"/>
      <c r="AN239" s="322"/>
      <c r="AO239" s="322"/>
      <c r="AP239" s="322"/>
      <c r="AQ239" s="322"/>
      <c r="AR239" s="322"/>
      <c r="AS239" s="322"/>
      <c r="AT239" s="343"/>
      <c r="AU239" s="342"/>
      <c r="AV239" s="342"/>
      <c r="AW239" s="323"/>
      <c r="AX239" s="322"/>
      <c r="AY239" s="322"/>
      <c r="AZ239" s="324"/>
      <c r="BA239" s="322"/>
      <c r="BB239" s="322"/>
      <c r="BC239" s="323"/>
      <c r="BD239" s="322"/>
      <c r="BE239" s="322"/>
      <c r="BF239" s="462">
        <f t="shared" si="26"/>
        <v>82004333</v>
      </c>
      <c r="BG239" s="462">
        <f t="shared" si="27"/>
        <v>76733164</v>
      </c>
      <c r="BH239" s="462">
        <f t="shared" si="28"/>
        <v>76733164</v>
      </c>
      <c r="BI239" s="332" t="s">
        <v>1473</v>
      </c>
      <c r="BK239" s="327"/>
      <c r="BL239" s="328"/>
    </row>
    <row r="240" spans="1:64" s="326" customFormat="1" ht="117" customHeight="1" x14ac:dyDescent="0.2">
      <c r="A240" s="312">
        <v>318</v>
      </c>
      <c r="B240" s="314" t="s">
        <v>1208</v>
      </c>
      <c r="C240" s="312">
        <v>1</v>
      </c>
      <c r="D240" s="314" t="s">
        <v>1200</v>
      </c>
      <c r="E240" s="312">
        <v>19</v>
      </c>
      <c r="F240" s="314" t="s">
        <v>122</v>
      </c>
      <c r="G240" s="312">
        <v>1905</v>
      </c>
      <c r="H240" s="314" t="s">
        <v>650</v>
      </c>
      <c r="I240" s="312">
        <v>1905</v>
      </c>
      <c r="J240" s="315" t="s">
        <v>1240</v>
      </c>
      <c r="K240" s="321" t="s">
        <v>837</v>
      </c>
      <c r="L240" s="312" t="s">
        <v>31</v>
      </c>
      <c r="M240" s="315" t="s">
        <v>912</v>
      </c>
      <c r="N240" s="312">
        <v>1905015</v>
      </c>
      <c r="O240" s="315" t="s">
        <v>193</v>
      </c>
      <c r="P240" s="312" t="s">
        <v>31</v>
      </c>
      <c r="Q240" s="316" t="s">
        <v>913</v>
      </c>
      <c r="R240" s="312" t="s">
        <v>914</v>
      </c>
      <c r="S240" s="316" t="s">
        <v>915</v>
      </c>
      <c r="T240" s="317" t="s">
        <v>1459</v>
      </c>
      <c r="U240" s="345">
        <v>1</v>
      </c>
      <c r="V240" s="345"/>
      <c r="W240" s="318">
        <f t="shared" si="25"/>
        <v>1</v>
      </c>
      <c r="X240" s="385">
        <v>1</v>
      </c>
      <c r="Y240" s="320">
        <v>2020003630125</v>
      </c>
      <c r="Z240" s="315" t="s">
        <v>910</v>
      </c>
      <c r="AA240" s="321" t="s">
        <v>911</v>
      </c>
      <c r="AB240" s="322"/>
      <c r="AC240" s="322"/>
      <c r="AD240" s="322"/>
      <c r="AE240" s="322"/>
      <c r="AF240" s="322"/>
      <c r="AG240" s="322"/>
      <c r="AH240" s="342">
        <f>50000000+6366667</f>
        <v>56366667</v>
      </c>
      <c r="AI240" s="342">
        <v>49803336</v>
      </c>
      <c r="AJ240" s="342">
        <v>48360836</v>
      </c>
      <c r="AK240" s="322"/>
      <c r="AL240" s="322"/>
      <c r="AM240" s="322"/>
      <c r="AN240" s="322"/>
      <c r="AO240" s="322"/>
      <c r="AP240" s="322"/>
      <c r="AQ240" s="322"/>
      <c r="AR240" s="322"/>
      <c r="AS240" s="322"/>
      <c r="AT240" s="343"/>
      <c r="AU240" s="342"/>
      <c r="AV240" s="342"/>
      <c r="AW240" s="323"/>
      <c r="AX240" s="322"/>
      <c r="AY240" s="322"/>
      <c r="AZ240" s="324"/>
      <c r="BA240" s="322"/>
      <c r="BB240" s="322"/>
      <c r="BC240" s="323"/>
      <c r="BD240" s="322"/>
      <c r="BE240" s="322"/>
      <c r="BF240" s="462">
        <f t="shared" si="26"/>
        <v>56366667</v>
      </c>
      <c r="BG240" s="462">
        <f t="shared" si="27"/>
        <v>49803336</v>
      </c>
      <c r="BH240" s="462">
        <f t="shared" si="28"/>
        <v>48360836</v>
      </c>
      <c r="BI240" s="332" t="s">
        <v>1473</v>
      </c>
      <c r="BK240" s="327"/>
      <c r="BL240" s="328"/>
    </row>
    <row r="241" spans="1:64" s="326" customFormat="1" ht="117" customHeight="1" x14ac:dyDescent="0.2">
      <c r="A241" s="312">
        <v>318</v>
      </c>
      <c r="B241" s="314" t="s">
        <v>1208</v>
      </c>
      <c r="C241" s="312">
        <v>1</v>
      </c>
      <c r="D241" s="314" t="s">
        <v>1200</v>
      </c>
      <c r="E241" s="312">
        <v>19</v>
      </c>
      <c r="F241" s="314" t="s">
        <v>122</v>
      </c>
      <c r="G241" s="312">
        <v>1905</v>
      </c>
      <c r="H241" s="314" t="s">
        <v>650</v>
      </c>
      <c r="I241" s="312">
        <v>1905</v>
      </c>
      <c r="J241" s="315" t="s">
        <v>1240</v>
      </c>
      <c r="K241" s="321" t="s">
        <v>916</v>
      </c>
      <c r="L241" s="312">
        <v>1905023</v>
      </c>
      <c r="M241" s="315" t="s">
        <v>917</v>
      </c>
      <c r="N241" s="312">
        <v>1905023</v>
      </c>
      <c r="O241" s="315" t="s">
        <v>917</v>
      </c>
      <c r="P241" s="329">
        <v>190502300</v>
      </c>
      <c r="Q241" s="316" t="s">
        <v>918</v>
      </c>
      <c r="R241" s="329">
        <v>190502300</v>
      </c>
      <c r="S241" s="316" t="s">
        <v>918</v>
      </c>
      <c r="T241" s="317" t="s">
        <v>1459</v>
      </c>
      <c r="U241" s="345">
        <v>12</v>
      </c>
      <c r="V241" s="345"/>
      <c r="W241" s="318">
        <f t="shared" si="25"/>
        <v>12</v>
      </c>
      <c r="X241" s="385">
        <v>12</v>
      </c>
      <c r="Y241" s="320">
        <v>2020003630126</v>
      </c>
      <c r="Z241" s="315" t="s">
        <v>1184</v>
      </c>
      <c r="AA241" s="321" t="s">
        <v>919</v>
      </c>
      <c r="AB241" s="322"/>
      <c r="AC241" s="322"/>
      <c r="AD241" s="322"/>
      <c r="AE241" s="322"/>
      <c r="AF241" s="322"/>
      <c r="AG241" s="322"/>
      <c r="AH241" s="342">
        <f>90000000+54642867</f>
        <v>144642867</v>
      </c>
      <c r="AI241" s="342">
        <v>133746000</v>
      </c>
      <c r="AJ241" s="342">
        <v>133746000</v>
      </c>
      <c r="AK241" s="322"/>
      <c r="AL241" s="322"/>
      <c r="AM241" s="322"/>
      <c r="AN241" s="322"/>
      <c r="AO241" s="322"/>
      <c r="AP241" s="322"/>
      <c r="AQ241" s="322"/>
      <c r="AR241" s="322"/>
      <c r="AS241" s="322"/>
      <c r="AT241" s="343">
        <v>30484800</v>
      </c>
      <c r="AU241" s="342">
        <v>25494000</v>
      </c>
      <c r="AV241" s="342">
        <v>25494000</v>
      </c>
      <c r="AW241" s="323"/>
      <c r="AX241" s="322"/>
      <c r="AY241" s="322"/>
      <c r="AZ241" s="324"/>
      <c r="BA241" s="322"/>
      <c r="BB241" s="322"/>
      <c r="BC241" s="323"/>
      <c r="BD241" s="322"/>
      <c r="BE241" s="322"/>
      <c r="BF241" s="462">
        <f t="shared" si="26"/>
        <v>175127667</v>
      </c>
      <c r="BG241" s="462">
        <f t="shared" si="27"/>
        <v>159240000</v>
      </c>
      <c r="BH241" s="462">
        <f t="shared" si="28"/>
        <v>159240000</v>
      </c>
      <c r="BI241" s="332" t="s">
        <v>1473</v>
      </c>
      <c r="BK241" s="327"/>
      <c r="BL241" s="328"/>
    </row>
    <row r="242" spans="1:64" s="326" customFormat="1" ht="117" customHeight="1" x14ac:dyDescent="0.2">
      <c r="A242" s="312">
        <v>318</v>
      </c>
      <c r="B242" s="314" t="s">
        <v>1208</v>
      </c>
      <c r="C242" s="312">
        <v>1</v>
      </c>
      <c r="D242" s="314" t="s">
        <v>1200</v>
      </c>
      <c r="E242" s="312">
        <v>19</v>
      </c>
      <c r="F242" s="314" t="s">
        <v>122</v>
      </c>
      <c r="G242" s="312">
        <v>1905</v>
      </c>
      <c r="H242" s="314" t="s">
        <v>650</v>
      </c>
      <c r="I242" s="312">
        <v>1905</v>
      </c>
      <c r="J242" s="315" t="s">
        <v>1240</v>
      </c>
      <c r="K242" s="321" t="s">
        <v>815</v>
      </c>
      <c r="L242" s="312">
        <v>1905031</v>
      </c>
      <c r="M242" s="316" t="s">
        <v>877</v>
      </c>
      <c r="N242" s="312">
        <v>1905031</v>
      </c>
      <c r="O242" s="315" t="s">
        <v>877</v>
      </c>
      <c r="P242" s="312">
        <v>190503100</v>
      </c>
      <c r="Q242" s="316" t="s">
        <v>878</v>
      </c>
      <c r="R242" s="312">
        <v>190503100</v>
      </c>
      <c r="S242" s="316" t="s">
        <v>878</v>
      </c>
      <c r="T242" s="317" t="s">
        <v>1459</v>
      </c>
      <c r="U242" s="345">
        <v>12</v>
      </c>
      <c r="V242" s="345"/>
      <c r="W242" s="318">
        <f t="shared" si="25"/>
        <v>12</v>
      </c>
      <c r="X242" s="385">
        <v>12</v>
      </c>
      <c r="Y242" s="320">
        <v>2020003630126</v>
      </c>
      <c r="Z242" s="315" t="s">
        <v>1184</v>
      </c>
      <c r="AA242" s="321" t="s">
        <v>919</v>
      </c>
      <c r="AB242" s="322"/>
      <c r="AC242" s="322"/>
      <c r="AD242" s="322"/>
      <c r="AE242" s="322"/>
      <c r="AF242" s="322"/>
      <c r="AG242" s="322"/>
      <c r="AH242" s="342">
        <f>80000000+30374667</f>
        <v>110374667</v>
      </c>
      <c r="AI242" s="342">
        <v>86507666</v>
      </c>
      <c r="AJ242" s="342">
        <v>86507666</v>
      </c>
      <c r="AK242" s="322"/>
      <c r="AL242" s="322"/>
      <c r="AM242" s="322"/>
      <c r="AN242" s="322"/>
      <c r="AO242" s="322"/>
      <c r="AP242" s="322"/>
      <c r="AQ242" s="322"/>
      <c r="AR242" s="322"/>
      <c r="AS242" s="322"/>
      <c r="AT242" s="343"/>
      <c r="AU242" s="342"/>
      <c r="AV242" s="342"/>
      <c r="AW242" s="323"/>
      <c r="AX242" s="322"/>
      <c r="AY242" s="322"/>
      <c r="AZ242" s="324"/>
      <c r="BA242" s="322"/>
      <c r="BB242" s="322"/>
      <c r="BC242" s="323"/>
      <c r="BD242" s="322"/>
      <c r="BE242" s="322"/>
      <c r="BF242" s="462">
        <f t="shared" si="26"/>
        <v>110374667</v>
      </c>
      <c r="BG242" s="462">
        <f t="shared" si="27"/>
        <v>86507666</v>
      </c>
      <c r="BH242" s="462">
        <f t="shared" si="28"/>
        <v>86507666</v>
      </c>
      <c r="BI242" s="332" t="s">
        <v>1473</v>
      </c>
      <c r="BK242" s="327"/>
      <c r="BL242" s="328"/>
    </row>
    <row r="243" spans="1:64" s="326" customFormat="1" ht="117" customHeight="1" x14ac:dyDescent="0.2">
      <c r="A243" s="312">
        <v>318</v>
      </c>
      <c r="B243" s="314" t="s">
        <v>1208</v>
      </c>
      <c r="C243" s="312">
        <v>1</v>
      </c>
      <c r="D243" s="314" t="s">
        <v>1200</v>
      </c>
      <c r="E243" s="312">
        <v>19</v>
      </c>
      <c r="F243" s="314" t="s">
        <v>122</v>
      </c>
      <c r="G243" s="312">
        <v>1905</v>
      </c>
      <c r="H243" s="314" t="s">
        <v>650</v>
      </c>
      <c r="I243" s="312">
        <v>1905</v>
      </c>
      <c r="J243" s="315" t="s">
        <v>1240</v>
      </c>
      <c r="K243" s="321" t="s">
        <v>920</v>
      </c>
      <c r="L243" s="312">
        <v>1905012</v>
      </c>
      <c r="M243" s="315" t="s">
        <v>921</v>
      </c>
      <c r="N243" s="312">
        <v>1905012</v>
      </c>
      <c r="O243" s="315" t="s">
        <v>921</v>
      </c>
      <c r="P243" s="329">
        <v>190501200</v>
      </c>
      <c r="Q243" s="316" t="s">
        <v>921</v>
      </c>
      <c r="R243" s="329">
        <v>190501200</v>
      </c>
      <c r="S243" s="316" t="s">
        <v>921</v>
      </c>
      <c r="T243" s="317" t="s">
        <v>1459</v>
      </c>
      <c r="U243" s="345">
        <v>1</v>
      </c>
      <c r="V243" s="345"/>
      <c r="W243" s="318">
        <f t="shared" si="25"/>
        <v>1</v>
      </c>
      <c r="X243" s="385">
        <v>1</v>
      </c>
      <c r="Y243" s="320">
        <v>2020003630127</v>
      </c>
      <c r="Z243" s="315" t="s">
        <v>922</v>
      </c>
      <c r="AA243" s="321" t="s">
        <v>923</v>
      </c>
      <c r="AB243" s="322"/>
      <c r="AC243" s="322"/>
      <c r="AD243" s="322"/>
      <c r="AE243" s="322"/>
      <c r="AF243" s="322"/>
      <c r="AG243" s="322"/>
      <c r="AH243" s="322">
        <f>20000000+2782168+1704450491.94-1163271904.1-260000000</f>
        <v>303960755.84000015</v>
      </c>
      <c r="AI243" s="322">
        <v>206294850.78999999</v>
      </c>
      <c r="AJ243" s="322">
        <v>191044850.78999999</v>
      </c>
      <c r="AK243" s="322"/>
      <c r="AL243" s="322"/>
      <c r="AM243" s="322"/>
      <c r="AN243" s="322"/>
      <c r="AO243" s="322"/>
      <c r="AP243" s="322"/>
      <c r="AQ243" s="322"/>
      <c r="AR243" s="322"/>
      <c r="AS243" s="322"/>
      <c r="AT243" s="343"/>
      <c r="AU243" s="342"/>
      <c r="AV243" s="342"/>
      <c r="AW243" s="323"/>
      <c r="AX243" s="322"/>
      <c r="AY243" s="322"/>
      <c r="AZ243" s="324"/>
      <c r="BA243" s="322"/>
      <c r="BB243" s="322"/>
      <c r="BC243" s="386"/>
      <c r="BD243" s="365"/>
      <c r="BE243" s="365"/>
      <c r="BF243" s="462">
        <f t="shared" si="26"/>
        <v>303960755.84000015</v>
      </c>
      <c r="BG243" s="462">
        <f t="shared" si="27"/>
        <v>206294850.78999999</v>
      </c>
      <c r="BH243" s="462">
        <f t="shared" si="28"/>
        <v>191044850.78999999</v>
      </c>
      <c r="BI243" s="332" t="s">
        <v>1473</v>
      </c>
      <c r="BK243" s="327"/>
      <c r="BL243" s="328"/>
    </row>
    <row r="244" spans="1:64" s="326" customFormat="1" ht="117" customHeight="1" x14ac:dyDescent="0.2">
      <c r="A244" s="312">
        <v>318</v>
      </c>
      <c r="B244" s="314" t="s">
        <v>1208</v>
      </c>
      <c r="C244" s="312">
        <v>1</v>
      </c>
      <c r="D244" s="314" t="s">
        <v>1200</v>
      </c>
      <c r="E244" s="312">
        <v>19</v>
      </c>
      <c r="F244" s="314" t="s">
        <v>122</v>
      </c>
      <c r="G244" s="312">
        <v>1905</v>
      </c>
      <c r="H244" s="314" t="s">
        <v>650</v>
      </c>
      <c r="I244" s="312">
        <v>1905</v>
      </c>
      <c r="J244" s="315" t="s">
        <v>1240</v>
      </c>
      <c r="K244" s="321" t="s">
        <v>924</v>
      </c>
      <c r="L244" s="312">
        <v>1905026</v>
      </c>
      <c r="M244" s="316" t="s">
        <v>925</v>
      </c>
      <c r="N244" s="312">
        <v>1905026</v>
      </c>
      <c r="O244" s="315" t="s">
        <v>925</v>
      </c>
      <c r="P244" s="329">
        <v>190502600</v>
      </c>
      <c r="Q244" s="316" t="s">
        <v>926</v>
      </c>
      <c r="R244" s="329">
        <v>190502600</v>
      </c>
      <c r="S244" s="316" t="s">
        <v>926</v>
      </c>
      <c r="T244" s="317" t="s">
        <v>1459</v>
      </c>
      <c r="U244" s="345">
        <v>12</v>
      </c>
      <c r="V244" s="345"/>
      <c r="W244" s="318">
        <f t="shared" si="25"/>
        <v>12</v>
      </c>
      <c r="X244" s="385">
        <v>12</v>
      </c>
      <c r="Y244" s="320">
        <v>2020003630127</v>
      </c>
      <c r="Z244" s="315" t="s">
        <v>922</v>
      </c>
      <c r="AA244" s="321" t="s">
        <v>923</v>
      </c>
      <c r="AB244" s="322"/>
      <c r="AC244" s="322"/>
      <c r="AD244" s="322"/>
      <c r="AE244" s="322"/>
      <c r="AF244" s="322"/>
      <c r="AG244" s="322"/>
      <c r="AH244" s="322">
        <f>70000000+20000000+20000000</f>
        <v>110000000</v>
      </c>
      <c r="AI244" s="322">
        <v>74964333</v>
      </c>
      <c r="AJ244" s="322">
        <v>74964333</v>
      </c>
      <c r="AK244" s="334"/>
      <c r="AL244" s="334"/>
      <c r="AM244" s="334"/>
      <c r="AN244" s="322"/>
      <c r="AO244" s="322"/>
      <c r="AP244" s="322"/>
      <c r="AQ244" s="322"/>
      <c r="AR244" s="322"/>
      <c r="AS244" s="322"/>
      <c r="AT244" s="343"/>
      <c r="AU244" s="342"/>
      <c r="AV244" s="342"/>
      <c r="AW244" s="323"/>
      <c r="AX244" s="322"/>
      <c r="AY244" s="322"/>
      <c r="AZ244" s="324"/>
      <c r="BA244" s="322"/>
      <c r="BB244" s="322"/>
      <c r="BC244" s="323"/>
      <c r="BD244" s="322"/>
      <c r="BE244" s="322"/>
      <c r="BF244" s="462">
        <f t="shared" si="26"/>
        <v>110000000</v>
      </c>
      <c r="BG244" s="462">
        <f t="shared" si="27"/>
        <v>74964333</v>
      </c>
      <c r="BH244" s="462">
        <f t="shared" si="28"/>
        <v>74964333</v>
      </c>
      <c r="BI244" s="332" t="s">
        <v>1473</v>
      </c>
      <c r="BK244" s="327"/>
      <c r="BL244" s="328"/>
    </row>
    <row r="245" spans="1:64" s="326" customFormat="1" ht="117" customHeight="1" x14ac:dyDescent="0.2">
      <c r="A245" s="312">
        <v>318</v>
      </c>
      <c r="B245" s="314" t="s">
        <v>1208</v>
      </c>
      <c r="C245" s="312">
        <v>1</v>
      </c>
      <c r="D245" s="314" t="s">
        <v>1200</v>
      </c>
      <c r="E245" s="312">
        <v>19</v>
      </c>
      <c r="F245" s="314" t="s">
        <v>122</v>
      </c>
      <c r="G245" s="312">
        <v>1905</v>
      </c>
      <c r="H245" s="314" t="s">
        <v>650</v>
      </c>
      <c r="I245" s="312">
        <v>1905</v>
      </c>
      <c r="J245" s="315" t="s">
        <v>1240</v>
      </c>
      <c r="K245" s="321" t="s">
        <v>920</v>
      </c>
      <c r="L245" s="312">
        <v>1905027</v>
      </c>
      <c r="M245" s="315" t="s">
        <v>927</v>
      </c>
      <c r="N245" s="312">
        <v>1905027</v>
      </c>
      <c r="O245" s="315" t="s">
        <v>927</v>
      </c>
      <c r="P245" s="329">
        <v>190502700</v>
      </c>
      <c r="Q245" s="315" t="s">
        <v>928</v>
      </c>
      <c r="R245" s="329">
        <v>190502700</v>
      </c>
      <c r="S245" s="316" t="s">
        <v>928</v>
      </c>
      <c r="T245" s="317" t="s">
        <v>1459</v>
      </c>
      <c r="U245" s="345">
        <v>12</v>
      </c>
      <c r="V245" s="345"/>
      <c r="W245" s="318">
        <f t="shared" si="25"/>
        <v>12</v>
      </c>
      <c r="X245" s="385">
        <v>12</v>
      </c>
      <c r="Y245" s="320">
        <v>2020003630127</v>
      </c>
      <c r="Z245" s="315" t="s">
        <v>922</v>
      </c>
      <c r="AA245" s="321" t="s">
        <v>923</v>
      </c>
      <c r="AB245" s="322"/>
      <c r="AC245" s="322"/>
      <c r="AD245" s="322"/>
      <c r="AE245" s="322"/>
      <c r="AF245" s="322"/>
      <c r="AG245" s="322"/>
      <c r="AH245" s="322">
        <f>75000000+90000000</f>
        <v>165000000</v>
      </c>
      <c r="AI245" s="322">
        <v>74870000</v>
      </c>
      <c r="AJ245" s="322">
        <v>74870000</v>
      </c>
      <c r="AK245" s="334"/>
      <c r="AL245" s="334"/>
      <c r="AM245" s="334"/>
      <c r="AN245" s="322"/>
      <c r="AO245" s="322"/>
      <c r="AP245" s="322"/>
      <c r="AQ245" s="322"/>
      <c r="AR245" s="322"/>
      <c r="AS245" s="322"/>
      <c r="AT245" s="343"/>
      <c r="AU245" s="342"/>
      <c r="AV245" s="342"/>
      <c r="AW245" s="323"/>
      <c r="AX245" s="322"/>
      <c r="AY245" s="322"/>
      <c r="AZ245" s="324"/>
      <c r="BA245" s="322"/>
      <c r="BB245" s="322"/>
      <c r="BC245" s="323"/>
      <c r="BD245" s="322"/>
      <c r="BE245" s="322"/>
      <c r="BF245" s="462">
        <f t="shared" si="26"/>
        <v>165000000</v>
      </c>
      <c r="BG245" s="462">
        <f t="shared" si="27"/>
        <v>74870000</v>
      </c>
      <c r="BH245" s="462">
        <f t="shared" si="28"/>
        <v>74870000</v>
      </c>
      <c r="BI245" s="332" t="s">
        <v>1473</v>
      </c>
      <c r="BK245" s="327"/>
      <c r="BL245" s="328"/>
    </row>
    <row r="246" spans="1:64" s="326" customFormat="1" ht="117" customHeight="1" x14ac:dyDescent="0.2">
      <c r="A246" s="312">
        <v>318</v>
      </c>
      <c r="B246" s="314" t="s">
        <v>1208</v>
      </c>
      <c r="C246" s="312">
        <v>1</v>
      </c>
      <c r="D246" s="314" t="s">
        <v>1200</v>
      </c>
      <c r="E246" s="312">
        <v>19</v>
      </c>
      <c r="F246" s="314" t="s">
        <v>122</v>
      </c>
      <c r="G246" s="312">
        <v>1905</v>
      </c>
      <c r="H246" s="314" t="s">
        <v>650</v>
      </c>
      <c r="I246" s="312">
        <v>1905</v>
      </c>
      <c r="J246" s="315" t="s">
        <v>1240</v>
      </c>
      <c r="K246" s="321" t="s">
        <v>929</v>
      </c>
      <c r="L246" s="312" t="s">
        <v>31</v>
      </c>
      <c r="M246" s="315" t="s">
        <v>896</v>
      </c>
      <c r="N246" s="312">
        <v>1905015</v>
      </c>
      <c r="O246" s="315" t="s">
        <v>297</v>
      </c>
      <c r="P246" s="312" t="s">
        <v>31</v>
      </c>
      <c r="Q246" s="316" t="s">
        <v>897</v>
      </c>
      <c r="R246" s="312">
        <v>190501500</v>
      </c>
      <c r="S246" s="316" t="s">
        <v>195</v>
      </c>
      <c r="T246" s="317" t="s">
        <v>1460</v>
      </c>
      <c r="U246" s="345">
        <v>4</v>
      </c>
      <c r="V246" s="345">
        <v>2</v>
      </c>
      <c r="W246" s="318">
        <f t="shared" si="25"/>
        <v>6</v>
      </c>
      <c r="X246" s="385">
        <v>11</v>
      </c>
      <c r="Y246" s="320">
        <v>2020003630128</v>
      </c>
      <c r="Z246" s="315" t="s">
        <v>930</v>
      </c>
      <c r="AA246" s="321" t="s">
        <v>1367</v>
      </c>
      <c r="AB246" s="322"/>
      <c r="AC246" s="322"/>
      <c r="AD246" s="322"/>
      <c r="AE246" s="322"/>
      <c r="AF246" s="322"/>
      <c r="AG246" s="322"/>
      <c r="AH246" s="322">
        <v>80000000</v>
      </c>
      <c r="AI246" s="322">
        <v>78886500</v>
      </c>
      <c r="AJ246" s="322">
        <v>78886500</v>
      </c>
      <c r="AK246" s="322"/>
      <c r="AL246" s="322"/>
      <c r="AM246" s="322"/>
      <c r="AN246" s="322"/>
      <c r="AO246" s="322"/>
      <c r="AP246" s="322"/>
      <c r="AQ246" s="322"/>
      <c r="AR246" s="322"/>
      <c r="AS246" s="322"/>
      <c r="AT246" s="343">
        <v>40000000</v>
      </c>
      <c r="AU246" s="342">
        <v>38582666</v>
      </c>
      <c r="AV246" s="342">
        <v>38582666</v>
      </c>
      <c r="AW246" s="323"/>
      <c r="AX246" s="322"/>
      <c r="AY246" s="322"/>
      <c r="AZ246" s="324"/>
      <c r="BA246" s="322"/>
      <c r="BB246" s="322"/>
      <c r="BC246" s="323"/>
      <c r="BD246" s="322"/>
      <c r="BE246" s="322"/>
      <c r="BF246" s="462">
        <f t="shared" si="26"/>
        <v>120000000</v>
      </c>
      <c r="BG246" s="462">
        <f t="shared" si="27"/>
        <v>117469166</v>
      </c>
      <c r="BH246" s="462">
        <f t="shared" si="28"/>
        <v>117469166</v>
      </c>
      <c r="BI246" s="332" t="s">
        <v>1473</v>
      </c>
      <c r="BK246" s="327"/>
      <c r="BL246" s="328"/>
    </row>
    <row r="247" spans="1:64" s="326" customFormat="1" ht="117" customHeight="1" x14ac:dyDescent="0.2">
      <c r="A247" s="312">
        <v>318</v>
      </c>
      <c r="B247" s="314" t="s">
        <v>1208</v>
      </c>
      <c r="C247" s="312">
        <v>1</v>
      </c>
      <c r="D247" s="314" t="s">
        <v>1200</v>
      </c>
      <c r="E247" s="312">
        <v>19</v>
      </c>
      <c r="F247" s="314" t="s">
        <v>122</v>
      </c>
      <c r="G247" s="312">
        <v>1905</v>
      </c>
      <c r="H247" s="314" t="s">
        <v>650</v>
      </c>
      <c r="I247" s="312">
        <v>1905</v>
      </c>
      <c r="J247" s="315" t="s">
        <v>1240</v>
      </c>
      <c r="K247" s="321" t="s">
        <v>924</v>
      </c>
      <c r="L247" s="312">
        <v>1905026</v>
      </c>
      <c r="M247" s="316" t="s">
        <v>925</v>
      </c>
      <c r="N247" s="312">
        <v>1905026</v>
      </c>
      <c r="O247" s="315" t="s">
        <v>925</v>
      </c>
      <c r="P247" s="329">
        <v>190502600</v>
      </c>
      <c r="Q247" s="316" t="s">
        <v>926</v>
      </c>
      <c r="R247" s="329">
        <v>190502600</v>
      </c>
      <c r="S247" s="316" t="s">
        <v>926</v>
      </c>
      <c r="T247" s="317" t="s">
        <v>1459</v>
      </c>
      <c r="U247" s="320">
        <v>12</v>
      </c>
      <c r="V247" s="320"/>
      <c r="W247" s="318">
        <f t="shared" si="25"/>
        <v>12</v>
      </c>
      <c r="X247" s="385">
        <v>12</v>
      </c>
      <c r="Y247" s="320">
        <v>2020003630128</v>
      </c>
      <c r="Z247" s="315" t="s">
        <v>930</v>
      </c>
      <c r="AA247" s="321" t="s">
        <v>1367</v>
      </c>
      <c r="AB247" s="322"/>
      <c r="AC247" s="322"/>
      <c r="AD247" s="322"/>
      <c r="AE247" s="322"/>
      <c r="AF247" s="322"/>
      <c r="AG247" s="322"/>
      <c r="AH247" s="322">
        <f>30000000+10000000+47478000</f>
        <v>87478000</v>
      </c>
      <c r="AI247" s="322">
        <v>68082500</v>
      </c>
      <c r="AJ247" s="322">
        <v>68082500</v>
      </c>
      <c r="AK247" s="322"/>
      <c r="AL247" s="322"/>
      <c r="AM247" s="322"/>
      <c r="AN247" s="334"/>
      <c r="AO247" s="334"/>
      <c r="AP247" s="334"/>
      <c r="AQ247" s="322"/>
      <c r="AR247" s="322"/>
      <c r="AS247" s="322"/>
      <c r="AT247" s="324">
        <f>130000000+31000000</f>
        <v>161000000</v>
      </c>
      <c r="AU247" s="322">
        <v>126279671</v>
      </c>
      <c r="AV247" s="322">
        <v>126279671</v>
      </c>
      <c r="AW247" s="323"/>
      <c r="AX247" s="322"/>
      <c r="AY247" s="322"/>
      <c r="AZ247" s="324"/>
      <c r="BA247" s="322"/>
      <c r="BB247" s="322"/>
      <c r="BC247" s="323">
        <v>232096860</v>
      </c>
      <c r="BD247" s="322">
        <v>217846202</v>
      </c>
      <c r="BE247" s="322">
        <v>217846202</v>
      </c>
      <c r="BF247" s="462">
        <f t="shared" si="26"/>
        <v>480574860</v>
      </c>
      <c r="BG247" s="462">
        <f t="shared" si="27"/>
        <v>412208373</v>
      </c>
      <c r="BH247" s="462">
        <f t="shared" si="28"/>
        <v>412208373</v>
      </c>
      <c r="BI247" s="332" t="s">
        <v>1473</v>
      </c>
      <c r="BK247" s="327"/>
      <c r="BL247" s="328"/>
    </row>
    <row r="248" spans="1:64" s="326" customFormat="1" ht="117" customHeight="1" x14ac:dyDescent="0.2">
      <c r="A248" s="312">
        <v>318</v>
      </c>
      <c r="B248" s="314" t="s">
        <v>1208</v>
      </c>
      <c r="C248" s="312">
        <v>1</v>
      </c>
      <c r="D248" s="314" t="s">
        <v>1200</v>
      </c>
      <c r="E248" s="312">
        <v>19</v>
      </c>
      <c r="F248" s="314" t="s">
        <v>122</v>
      </c>
      <c r="G248" s="312">
        <v>1905</v>
      </c>
      <c r="H248" s="314" t="s">
        <v>650</v>
      </c>
      <c r="I248" s="312">
        <v>1905</v>
      </c>
      <c r="J248" s="315" t="s">
        <v>1240</v>
      </c>
      <c r="K248" s="321" t="s">
        <v>818</v>
      </c>
      <c r="L248" s="312">
        <v>1905014</v>
      </c>
      <c r="M248" s="315" t="s">
        <v>68</v>
      </c>
      <c r="N248" s="312">
        <v>1905014</v>
      </c>
      <c r="O248" s="315" t="s">
        <v>68</v>
      </c>
      <c r="P248" s="312">
        <v>190501400</v>
      </c>
      <c r="Q248" s="315" t="s">
        <v>444</v>
      </c>
      <c r="R248" s="312">
        <v>190501400</v>
      </c>
      <c r="S248" s="316" t="s">
        <v>444</v>
      </c>
      <c r="T248" s="317" t="s">
        <v>1459</v>
      </c>
      <c r="U248" s="345">
        <v>12</v>
      </c>
      <c r="V248" s="345"/>
      <c r="W248" s="318">
        <f t="shared" si="25"/>
        <v>12</v>
      </c>
      <c r="X248" s="385">
        <v>12</v>
      </c>
      <c r="Y248" s="320">
        <v>2020003630129</v>
      </c>
      <c r="Z248" s="315" t="s">
        <v>1357</v>
      </c>
      <c r="AA248" s="321" t="s">
        <v>1366</v>
      </c>
      <c r="AB248" s="322"/>
      <c r="AC248" s="322"/>
      <c r="AD248" s="322"/>
      <c r="AE248" s="322"/>
      <c r="AF248" s="322"/>
      <c r="AG248" s="322"/>
      <c r="AH248" s="322">
        <f>45000000+9452467+1500000</f>
        <v>55952467</v>
      </c>
      <c r="AI248" s="322">
        <v>54630000</v>
      </c>
      <c r="AJ248" s="322">
        <v>54630000</v>
      </c>
      <c r="AK248" s="322"/>
      <c r="AL248" s="322"/>
      <c r="AM248" s="322"/>
      <c r="AN248" s="322"/>
      <c r="AO248" s="322"/>
      <c r="AP248" s="322"/>
      <c r="AQ248" s="322"/>
      <c r="AR248" s="322"/>
      <c r="AS248" s="322"/>
      <c r="AT248" s="343"/>
      <c r="AU248" s="342"/>
      <c r="AV248" s="342"/>
      <c r="AW248" s="323"/>
      <c r="AX248" s="322"/>
      <c r="AY248" s="322"/>
      <c r="AZ248" s="324"/>
      <c r="BA248" s="322"/>
      <c r="BB248" s="322"/>
      <c r="BC248" s="323"/>
      <c r="BD248" s="322"/>
      <c r="BE248" s="322"/>
      <c r="BF248" s="462">
        <f t="shared" si="26"/>
        <v>55952467</v>
      </c>
      <c r="BG248" s="462">
        <f t="shared" si="27"/>
        <v>54630000</v>
      </c>
      <c r="BH248" s="462">
        <f t="shared" si="28"/>
        <v>54630000</v>
      </c>
      <c r="BI248" s="332" t="s">
        <v>1473</v>
      </c>
      <c r="BK248" s="327"/>
      <c r="BL248" s="328"/>
    </row>
    <row r="249" spans="1:64" s="326" customFormat="1" ht="117" customHeight="1" x14ac:dyDescent="0.2">
      <c r="A249" s="312">
        <v>318</v>
      </c>
      <c r="B249" s="314" t="s">
        <v>1208</v>
      </c>
      <c r="C249" s="312">
        <v>1</v>
      </c>
      <c r="D249" s="314" t="s">
        <v>1200</v>
      </c>
      <c r="E249" s="312">
        <v>19</v>
      </c>
      <c r="F249" s="314" t="s">
        <v>122</v>
      </c>
      <c r="G249" s="312">
        <v>1905</v>
      </c>
      <c r="H249" s="314" t="s">
        <v>650</v>
      </c>
      <c r="I249" s="312">
        <v>1905</v>
      </c>
      <c r="J249" s="315" t="s">
        <v>1240</v>
      </c>
      <c r="K249" s="321" t="s">
        <v>924</v>
      </c>
      <c r="L249" s="329">
        <v>1905026</v>
      </c>
      <c r="M249" s="316" t="s">
        <v>925</v>
      </c>
      <c r="N249" s="312">
        <v>1905026</v>
      </c>
      <c r="O249" s="315" t="s">
        <v>932</v>
      </c>
      <c r="P249" s="329">
        <v>190502600</v>
      </c>
      <c r="Q249" s="316" t="s">
        <v>926</v>
      </c>
      <c r="R249" s="329">
        <v>190502600</v>
      </c>
      <c r="S249" s="316" t="s">
        <v>926</v>
      </c>
      <c r="T249" s="317" t="s">
        <v>1459</v>
      </c>
      <c r="U249" s="320">
        <v>12</v>
      </c>
      <c r="V249" s="320"/>
      <c r="W249" s="318">
        <f t="shared" si="25"/>
        <v>12</v>
      </c>
      <c r="X249" s="385">
        <v>12</v>
      </c>
      <c r="Y249" s="320">
        <v>2020003630129</v>
      </c>
      <c r="Z249" s="315" t="s">
        <v>1357</v>
      </c>
      <c r="AA249" s="321" t="s">
        <v>1366</v>
      </c>
      <c r="AB249" s="322"/>
      <c r="AC249" s="322"/>
      <c r="AD249" s="322"/>
      <c r="AE249" s="322"/>
      <c r="AF249" s="322"/>
      <c r="AG249" s="322"/>
      <c r="AH249" s="322"/>
      <c r="AI249" s="322"/>
      <c r="AJ249" s="322"/>
      <c r="AK249" s="322"/>
      <c r="AL249" s="322"/>
      <c r="AM249" s="322"/>
      <c r="AN249" s="322"/>
      <c r="AO249" s="322"/>
      <c r="AP249" s="322"/>
      <c r="AQ249" s="322"/>
      <c r="AR249" s="322"/>
      <c r="AS249" s="322"/>
      <c r="AT249" s="343"/>
      <c r="AU249" s="342"/>
      <c r="AV249" s="342"/>
      <c r="AW249" s="323"/>
      <c r="AX249" s="322"/>
      <c r="AY249" s="322"/>
      <c r="AZ249" s="324"/>
      <c r="BA249" s="322"/>
      <c r="BB249" s="322"/>
      <c r="BC249" s="323">
        <v>177530473</v>
      </c>
      <c r="BD249" s="322">
        <v>124086666</v>
      </c>
      <c r="BE249" s="322">
        <v>124086666</v>
      </c>
      <c r="BF249" s="462">
        <f t="shared" si="26"/>
        <v>177530473</v>
      </c>
      <c r="BG249" s="462">
        <f t="shared" si="27"/>
        <v>124086666</v>
      </c>
      <c r="BH249" s="462">
        <f t="shared" si="28"/>
        <v>124086666</v>
      </c>
      <c r="BI249" s="332" t="s">
        <v>1473</v>
      </c>
      <c r="BK249" s="327"/>
      <c r="BL249" s="328"/>
    </row>
    <row r="250" spans="1:64" s="326" customFormat="1" ht="117" customHeight="1" x14ac:dyDescent="0.2">
      <c r="A250" s="312">
        <v>318</v>
      </c>
      <c r="B250" s="314" t="s">
        <v>1208</v>
      </c>
      <c r="C250" s="312">
        <v>1</v>
      </c>
      <c r="D250" s="314" t="s">
        <v>1200</v>
      </c>
      <c r="E250" s="312">
        <v>19</v>
      </c>
      <c r="F250" s="314" t="s">
        <v>122</v>
      </c>
      <c r="G250" s="312">
        <v>1905</v>
      </c>
      <c r="H250" s="314" t="s">
        <v>650</v>
      </c>
      <c r="I250" s="312">
        <v>1905</v>
      </c>
      <c r="J250" s="315" t="s">
        <v>1240</v>
      </c>
      <c r="K250" s="321" t="s">
        <v>924</v>
      </c>
      <c r="L250" s="312">
        <v>1905026</v>
      </c>
      <c r="M250" s="316" t="s">
        <v>925</v>
      </c>
      <c r="N250" s="312">
        <v>1905026</v>
      </c>
      <c r="O250" s="315" t="s">
        <v>925</v>
      </c>
      <c r="P250" s="329">
        <v>190502600</v>
      </c>
      <c r="Q250" s="316" t="s">
        <v>926</v>
      </c>
      <c r="R250" s="329">
        <v>190502600</v>
      </c>
      <c r="S250" s="316" t="s">
        <v>926</v>
      </c>
      <c r="T250" s="317" t="s">
        <v>1459</v>
      </c>
      <c r="U250" s="320">
        <v>12</v>
      </c>
      <c r="V250" s="320"/>
      <c r="W250" s="318">
        <f t="shared" si="25"/>
        <v>12</v>
      </c>
      <c r="X250" s="385">
        <v>12</v>
      </c>
      <c r="Y250" s="320">
        <v>2020003630130</v>
      </c>
      <c r="Z250" s="412" t="s">
        <v>933</v>
      </c>
      <c r="AA250" s="321" t="s">
        <v>934</v>
      </c>
      <c r="AB250" s="322"/>
      <c r="AC250" s="322"/>
      <c r="AD250" s="322"/>
      <c r="AE250" s="322"/>
      <c r="AF250" s="322"/>
      <c r="AG250" s="322"/>
      <c r="AH250" s="322"/>
      <c r="AI250" s="322"/>
      <c r="AJ250" s="322"/>
      <c r="AK250" s="365"/>
      <c r="AL250" s="365"/>
      <c r="AM250" s="365"/>
      <c r="AN250" s="322"/>
      <c r="AO250" s="322"/>
      <c r="AP250" s="322"/>
      <c r="AQ250" s="322"/>
      <c r="AR250" s="322"/>
      <c r="AS250" s="322"/>
      <c r="AT250" s="343">
        <f>500000000-398675151+36000000+100000000+10000000+252675151-48165000</f>
        <v>451835000</v>
      </c>
      <c r="AU250" s="342">
        <v>420637039</v>
      </c>
      <c r="AV250" s="342">
        <v>415482039</v>
      </c>
      <c r="AW250" s="323"/>
      <c r="AX250" s="322"/>
      <c r="AY250" s="322"/>
      <c r="AZ250" s="324"/>
      <c r="BA250" s="322"/>
      <c r="BB250" s="322"/>
      <c r="BC250" s="323"/>
      <c r="BD250" s="322"/>
      <c r="BE250" s="322"/>
      <c r="BF250" s="462">
        <f t="shared" si="26"/>
        <v>451835000</v>
      </c>
      <c r="BG250" s="462">
        <f t="shared" si="27"/>
        <v>420637039</v>
      </c>
      <c r="BH250" s="462">
        <f t="shared" si="28"/>
        <v>415482039</v>
      </c>
      <c r="BI250" s="332" t="s">
        <v>1473</v>
      </c>
      <c r="BK250" s="327"/>
      <c r="BL250" s="328"/>
    </row>
    <row r="251" spans="1:64" s="326" customFormat="1" ht="117" customHeight="1" x14ac:dyDescent="0.2">
      <c r="A251" s="312">
        <v>318</v>
      </c>
      <c r="B251" s="314" t="s">
        <v>1208</v>
      </c>
      <c r="C251" s="312">
        <v>1</v>
      </c>
      <c r="D251" s="314" t="s">
        <v>1200</v>
      </c>
      <c r="E251" s="312">
        <v>19</v>
      </c>
      <c r="F251" s="314" t="s">
        <v>122</v>
      </c>
      <c r="G251" s="312">
        <v>1905</v>
      </c>
      <c r="H251" s="314" t="s">
        <v>650</v>
      </c>
      <c r="I251" s="312">
        <v>1905</v>
      </c>
      <c r="J251" s="315" t="s">
        <v>1240</v>
      </c>
      <c r="K251" s="321" t="s">
        <v>825</v>
      </c>
      <c r="L251" s="312">
        <v>1905029</v>
      </c>
      <c r="M251" s="315" t="s">
        <v>935</v>
      </c>
      <c r="N251" s="312">
        <v>1905030</v>
      </c>
      <c r="O251" s="315" t="s">
        <v>936</v>
      </c>
      <c r="P251" s="329">
        <v>190502900</v>
      </c>
      <c r="Q251" s="316" t="s">
        <v>937</v>
      </c>
      <c r="R251" s="329">
        <v>190503000</v>
      </c>
      <c r="S251" s="316" t="s">
        <v>937</v>
      </c>
      <c r="T251" s="317" t="s">
        <v>1459</v>
      </c>
      <c r="U251" s="345">
        <v>60</v>
      </c>
      <c r="V251" s="345"/>
      <c r="W251" s="318">
        <f t="shared" si="25"/>
        <v>60</v>
      </c>
      <c r="X251" s="385">
        <v>60</v>
      </c>
      <c r="Y251" s="320">
        <v>2020003630131</v>
      </c>
      <c r="Z251" s="412" t="s">
        <v>1171</v>
      </c>
      <c r="AA251" s="321" t="s">
        <v>938</v>
      </c>
      <c r="AB251" s="322"/>
      <c r="AC251" s="322"/>
      <c r="AD251" s="322"/>
      <c r="AE251" s="322"/>
      <c r="AF251" s="322"/>
      <c r="AG251" s="322"/>
      <c r="AH251" s="322">
        <v>20000000</v>
      </c>
      <c r="AI251" s="322">
        <v>14834167</v>
      </c>
      <c r="AJ251" s="322">
        <v>14834167</v>
      </c>
      <c r="AK251" s="322"/>
      <c r="AL251" s="322"/>
      <c r="AM251" s="322"/>
      <c r="AN251" s="322"/>
      <c r="AO251" s="322"/>
      <c r="AP251" s="322"/>
      <c r="AQ251" s="322"/>
      <c r="AR251" s="322"/>
      <c r="AS251" s="322"/>
      <c r="AT251" s="343"/>
      <c r="AU251" s="342"/>
      <c r="AV251" s="342"/>
      <c r="AW251" s="323"/>
      <c r="AX251" s="322"/>
      <c r="AY251" s="322"/>
      <c r="AZ251" s="324"/>
      <c r="BA251" s="322"/>
      <c r="BB251" s="322"/>
      <c r="BC251" s="323"/>
      <c r="BD251" s="322"/>
      <c r="BE251" s="322"/>
      <c r="BF251" s="462">
        <f t="shared" si="26"/>
        <v>20000000</v>
      </c>
      <c r="BG251" s="462">
        <f t="shared" si="27"/>
        <v>14834167</v>
      </c>
      <c r="BH251" s="462">
        <f t="shared" si="28"/>
        <v>14834167</v>
      </c>
      <c r="BI251" s="332" t="s">
        <v>1473</v>
      </c>
      <c r="BK251" s="327"/>
      <c r="BL251" s="328"/>
    </row>
    <row r="252" spans="1:64" s="326" customFormat="1" ht="117" customHeight="1" x14ac:dyDescent="0.2">
      <c r="A252" s="312">
        <v>318</v>
      </c>
      <c r="B252" s="314" t="s">
        <v>1208</v>
      </c>
      <c r="C252" s="312">
        <v>1</v>
      </c>
      <c r="D252" s="314" t="s">
        <v>1200</v>
      </c>
      <c r="E252" s="312">
        <v>19</v>
      </c>
      <c r="F252" s="314" t="s">
        <v>122</v>
      </c>
      <c r="G252" s="312">
        <v>1905</v>
      </c>
      <c r="H252" s="314" t="s">
        <v>650</v>
      </c>
      <c r="I252" s="312">
        <v>1905</v>
      </c>
      <c r="J252" s="315" t="s">
        <v>1240</v>
      </c>
      <c r="K252" s="321" t="s">
        <v>860</v>
      </c>
      <c r="L252" s="312">
        <v>1905025</v>
      </c>
      <c r="M252" s="315" t="s">
        <v>939</v>
      </c>
      <c r="N252" s="312">
        <v>1905025</v>
      </c>
      <c r="O252" s="315" t="s">
        <v>939</v>
      </c>
      <c r="P252" s="329">
        <v>190502500</v>
      </c>
      <c r="Q252" s="316" t="s">
        <v>940</v>
      </c>
      <c r="R252" s="329">
        <v>190502500</v>
      </c>
      <c r="S252" s="316" t="s">
        <v>940</v>
      </c>
      <c r="T252" s="317" t="s">
        <v>1459</v>
      </c>
      <c r="U252" s="345">
        <v>12</v>
      </c>
      <c r="V252" s="345"/>
      <c r="W252" s="318">
        <f t="shared" si="25"/>
        <v>12</v>
      </c>
      <c r="X252" s="385">
        <v>12</v>
      </c>
      <c r="Y252" s="320">
        <v>2020003630132</v>
      </c>
      <c r="Z252" s="412" t="s">
        <v>1358</v>
      </c>
      <c r="AA252" s="321" t="s">
        <v>942</v>
      </c>
      <c r="AB252" s="322"/>
      <c r="AC252" s="322"/>
      <c r="AD252" s="322"/>
      <c r="AE252" s="322"/>
      <c r="AF252" s="322"/>
      <c r="AG252" s="322"/>
      <c r="AH252" s="322">
        <f>85000000+8077333</f>
        <v>93077333</v>
      </c>
      <c r="AI252" s="322">
        <v>85284607</v>
      </c>
      <c r="AJ252" s="322">
        <v>85284607</v>
      </c>
      <c r="AK252" s="322"/>
      <c r="AL252" s="322"/>
      <c r="AM252" s="322"/>
      <c r="AN252" s="322"/>
      <c r="AO252" s="322"/>
      <c r="AP252" s="322"/>
      <c r="AQ252" s="322"/>
      <c r="AR252" s="322"/>
      <c r="AS252" s="322"/>
      <c r="AT252" s="343"/>
      <c r="AU252" s="342"/>
      <c r="AV252" s="342"/>
      <c r="AW252" s="323"/>
      <c r="AX252" s="322"/>
      <c r="AY252" s="322"/>
      <c r="AZ252" s="324"/>
      <c r="BA252" s="322"/>
      <c r="BB252" s="322"/>
      <c r="BC252" s="323"/>
      <c r="BD252" s="322"/>
      <c r="BE252" s="322"/>
      <c r="BF252" s="462">
        <f t="shared" si="26"/>
        <v>93077333</v>
      </c>
      <c r="BG252" s="462">
        <f t="shared" si="27"/>
        <v>85284607</v>
      </c>
      <c r="BH252" s="462">
        <f t="shared" si="28"/>
        <v>85284607</v>
      </c>
      <c r="BI252" s="332" t="s">
        <v>1473</v>
      </c>
      <c r="BK252" s="327"/>
      <c r="BL252" s="328"/>
    </row>
    <row r="253" spans="1:64" s="326" customFormat="1" ht="117" customHeight="1" x14ac:dyDescent="0.2">
      <c r="A253" s="312">
        <v>318</v>
      </c>
      <c r="B253" s="314" t="s">
        <v>1208</v>
      </c>
      <c r="C253" s="312">
        <v>1</v>
      </c>
      <c r="D253" s="314" t="s">
        <v>1200</v>
      </c>
      <c r="E253" s="312">
        <v>19</v>
      </c>
      <c r="F253" s="314" t="s">
        <v>122</v>
      </c>
      <c r="G253" s="312">
        <v>1905</v>
      </c>
      <c r="H253" s="314" t="s">
        <v>650</v>
      </c>
      <c r="I253" s="312">
        <v>1905</v>
      </c>
      <c r="J253" s="315" t="s">
        <v>1240</v>
      </c>
      <c r="K253" s="321" t="s">
        <v>829</v>
      </c>
      <c r="L253" s="312">
        <v>1905015</v>
      </c>
      <c r="M253" s="315" t="s">
        <v>193</v>
      </c>
      <c r="N253" s="312">
        <v>1905015</v>
      </c>
      <c r="O253" s="315" t="s">
        <v>193</v>
      </c>
      <c r="P253" s="312">
        <v>190501503</v>
      </c>
      <c r="Q253" s="316" t="s">
        <v>943</v>
      </c>
      <c r="R253" s="312">
        <v>190501503</v>
      </c>
      <c r="S253" s="316" t="s">
        <v>943</v>
      </c>
      <c r="T253" s="317" t="s">
        <v>1459</v>
      </c>
      <c r="U253" s="345">
        <v>15</v>
      </c>
      <c r="V253" s="345"/>
      <c r="W253" s="318">
        <f t="shared" si="25"/>
        <v>15</v>
      </c>
      <c r="X253" s="385">
        <v>15</v>
      </c>
      <c r="Y253" s="320">
        <v>2020003630133</v>
      </c>
      <c r="Z253" s="412" t="s">
        <v>1359</v>
      </c>
      <c r="AA253" s="321" t="s">
        <v>945</v>
      </c>
      <c r="AB253" s="322"/>
      <c r="AC253" s="322"/>
      <c r="AD253" s="322"/>
      <c r="AE253" s="322"/>
      <c r="AF253" s="322"/>
      <c r="AG253" s="322"/>
      <c r="AH253" s="331">
        <f>320000000+98400120+19276883+29000000</f>
        <v>466677003</v>
      </c>
      <c r="AI253" s="331">
        <v>466045000</v>
      </c>
      <c r="AJ253" s="331">
        <v>431025000</v>
      </c>
      <c r="AK253" s="322"/>
      <c r="AL253" s="322"/>
      <c r="AM253" s="322"/>
      <c r="AN253" s="322"/>
      <c r="AO253" s="322"/>
      <c r="AP253" s="322"/>
      <c r="AQ253" s="322"/>
      <c r="AR253" s="322"/>
      <c r="AS253" s="322"/>
      <c r="AT253" s="343">
        <f>80000000+52000000</f>
        <v>132000000</v>
      </c>
      <c r="AU253" s="342">
        <v>106828599</v>
      </c>
      <c r="AV253" s="342">
        <v>103528599</v>
      </c>
      <c r="AW253" s="323"/>
      <c r="AX253" s="322"/>
      <c r="AY253" s="322"/>
      <c r="AZ253" s="324"/>
      <c r="BA253" s="322"/>
      <c r="BB253" s="322"/>
      <c r="BC253" s="323"/>
      <c r="BD253" s="322"/>
      <c r="BE253" s="322"/>
      <c r="BF253" s="462">
        <f t="shared" si="26"/>
        <v>598677003</v>
      </c>
      <c r="BG253" s="462">
        <f t="shared" si="27"/>
        <v>572873599</v>
      </c>
      <c r="BH253" s="462">
        <f t="shared" si="28"/>
        <v>534553599</v>
      </c>
      <c r="BI253" s="332" t="s">
        <v>1473</v>
      </c>
      <c r="BK253" s="327"/>
      <c r="BL253" s="328"/>
    </row>
    <row r="254" spans="1:64" s="326" customFormat="1" ht="117" customHeight="1" x14ac:dyDescent="0.2">
      <c r="A254" s="312">
        <v>318</v>
      </c>
      <c r="B254" s="314" t="s">
        <v>1208</v>
      </c>
      <c r="C254" s="312">
        <v>1</v>
      </c>
      <c r="D254" s="314" t="s">
        <v>1200</v>
      </c>
      <c r="E254" s="312">
        <v>19</v>
      </c>
      <c r="F254" s="314" t="s">
        <v>122</v>
      </c>
      <c r="G254" s="312">
        <v>1905</v>
      </c>
      <c r="H254" s="314" t="s">
        <v>650</v>
      </c>
      <c r="I254" s="312">
        <v>1905</v>
      </c>
      <c r="J254" s="315" t="s">
        <v>1240</v>
      </c>
      <c r="K254" s="321" t="s">
        <v>946</v>
      </c>
      <c r="L254" s="312" t="s">
        <v>31</v>
      </c>
      <c r="M254" s="315" t="s">
        <v>947</v>
      </c>
      <c r="N254" s="312">
        <v>1905009</v>
      </c>
      <c r="O254" s="315" t="s">
        <v>948</v>
      </c>
      <c r="P254" s="312" t="s">
        <v>31</v>
      </c>
      <c r="Q254" s="316" t="s">
        <v>949</v>
      </c>
      <c r="R254" s="312" t="s">
        <v>950</v>
      </c>
      <c r="S254" s="316" t="s">
        <v>951</v>
      </c>
      <c r="T254" s="317" t="s">
        <v>1459</v>
      </c>
      <c r="U254" s="345">
        <v>1</v>
      </c>
      <c r="V254" s="345"/>
      <c r="W254" s="318">
        <f t="shared" si="25"/>
        <v>1</v>
      </c>
      <c r="X254" s="385">
        <v>1</v>
      </c>
      <c r="Y254" s="320">
        <v>2020003630134</v>
      </c>
      <c r="Z254" s="412" t="s">
        <v>952</v>
      </c>
      <c r="AA254" s="321" t="s">
        <v>953</v>
      </c>
      <c r="AB254" s="322"/>
      <c r="AC254" s="322"/>
      <c r="AD254" s="322"/>
      <c r="AE254" s="322"/>
      <c r="AF254" s="322"/>
      <c r="AG254" s="322"/>
      <c r="AH254" s="322"/>
      <c r="AI254" s="322"/>
      <c r="AJ254" s="322"/>
      <c r="AK254" s="346"/>
      <c r="AL254" s="346"/>
      <c r="AM254" s="346"/>
      <c r="AN254" s="322"/>
      <c r="AO254" s="322"/>
      <c r="AP254" s="322"/>
      <c r="AQ254" s="322"/>
      <c r="AR254" s="322"/>
      <c r="AS254" s="322"/>
      <c r="AT254" s="343">
        <f>300000000+54900000+45000000</f>
        <v>399900000</v>
      </c>
      <c r="AU254" s="342">
        <v>387176318</v>
      </c>
      <c r="AV254" s="342">
        <v>344108818</v>
      </c>
      <c r="AW254" s="323"/>
      <c r="AX254" s="322"/>
      <c r="AY254" s="322"/>
      <c r="AZ254" s="324"/>
      <c r="BA254" s="322"/>
      <c r="BB254" s="322"/>
      <c r="BC254" s="323"/>
      <c r="BD254" s="322"/>
      <c r="BE254" s="322"/>
      <c r="BF254" s="462">
        <f t="shared" si="26"/>
        <v>399900000</v>
      </c>
      <c r="BG254" s="462">
        <f t="shared" si="27"/>
        <v>387176318</v>
      </c>
      <c r="BH254" s="462">
        <f t="shared" si="28"/>
        <v>344108818</v>
      </c>
      <c r="BI254" s="332" t="s">
        <v>1473</v>
      </c>
      <c r="BK254" s="327"/>
      <c r="BL254" s="328"/>
    </row>
    <row r="255" spans="1:64" s="326" customFormat="1" ht="117" customHeight="1" x14ac:dyDescent="0.2">
      <c r="A255" s="312">
        <v>318</v>
      </c>
      <c r="B255" s="314" t="s">
        <v>1208</v>
      </c>
      <c r="C255" s="312">
        <v>1</v>
      </c>
      <c r="D255" s="314" t="s">
        <v>1200</v>
      </c>
      <c r="E255" s="312">
        <v>19</v>
      </c>
      <c r="F255" s="314" t="s">
        <v>122</v>
      </c>
      <c r="G255" s="312">
        <v>1905</v>
      </c>
      <c r="H255" s="314" t="s">
        <v>650</v>
      </c>
      <c r="I255" s="312">
        <v>1905</v>
      </c>
      <c r="J255" s="315" t="s">
        <v>1240</v>
      </c>
      <c r="K255" s="384" t="s">
        <v>815</v>
      </c>
      <c r="L255" s="312">
        <v>1905031</v>
      </c>
      <c r="M255" s="316" t="s">
        <v>877</v>
      </c>
      <c r="N255" s="388">
        <v>1905031</v>
      </c>
      <c r="O255" s="315" t="s">
        <v>877</v>
      </c>
      <c r="P255" s="388">
        <v>190503100</v>
      </c>
      <c r="Q255" s="316" t="s">
        <v>878</v>
      </c>
      <c r="R255" s="312">
        <v>190503100</v>
      </c>
      <c r="S255" s="316" t="s">
        <v>878</v>
      </c>
      <c r="T255" s="317" t="s">
        <v>1459</v>
      </c>
      <c r="U255" s="345">
        <v>12</v>
      </c>
      <c r="V255" s="345"/>
      <c r="W255" s="318">
        <f t="shared" si="25"/>
        <v>12</v>
      </c>
      <c r="X255" s="385">
        <v>11</v>
      </c>
      <c r="Y255" s="320">
        <v>2020003630135</v>
      </c>
      <c r="Z255" s="412" t="s">
        <v>954</v>
      </c>
      <c r="AA255" s="321" t="s">
        <v>955</v>
      </c>
      <c r="AB255" s="322"/>
      <c r="AC255" s="322"/>
      <c r="AD255" s="322"/>
      <c r="AE255" s="322"/>
      <c r="AF255" s="322"/>
      <c r="AG255" s="322"/>
      <c r="AH255" s="322">
        <f>1282454279.1+302759625+102548000-705793904.1+1005793904.1+260000000-64210500</f>
        <v>2183551404.0999999</v>
      </c>
      <c r="AI255" s="322">
        <v>1747063038</v>
      </c>
      <c r="AJ255" s="322">
        <v>1544178038</v>
      </c>
      <c r="AK255" s="322"/>
      <c r="AL255" s="322"/>
      <c r="AM255" s="322"/>
      <c r="AN255" s="322"/>
      <c r="AO255" s="322"/>
      <c r="AP255" s="322"/>
      <c r="AQ255" s="322"/>
      <c r="AR255" s="322"/>
      <c r="AS255" s="322"/>
      <c r="AT255" s="343"/>
      <c r="AU255" s="342"/>
      <c r="AV255" s="342"/>
      <c r="AW255" s="323"/>
      <c r="AX255" s="322"/>
      <c r="AY255" s="322"/>
      <c r="AZ255" s="324"/>
      <c r="BA255" s="322"/>
      <c r="BB255" s="322"/>
      <c r="BC255" s="323"/>
      <c r="BD255" s="322"/>
      <c r="BE255" s="322"/>
      <c r="BF255" s="462">
        <f t="shared" si="26"/>
        <v>2183551404.0999999</v>
      </c>
      <c r="BG255" s="462">
        <f t="shared" si="27"/>
        <v>1747063038</v>
      </c>
      <c r="BH255" s="462">
        <f t="shared" si="28"/>
        <v>1544178038</v>
      </c>
      <c r="BI255" s="332" t="s">
        <v>1473</v>
      </c>
      <c r="BK255" s="327"/>
      <c r="BL255" s="328"/>
    </row>
    <row r="256" spans="1:64" s="326" customFormat="1" ht="117" customHeight="1" x14ac:dyDescent="0.2">
      <c r="A256" s="312">
        <v>318</v>
      </c>
      <c r="B256" s="314" t="s">
        <v>1208</v>
      </c>
      <c r="C256" s="312">
        <v>1</v>
      </c>
      <c r="D256" s="314" t="s">
        <v>1200</v>
      </c>
      <c r="E256" s="312">
        <v>19</v>
      </c>
      <c r="F256" s="314" t="s">
        <v>122</v>
      </c>
      <c r="G256" s="312">
        <v>1906</v>
      </c>
      <c r="H256" s="314" t="s">
        <v>1215</v>
      </c>
      <c r="I256" s="312">
        <v>1906</v>
      </c>
      <c r="J256" s="315" t="s">
        <v>1216</v>
      </c>
      <c r="K256" s="321" t="s">
        <v>958</v>
      </c>
      <c r="L256" s="312" t="s">
        <v>31</v>
      </c>
      <c r="M256" s="315" t="s">
        <v>959</v>
      </c>
      <c r="N256" s="312">
        <v>1906023</v>
      </c>
      <c r="O256" s="315" t="s">
        <v>960</v>
      </c>
      <c r="P256" s="312" t="s">
        <v>31</v>
      </c>
      <c r="Q256" s="315" t="s">
        <v>961</v>
      </c>
      <c r="R256" s="312">
        <v>190602300</v>
      </c>
      <c r="S256" s="316" t="s">
        <v>962</v>
      </c>
      <c r="T256" s="317" t="s">
        <v>1459</v>
      </c>
      <c r="U256" s="345">
        <v>19899</v>
      </c>
      <c r="V256" s="345"/>
      <c r="W256" s="318">
        <f t="shared" si="25"/>
        <v>19899</v>
      </c>
      <c r="X256" s="385">
        <v>272826</v>
      </c>
      <c r="Y256" s="320">
        <v>2020003630136</v>
      </c>
      <c r="Z256" s="412" t="s">
        <v>956</v>
      </c>
      <c r="AA256" s="321" t="s">
        <v>957</v>
      </c>
      <c r="AB256" s="322"/>
      <c r="AC256" s="322"/>
      <c r="AD256" s="322"/>
      <c r="AE256" s="322">
        <f>3929163384-3929163384</f>
        <v>0</v>
      </c>
      <c r="AF256" s="322"/>
      <c r="AG256" s="322"/>
      <c r="AH256" s="322"/>
      <c r="AI256" s="322"/>
      <c r="AJ256" s="322"/>
      <c r="AK256" s="371">
        <f>4200828874+7157581679+1640264244+1327550400+742627190+425625593+13600000+393715436+1021550853+625149620+1679821678+3749209145+4269680335+8180037495.7+3926845415.95+5000000000</f>
        <v>44354087958.649994</v>
      </c>
      <c r="AL256" s="371">
        <v>42500369742.260002</v>
      </c>
      <c r="AM256" s="371">
        <v>42500369742.260002</v>
      </c>
      <c r="AN256" s="322"/>
      <c r="AO256" s="322"/>
      <c r="AP256" s="322"/>
      <c r="AQ256" s="322"/>
      <c r="AR256" s="322"/>
      <c r="AS256" s="322"/>
      <c r="AT256" s="343"/>
      <c r="AU256" s="342"/>
      <c r="AV256" s="342"/>
      <c r="AW256" s="323"/>
      <c r="AX256" s="322"/>
      <c r="AY256" s="322"/>
      <c r="AZ256" s="324"/>
      <c r="BA256" s="322"/>
      <c r="BB256" s="322"/>
      <c r="BC256" s="323"/>
      <c r="BD256" s="322"/>
      <c r="BE256" s="322"/>
      <c r="BF256" s="462">
        <f t="shared" si="26"/>
        <v>44354087958.649994</v>
      </c>
      <c r="BG256" s="462">
        <f t="shared" si="27"/>
        <v>42500369742.260002</v>
      </c>
      <c r="BH256" s="462">
        <f t="shared" si="28"/>
        <v>42500369742.260002</v>
      </c>
      <c r="BI256" s="332" t="s">
        <v>1473</v>
      </c>
      <c r="BK256" s="327"/>
      <c r="BL256" s="328"/>
    </row>
    <row r="257" spans="1:65" s="326" customFormat="1" ht="117" customHeight="1" x14ac:dyDescent="0.2">
      <c r="A257" s="312">
        <v>318</v>
      </c>
      <c r="B257" s="314" t="s">
        <v>1208</v>
      </c>
      <c r="C257" s="312">
        <v>1</v>
      </c>
      <c r="D257" s="314" t="s">
        <v>1200</v>
      </c>
      <c r="E257" s="312">
        <v>19</v>
      </c>
      <c r="F257" s="314" t="s">
        <v>122</v>
      </c>
      <c r="G257" s="312">
        <v>1906</v>
      </c>
      <c r="H257" s="314" t="s">
        <v>1215</v>
      </c>
      <c r="I257" s="312">
        <v>1906</v>
      </c>
      <c r="J257" s="315" t="s">
        <v>1216</v>
      </c>
      <c r="K257" s="384" t="s">
        <v>844</v>
      </c>
      <c r="L257" s="312" t="s">
        <v>31</v>
      </c>
      <c r="M257" s="315" t="s">
        <v>963</v>
      </c>
      <c r="N257" s="312">
        <v>1906023</v>
      </c>
      <c r="O257" s="315" t="s">
        <v>960</v>
      </c>
      <c r="P257" s="312" t="s">
        <v>31</v>
      </c>
      <c r="Q257" s="316" t="s">
        <v>964</v>
      </c>
      <c r="R257" s="329">
        <v>190602301</v>
      </c>
      <c r="S257" s="316" t="s">
        <v>965</v>
      </c>
      <c r="T257" s="317" t="s">
        <v>1459</v>
      </c>
      <c r="U257" s="345">
        <v>60</v>
      </c>
      <c r="V257" s="345"/>
      <c r="W257" s="318">
        <f t="shared" si="25"/>
        <v>60</v>
      </c>
      <c r="X257" s="385">
        <v>128</v>
      </c>
      <c r="Y257" s="320">
        <v>2020003630137</v>
      </c>
      <c r="Z257" s="315" t="s">
        <v>1172</v>
      </c>
      <c r="AA257" s="321" t="s">
        <v>966</v>
      </c>
      <c r="AB257" s="322"/>
      <c r="AC257" s="322"/>
      <c r="AD257" s="322"/>
      <c r="AE257" s="322"/>
      <c r="AF257" s="322"/>
      <c r="AG257" s="322"/>
      <c r="AH257" s="322"/>
      <c r="AI257" s="322"/>
      <c r="AJ257" s="322"/>
      <c r="AK257" s="371">
        <v>917764010</v>
      </c>
      <c r="AL257" s="371">
        <v>917764010</v>
      </c>
      <c r="AM257" s="371">
        <v>917764010</v>
      </c>
      <c r="AN257" s="322"/>
      <c r="AO257" s="322"/>
      <c r="AP257" s="322"/>
      <c r="AQ257" s="322"/>
      <c r="AR257" s="322"/>
      <c r="AS257" s="322"/>
      <c r="AT257" s="343"/>
      <c r="AU257" s="342"/>
      <c r="AV257" s="342"/>
      <c r="AW257" s="323"/>
      <c r="AX257" s="322"/>
      <c r="AY257" s="322"/>
      <c r="AZ257" s="324"/>
      <c r="BA257" s="322"/>
      <c r="BB257" s="322"/>
      <c r="BC257" s="323">
        <f>1485182577.2+0.8+417055422+332594127</f>
        <v>2234832127</v>
      </c>
      <c r="BD257" s="322">
        <v>2062415010</v>
      </c>
      <c r="BE257" s="322">
        <v>1840342432</v>
      </c>
      <c r="BF257" s="462">
        <f t="shared" si="26"/>
        <v>3152596137</v>
      </c>
      <c r="BG257" s="462">
        <f t="shared" si="27"/>
        <v>2980179020</v>
      </c>
      <c r="BH257" s="462">
        <f t="shared" si="28"/>
        <v>2758106442</v>
      </c>
      <c r="BI257" s="332" t="s">
        <v>1473</v>
      </c>
      <c r="BK257" s="327"/>
      <c r="BL257" s="328"/>
    </row>
    <row r="258" spans="1:65" s="326" customFormat="1" ht="117" customHeight="1" x14ac:dyDescent="0.2">
      <c r="A258" s="312">
        <v>318</v>
      </c>
      <c r="B258" s="314" t="s">
        <v>1208</v>
      </c>
      <c r="C258" s="312">
        <v>1</v>
      </c>
      <c r="D258" s="314" t="s">
        <v>1200</v>
      </c>
      <c r="E258" s="312">
        <v>19</v>
      </c>
      <c r="F258" s="314" t="s">
        <v>122</v>
      </c>
      <c r="G258" s="312">
        <v>1906</v>
      </c>
      <c r="H258" s="314" t="s">
        <v>1215</v>
      </c>
      <c r="I258" s="312">
        <v>1906</v>
      </c>
      <c r="J258" s="315" t="s">
        <v>1216</v>
      </c>
      <c r="K258" s="321" t="s">
        <v>958</v>
      </c>
      <c r="L258" s="312" t="s">
        <v>31</v>
      </c>
      <c r="M258" s="315" t="s">
        <v>967</v>
      </c>
      <c r="N258" s="312">
        <v>1906025</v>
      </c>
      <c r="O258" s="315" t="s">
        <v>968</v>
      </c>
      <c r="P258" s="312" t="s">
        <v>31</v>
      </c>
      <c r="Q258" s="316" t="s">
        <v>969</v>
      </c>
      <c r="R258" s="312">
        <v>190602500</v>
      </c>
      <c r="S258" s="316" t="s">
        <v>970</v>
      </c>
      <c r="T258" s="317" t="s">
        <v>1459</v>
      </c>
      <c r="U258" s="345">
        <v>100</v>
      </c>
      <c r="V258" s="345"/>
      <c r="W258" s="318">
        <f t="shared" si="25"/>
        <v>100</v>
      </c>
      <c r="X258" s="385">
        <v>100</v>
      </c>
      <c r="Y258" s="320">
        <v>2020003630137</v>
      </c>
      <c r="Z258" s="412" t="s">
        <v>1172</v>
      </c>
      <c r="AA258" s="321" t="s">
        <v>966</v>
      </c>
      <c r="AB258" s="322"/>
      <c r="AC258" s="322"/>
      <c r="AD258" s="322"/>
      <c r="AE258" s="322">
        <f>400000000+100000000-500000000</f>
        <v>0</v>
      </c>
      <c r="AF258" s="322">
        <v>0</v>
      </c>
      <c r="AG258" s="322">
        <v>0</v>
      </c>
      <c r="AH258" s="322">
        <f>1724393294+1000000+31823996</f>
        <v>1757217290</v>
      </c>
      <c r="AI258" s="322">
        <v>1627922685</v>
      </c>
      <c r="AJ258" s="322">
        <v>1627922685</v>
      </c>
      <c r="AK258" s="322"/>
      <c r="AL258" s="322"/>
      <c r="AM258" s="322"/>
      <c r="AN258" s="322"/>
      <c r="AO258" s="322"/>
      <c r="AP258" s="322"/>
      <c r="AQ258" s="322"/>
      <c r="AR258" s="322"/>
      <c r="AS258" s="322"/>
      <c r="AT258" s="343">
        <v>40000000</v>
      </c>
      <c r="AU258" s="342">
        <v>40000000</v>
      </c>
      <c r="AV258" s="342">
        <v>40000000</v>
      </c>
      <c r="AW258" s="323"/>
      <c r="AX258" s="322"/>
      <c r="AY258" s="322"/>
      <c r="AZ258" s="324"/>
      <c r="BA258" s="322"/>
      <c r="BB258" s="322"/>
      <c r="BC258" s="323"/>
      <c r="BD258" s="322"/>
      <c r="BE258" s="322"/>
      <c r="BF258" s="462">
        <f t="shared" si="26"/>
        <v>1797217290</v>
      </c>
      <c r="BG258" s="462">
        <f t="shared" si="27"/>
        <v>1667922685</v>
      </c>
      <c r="BH258" s="462">
        <f t="shared" si="28"/>
        <v>1667922685</v>
      </c>
      <c r="BI258" s="332" t="s">
        <v>1473</v>
      </c>
      <c r="BK258" s="327"/>
      <c r="BL258" s="328"/>
    </row>
    <row r="259" spans="1:65" s="326" customFormat="1" ht="117" customHeight="1" x14ac:dyDescent="0.2">
      <c r="A259" s="312">
        <v>318</v>
      </c>
      <c r="B259" s="314" t="s">
        <v>1208</v>
      </c>
      <c r="C259" s="312">
        <v>1</v>
      </c>
      <c r="D259" s="314" t="s">
        <v>1200</v>
      </c>
      <c r="E259" s="312">
        <v>19</v>
      </c>
      <c r="F259" s="314" t="s">
        <v>122</v>
      </c>
      <c r="G259" s="312">
        <v>1906</v>
      </c>
      <c r="H259" s="314" t="s">
        <v>1215</v>
      </c>
      <c r="I259" s="312">
        <v>1906</v>
      </c>
      <c r="J259" s="315" t="s">
        <v>1216</v>
      </c>
      <c r="K259" s="321" t="s">
        <v>958</v>
      </c>
      <c r="L259" s="312" t="s">
        <v>31</v>
      </c>
      <c r="M259" s="315" t="s">
        <v>971</v>
      </c>
      <c r="N259" s="312">
        <v>1906025</v>
      </c>
      <c r="O259" s="315" t="s">
        <v>968</v>
      </c>
      <c r="P259" s="312" t="s">
        <v>31</v>
      </c>
      <c r="Q259" s="316" t="s">
        <v>972</v>
      </c>
      <c r="R259" s="312">
        <v>190602500</v>
      </c>
      <c r="S259" s="316" t="s">
        <v>970</v>
      </c>
      <c r="T259" s="317" t="s">
        <v>1459</v>
      </c>
      <c r="U259" s="345">
        <v>100</v>
      </c>
      <c r="V259" s="345"/>
      <c r="W259" s="318">
        <f t="shared" si="25"/>
        <v>100</v>
      </c>
      <c r="X259" s="385">
        <v>100</v>
      </c>
      <c r="Y259" s="320">
        <v>2020003630137</v>
      </c>
      <c r="Z259" s="412" t="s">
        <v>1172</v>
      </c>
      <c r="AA259" s="321" t="s">
        <v>966</v>
      </c>
      <c r="AB259" s="322"/>
      <c r="AC259" s="322"/>
      <c r="AD259" s="322"/>
      <c r="AE259" s="322">
        <f>1964581691-1964581691+159888430.18</f>
        <v>159888430.18000001</v>
      </c>
      <c r="AF259" s="322">
        <v>159888430.18000001</v>
      </c>
      <c r="AG259" s="322">
        <v>159888430.18000001</v>
      </c>
      <c r="AH259" s="322">
        <f>1889.57+144394752.27</f>
        <v>144396641.84</v>
      </c>
      <c r="AI259" s="322">
        <v>144396641.84</v>
      </c>
      <c r="AJ259" s="322">
        <v>144396641.84</v>
      </c>
      <c r="AK259" s="322">
        <f>1000000+820132122+340516951+839910839+1624064740+27051355.4+1165629392.29+1104800028.08</f>
        <v>5923105427.7700005</v>
      </c>
      <c r="AL259" s="322">
        <v>5923105427.7700005</v>
      </c>
      <c r="AM259" s="322">
        <v>5923105427.7700005</v>
      </c>
      <c r="AN259" s="322"/>
      <c r="AO259" s="322"/>
      <c r="AP259" s="322"/>
      <c r="AQ259" s="322"/>
      <c r="AR259" s="322"/>
      <c r="AS259" s="322"/>
      <c r="AT259" s="343"/>
      <c r="AU259" s="342"/>
      <c r="AV259" s="342"/>
      <c r="AW259" s="324">
        <v>12226.6</v>
      </c>
      <c r="AX259" s="322">
        <v>11943.21</v>
      </c>
      <c r="AY259" s="322">
        <v>11943.21</v>
      </c>
      <c r="AZ259" s="324"/>
      <c r="BA259" s="322"/>
      <c r="BB259" s="322"/>
      <c r="BC259" s="323">
        <v>6443391987</v>
      </c>
      <c r="BD259" s="322">
        <v>6443391987</v>
      </c>
      <c r="BE259" s="322">
        <v>6443391987</v>
      </c>
      <c r="BF259" s="462">
        <f t="shared" si="26"/>
        <v>12670794713.390001</v>
      </c>
      <c r="BG259" s="462">
        <f t="shared" si="27"/>
        <v>12670794430</v>
      </c>
      <c r="BH259" s="462">
        <f t="shared" si="28"/>
        <v>12670794430</v>
      </c>
      <c r="BI259" s="332" t="s">
        <v>1473</v>
      </c>
      <c r="BK259" s="327"/>
      <c r="BL259" s="328"/>
      <c r="BM259" s="328"/>
    </row>
    <row r="260" spans="1:65" s="326" customFormat="1" ht="117" customHeight="1" x14ac:dyDescent="0.2">
      <c r="A260" s="312">
        <v>318</v>
      </c>
      <c r="B260" s="314" t="s">
        <v>1208</v>
      </c>
      <c r="C260" s="312">
        <v>1</v>
      </c>
      <c r="D260" s="314" t="s">
        <v>1200</v>
      </c>
      <c r="E260" s="312">
        <v>19</v>
      </c>
      <c r="F260" s="314" t="s">
        <v>122</v>
      </c>
      <c r="G260" s="312">
        <v>1906</v>
      </c>
      <c r="H260" s="314" t="s">
        <v>1215</v>
      </c>
      <c r="I260" s="312">
        <v>1906</v>
      </c>
      <c r="J260" s="315" t="s">
        <v>1216</v>
      </c>
      <c r="K260" s="321" t="s">
        <v>973</v>
      </c>
      <c r="L260" s="312">
        <v>1906029</v>
      </c>
      <c r="M260" s="315" t="s">
        <v>974</v>
      </c>
      <c r="N260" s="312">
        <v>1906029</v>
      </c>
      <c r="O260" s="315" t="s">
        <v>974</v>
      </c>
      <c r="P260" s="329">
        <v>190602900</v>
      </c>
      <c r="Q260" s="316" t="s">
        <v>975</v>
      </c>
      <c r="R260" s="329">
        <v>190602900</v>
      </c>
      <c r="S260" s="316" t="s">
        <v>975</v>
      </c>
      <c r="T260" s="317" t="s">
        <v>1459</v>
      </c>
      <c r="U260" s="345">
        <v>40</v>
      </c>
      <c r="V260" s="345"/>
      <c r="W260" s="318">
        <f t="shared" si="25"/>
        <v>40</v>
      </c>
      <c r="X260" s="385">
        <v>42</v>
      </c>
      <c r="Y260" s="320">
        <v>2020003630138</v>
      </c>
      <c r="Z260" s="412" t="s">
        <v>976</v>
      </c>
      <c r="AA260" s="321" t="s">
        <v>977</v>
      </c>
      <c r="AB260" s="322"/>
      <c r="AC260" s="322"/>
      <c r="AD260" s="322"/>
      <c r="AE260" s="322">
        <v>200000000</v>
      </c>
      <c r="AF260" s="322">
        <v>200000000</v>
      </c>
      <c r="AG260" s="322">
        <v>200000000</v>
      </c>
      <c r="AH260" s="322"/>
      <c r="AI260" s="322"/>
      <c r="AJ260" s="322"/>
      <c r="AK260" s="331"/>
      <c r="AL260" s="331"/>
      <c r="AM260" s="331"/>
      <c r="AN260" s="322"/>
      <c r="AO260" s="322"/>
      <c r="AP260" s="322"/>
      <c r="AQ260" s="322"/>
      <c r="AR260" s="322"/>
      <c r="AS260" s="322"/>
      <c r="AT260" s="343">
        <f>150390000+25000000+24165000+250000000-31000000</f>
        <v>418555000</v>
      </c>
      <c r="AU260" s="342">
        <v>347071999</v>
      </c>
      <c r="AV260" s="342">
        <v>347071999</v>
      </c>
      <c r="AW260" s="323"/>
      <c r="AX260" s="322"/>
      <c r="AY260" s="322"/>
      <c r="AZ260" s="324"/>
      <c r="BA260" s="322"/>
      <c r="BB260" s="322"/>
      <c r="BC260" s="323">
        <v>468599154.12</v>
      </c>
      <c r="BD260" s="322">
        <v>468599154</v>
      </c>
      <c r="BE260" s="322">
        <v>468599154</v>
      </c>
      <c r="BF260" s="462">
        <f t="shared" si="26"/>
        <v>1087154154.1199999</v>
      </c>
      <c r="BG260" s="462">
        <f t="shared" si="27"/>
        <v>1015671153</v>
      </c>
      <c r="BH260" s="462">
        <f t="shared" si="28"/>
        <v>1015671153</v>
      </c>
      <c r="BI260" s="332" t="s">
        <v>1473</v>
      </c>
      <c r="BK260" s="327"/>
      <c r="BL260" s="328"/>
    </row>
    <row r="261" spans="1:65" s="326" customFormat="1" ht="117" customHeight="1" x14ac:dyDescent="0.2">
      <c r="A261" s="312">
        <v>318</v>
      </c>
      <c r="B261" s="314" t="s">
        <v>1208</v>
      </c>
      <c r="C261" s="312">
        <v>1</v>
      </c>
      <c r="D261" s="314" t="s">
        <v>1200</v>
      </c>
      <c r="E261" s="312">
        <v>19</v>
      </c>
      <c r="F261" s="314" t="s">
        <v>122</v>
      </c>
      <c r="G261" s="312">
        <v>1906</v>
      </c>
      <c r="H261" s="314" t="s">
        <v>1215</v>
      </c>
      <c r="I261" s="312">
        <v>1906</v>
      </c>
      <c r="J261" s="315" t="s">
        <v>1216</v>
      </c>
      <c r="K261" s="321" t="s">
        <v>978</v>
      </c>
      <c r="L261" s="312">
        <v>1906005</v>
      </c>
      <c r="M261" s="315" t="s">
        <v>979</v>
      </c>
      <c r="N261" s="312">
        <v>1906005</v>
      </c>
      <c r="O261" s="315" t="s">
        <v>979</v>
      </c>
      <c r="P261" s="329">
        <v>190600500</v>
      </c>
      <c r="Q261" s="316" t="s">
        <v>979</v>
      </c>
      <c r="R261" s="329">
        <v>190600500</v>
      </c>
      <c r="S261" s="316" t="s">
        <v>979</v>
      </c>
      <c r="T261" s="317" t="s">
        <v>1460</v>
      </c>
      <c r="U261" s="345">
        <v>4</v>
      </c>
      <c r="V261" s="345">
        <v>3</v>
      </c>
      <c r="W261" s="318">
        <f t="shared" si="25"/>
        <v>7</v>
      </c>
      <c r="X261" s="385">
        <v>2</v>
      </c>
      <c r="Y261" s="320">
        <v>2020003630138</v>
      </c>
      <c r="Z261" s="412" t="s">
        <v>976</v>
      </c>
      <c r="AA261" s="321" t="s">
        <v>977</v>
      </c>
      <c r="AB261" s="322"/>
      <c r="AC261" s="322"/>
      <c r="AD261" s="322"/>
      <c r="AE261" s="322">
        <v>300000000</v>
      </c>
      <c r="AF261" s="322">
        <v>299944394</v>
      </c>
      <c r="AG261" s="322">
        <v>299944394</v>
      </c>
      <c r="AH261" s="322"/>
      <c r="AI261" s="322"/>
      <c r="AJ261" s="322"/>
      <c r="AK261" s="331">
        <v>160000000</v>
      </c>
      <c r="AL261" s="331"/>
      <c r="AM261" s="331"/>
      <c r="AN261" s="322"/>
      <c r="AO261" s="322"/>
      <c r="AP261" s="322"/>
      <c r="AQ261" s="322"/>
      <c r="AR261" s="322"/>
      <c r="AS261" s="322"/>
      <c r="AT261" s="343">
        <f>20000000+20000000</f>
        <v>40000000</v>
      </c>
      <c r="AU261" s="342">
        <v>0</v>
      </c>
      <c r="AV261" s="342">
        <v>0</v>
      </c>
      <c r="AW261" s="323"/>
      <c r="AX261" s="322"/>
      <c r="AY261" s="322"/>
      <c r="AZ261" s="324"/>
      <c r="BA261" s="322"/>
      <c r="BB261" s="322"/>
      <c r="BC261" s="323"/>
      <c r="BD261" s="323"/>
      <c r="BE261" s="323"/>
      <c r="BF261" s="462">
        <f t="shared" si="26"/>
        <v>500000000</v>
      </c>
      <c r="BG261" s="462">
        <f t="shared" si="27"/>
        <v>299944394</v>
      </c>
      <c r="BH261" s="462">
        <f t="shared" si="28"/>
        <v>299944394</v>
      </c>
      <c r="BI261" s="332" t="s">
        <v>1473</v>
      </c>
      <c r="BK261" s="327"/>
      <c r="BL261" s="328"/>
    </row>
    <row r="262" spans="1:65" s="326" customFormat="1" ht="117" customHeight="1" x14ac:dyDescent="0.2">
      <c r="A262" s="312">
        <v>318</v>
      </c>
      <c r="B262" s="314" t="s">
        <v>1208</v>
      </c>
      <c r="C262" s="312">
        <v>1</v>
      </c>
      <c r="D262" s="314" t="s">
        <v>1200</v>
      </c>
      <c r="E262" s="312">
        <v>19</v>
      </c>
      <c r="F262" s="314" t="s">
        <v>122</v>
      </c>
      <c r="G262" s="312">
        <v>1906</v>
      </c>
      <c r="H262" s="314" t="s">
        <v>1215</v>
      </c>
      <c r="I262" s="312">
        <v>1906</v>
      </c>
      <c r="J262" s="315" t="s">
        <v>1216</v>
      </c>
      <c r="K262" s="321" t="s">
        <v>812</v>
      </c>
      <c r="L262" s="312">
        <v>1906022</v>
      </c>
      <c r="M262" s="315" t="s">
        <v>980</v>
      </c>
      <c r="N262" s="312">
        <v>1906022</v>
      </c>
      <c r="O262" s="315" t="s">
        <v>980</v>
      </c>
      <c r="P262" s="329">
        <v>190602200</v>
      </c>
      <c r="Q262" s="316" t="s">
        <v>981</v>
      </c>
      <c r="R262" s="329">
        <v>190602200</v>
      </c>
      <c r="S262" s="316" t="s">
        <v>981</v>
      </c>
      <c r="T262" s="317" t="s">
        <v>1460</v>
      </c>
      <c r="U262" s="345">
        <v>2</v>
      </c>
      <c r="V262" s="345"/>
      <c r="W262" s="318">
        <f t="shared" si="25"/>
        <v>2</v>
      </c>
      <c r="X262" s="385">
        <v>0</v>
      </c>
      <c r="Y262" s="320">
        <v>2020003630138</v>
      </c>
      <c r="Z262" s="412" t="s">
        <v>976</v>
      </c>
      <c r="AA262" s="321" t="s">
        <v>977</v>
      </c>
      <c r="AB262" s="322"/>
      <c r="AC262" s="322"/>
      <c r="AD262" s="322"/>
      <c r="AE262" s="322"/>
      <c r="AF262" s="322"/>
      <c r="AG262" s="322"/>
      <c r="AH262" s="322"/>
      <c r="AI262" s="322"/>
      <c r="AJ262" s="322"/>
      <c r="AK262" s="331">
        <v>40000000</v>
      </c>
      <c r="AL262" s="331"/>
      <c r="AM262" s="331"/>
      <c r="AN262" s="322"/>
      <c r="AO262" s="322"/>
      <c r="AP262" s="322"/>
      <c r="AQ262" s="322"/>
      <c r="AR262" s="322"/>
      <c r="AS262" s="322"/>
      <c r="AT262" s="343">
        <v>20000000</v>
      </c>
      <c r="AU262" s="342">
        <v>0</v>
      </c>
      <c r="AV262" s="342">
        <v>0</v>
      </c>
      <c r="AW262" s="323"/>
      <c r="AX262" s="322"/>
      <c r="AY262" s="322"/>
      <c r="AZ262" s="324"/>
      <c r="BA262" s="322"/>
      <c r="BB262" s="322"/>
      <c r="BC262" s="323"/>
      <c r="BD262" s="322"/>
      <c r="BE262" s="322"/>
      <c r="BF262" s="462">
        <f t="shared" si="26"/>
        <v>60000000</v>
      </c>
      <c r="BG262" s="462">
        <f t="shared" si="27"/>
        <v>0</v>
      </c>
      <c r="BH262" s="462">
        <f t="shared" si="28"/>
        <v>0</v>
      </c>
      <c r="BI262" s="332" t="s">
        <v>1473</v>
      </c>
      <c r="BK262" s="327"/>
      <c r="BL262" s="328"/>
    </row>
    <row r="263" spans="1:65" s="326" customFormat="1" ht="117" customHeight="1" x14ac:dyDescent="0.2">
      <c r="A263" s="312">
        <v>318</v>
      </c>
      <c r="B263" s="314" t="s">
        <v>1208</v>
      </c>
      <c r="C263" s="312">
        <v>1</v>
      </c>
      <c r="D263" s="314" t="s">
        <v>1200</v>
      </c>
      <c r="E263" s="312">
        <v>19</v>
      </c>
      <c r="F263" s="314" t="s">
        <v>122</v>
      </c>
      <c r="G263" s="312">
        <v>1906</v>
      </c>
      <c r="H263" s="314" t="s">
        <v>1215</v>
      </c>
      <c r="I263" s="312">
        <v>1906</v>
      </c>
      <c r="J263" s="315" t="s">
        <v>1216</v>
      </c>
      <c r="K263" s="321" t="s">
        <v>958</v>
      </c>
      <c r="L263" s="312" t="s">
        <v>31</v>
      </c>
      <c r="M263" s="315" t="s">
        <v>963</v>
      </c>
      <c r="N263" s="312">
        <v>1906023</v>
      </c>
      <c r="O263" s="315" t="s">
        <v>982</v>
      </c>
      <c r="P263" s="312" t="s">
        <v>31</v>
      </c>
      <c r="Q263" s="316" t="s">
        <v>983</v>
      </c>
      <c r="R263" s="329">
        <v>190602301</v>
      </c>
      <c r="S263" s="316" t="s">
        <v>965</v>
      </c>
      <c r="T263" s="317" t="s">
        <v>1459</v>
      </c>
      <c r="U263" s="345">
        <v>40</v>
      </c>
      <c r="V263" s="345"/>
      <c r="W263" s="318">
        <f t="shared" si="25"/>
        <v>40</v>
      </c>
      <c r="X263" s="385">
        <v>0</v>
      </c>
      <c r="Y263" s="320">
        <v>2020003630138</v>
      </c>
      <c r="Z263" s="412" t="s">
        <v>976</v>
      </c>
      <c r="AA263" s="321" t="s">
        <v>977</v>
      </c>
      <c r="AB263" s="322"/>
      <c r="AC263" s="322"/>
      <c r="AD263" s="322"/>
      <c r="AE263" s="322"/>
      <c r="AF263" s="322"/>
      <c r="AG263" s="322"/>
      <c r="AH263" s="322"/>
      <c r="AI263" s="322"/>
      <c r="AJ263" s="322"/>
      <c r="AK263" s="331"/>
      <c r="AL263" s="331"/>
      <c r="AM263" s="331"/>
      <c r="AN263" s="322"/>
      <c r="AO263" s="322"/>
      <c r="AP263" s="322"/>
      <c r="AQ263" s="322"/>
      <c r="AR263" s="322"/>
      <c r="AS263" s="322"/>
      <c r="AT263" s="343">
        <v>20000000</v>
      </c>
      <c r="AU263" s="342">
        <v>2885000</v>
      </c>
      <c r="AV263" s="342">
        <v>2885000</v>
      </c>
      <c r="AW263" s="323"/>
      <c r="AX263" s="322"/>
      <c r="AY263" s="322"/>
      <c r="AZ263" s="324"/>
      <c r="BA263" s="322"/>
      <c r="BB263" s="322"/>
      <c r="BC263" s="323">
        <v>420739920</v>
      </c>
      <c r="BD263" s="322">
        <v>160270740</v>
      </c>
      <c r="BE263" s="322">
        <v>160270740</v>
      </c>
      <c r="BF263" s="462">
        <f t="shared" si="26"/>
        <v>440739920</v>
      </c>
      <c r="BG263" s="462">
        <f t="shared" si="27"/>
        <v>163155740</v>
      </c>
      <c r="BH263" s="462">
        <f t="shared" si="28"/>
        <v>163155740</v>
      </c>
      <c r="BI263" s="332" t="s">
        <v>1473</v>
      </c>
      <c r="BK263" s="327"/>
      <c r="BL263" s="328"/>
    </row>
    <row r="264" spans="1:65" s="326" customFormat="1" ht="117" customHeight="1" x14ac:dyDescent="0.2">
      <c r="A264" s="312">
        <v>324</v>
      </c>
      <c r="B264" s="314" t="s">
        <v>1293</v>
      </c>
      <c r="C264" s="312">
        <v>1</v>
      </c>
      <c r="D264" s="314" t="s">
        <v>1200</v>
      </c>
      <c r="E264" s="312">
        <v>23</v>
      </c>
      <c r="F264" s="314" t="s">
        <v>985</v>
      </c>
      <c r="G264" s="312">
        <v>2301</v>
      </c>
      <c r="H264" s="314" t="s">
        <v>1364</v>
      </c>
      <c r="I264" s="312">
        <v>2301</v>
      </c>
      <c r="J264" s="315" t="s">
        <v>1221</v>
      </c>
      <c r="K264" s="321" t="s">
        <v>987</v>
      </c>
      <c r="L264" s="312">
        <v>2301024</v>
      </c>
      <c r="M264" s="315" t="s">
        <v>988</v>
      </c>
      <c r="N264" s="312">
        <v>2301024</v>
      </c>
      <c r="O264" s="315" t="s">
        <v>988</v>
      </c>
      <c r="P264" s="329">
        <v>230102401</v>
      </c>
      <c r="Q264" s="316" t="s">
        <v>989</v>
      </c>
      <c r="R264" s="329">
        <v>230102401</v>
      </c>
      <c r="S264" s="316" t="s">
        <v>989</v>
      </c>
      <c r="T264" s="317" t="s">
        <v>1459</v>
      </c>
      <c r="U264" s="345">
        <v>15</v>
      </c>
      <c r="V264" s="345"/>
      <c r="W264" s="318">
        <f t="shared" si="25"/>
        <v>15</v>
      </c>
      <c r="X264" s="385">
        <v>15</v>
      </c>
      <c r="Y264" s="320">
        <v>2020003630038</v>
      </c>
      <c r="Z264" s="412" t="s">
        <v>1360</v>
      </c>
      <c r="AA264" s="321" t="s">
        <v>991</v>
      </c>
      <c r="AB264" s="322"/>
      <c r="AC264" s="322"/>
      <c r="AD264" s="322"/>
      <c r="AE264" s="365"/>
      <c r="AF264" s="365"/>
      <c r="AG264" s="365"/>
      <c r="AH264" s="365"/>
      <c r="AI264" s="365"/>
      <c r="AJ264" s="365"/>
      <c r="AK264" s="365"/>
      <c r="AL264" s="365"/>
      <c r="AM264" s="365"/>
      <c r="AN264" s="365"/>
      <c r="AO264" s="365"/>
      <c r="AP264" s="365"/>
      <c r="AQ264" s="365"/>
      <c r="AR264" s="365"/>
      <c r="AS264" s="365"/>
      <c r="AT264" s="392">
        <v>18000000</v>
      </c>
      <c r="AU264" s="365">
        <v>16000000</v>
      </c>
      <c r="AV264" s="365">
        <v>16000000</v>
      </c>
      <c r="AW264" s="386"/>
      <c r="AX264" s="365"/>
      <c r="AY264" s="365"/>
      <c r="AZ264" s="392"/>
      <c r="BA264" s="365"/>
      <c r="BB264" s="365"/>
      <c r="BC264" s="386"/>
      <c r="BD264" s="365"/>
      <c r="BE264" s="365"/>
      <c r="BF264" s="462">
        <f t="shared" si="26"/>
        <v>18000000</v>
      </c>
      <c r="BG264" s="462">
        <f t="shared" si="27"/>
        <v>16000000</v>
      </c>
      <c r="BH264" s="462">
        <f t="shared" si="28"/>
        <v>16000000</v>
      </c>
      <c r="BI264" s="332" t="s">
        <v>1470</v>
      </c>
      <c r="BJ264" s="328"/>
      <c r="BK264" s="327"/>
      <c r="BL264" s="328"/>
    </row>
    <row r="265" spans="1:65" s="326" customFormat="1" ht="117" customHeight="1" x14ac:dyDescent="0.2">
      <c r="A265" s="312">
        <v>324</v>
      </c>
      <c r="B265" s="314" t="s">
        <v>1293</v>
      </c>
      <c r="C265" s="312">
        <v>1</v>
      </c>
      <c r="D265" s="314" t="s">
        <v>1200</v>
      </c>
      <c r="E265" s="312">
        <v>23</v>
      </c>
      <c r="F265" s="314" t="s">
        <v>985</v>
      </c>
      <c r="G265" s="312">
        <v>2301</v>
      </c>
      <c r="H265" s="314" t="s">
        <v>1364</v>
      </c>
      <c r="I265" s="312">
        <v>2301</v>
      </c>
      <c r="J265" s="315" t="s">
        <v>1221</v>
      </c>
      <c r="K265" s="321" t="s">
        <v>987</v>
      </c>
      <c r="L265" s="312">
        <v>2301024</v>
      </c>
      <c r="M265" s="315" t="s">
        <v>988</v>
      </c>
      <c r="N265" s="312">
        <v>2301024</v>
      </c>
      <c r="O265" s="315" t="s">
        <v>988</v>
      </c>
      <c r="P265" s="329">
        <v>230102404</v>
      </c>
      <c r="Q265" s="316" t="s">
        <v>992</v>
      </c>
      <c r="R265" s="329">
        <v>230102404</v>
      </c>
      <c r="S265" s="316" t="s">
        <v>992</v>
      </c>
      <c r="T265" s="317" t="s">
        <v>1460</v>
      </c>
      <c r="U265" s="345">
        <v>4</v>
      </c>
      <c r="V265" s="345"/>
      <c r="W265" s="318">
        <f t="shared" si="25"/>
        <v>4</v>
      </c>
      <c r="X265" s="385">
        <v>4</v>
      </c>
      <c r="Y265" s="320">
        <v>2020003630038</v>
      </c>
      <c r="Z265" s="412" t="s">
        <v>1360</v>
      </c>
      <c r="AA265" s="321" t="s">
        <v>991</v>
      </c>
      <c r="AB265" s="322"/>
      <c r="AC265" s="322"/>
      <c r="AD265" s="322"/>
      <c r="AE265" s="365"/>
      <c r="AF265" s="365"/>
      <c r="AG265" s="365"/>
      <c r="AH265" s="365"/>
      <c r="AI265" s="365"/>
      <c r="AJ265" s="365"/>
      <c r="AK265" s="365"/>
      <c r="AL265" s="365"/>
      <c r="AM265" s="365"/>
      <c r="AN265" s="365"/>
      <c r="AO265" s="365"/>
      <c r="AP265" s="365"/>
      <c r="AQ265" s="365"/>
      <c r="AR265" s="365"/>
      <c r="AS265" s="365"/>
      <c r="AT265" s="365">
        <f>100000000+37526000+40000000-5862500+17000000+5230000</f>
        <v>193893500</v>
      </c>
      <c r="AU265" s="365">
        <v>192145000</v>
      </c>
      <c r="AV265" s="365">
        <v>192145000</v>
      </c>
      <c r="AW265" s="386"/>
      <c r="AX265" s="365"/>
      <c r="AY265" s="365"/>
      <c r="AZ265" s="392"/>
      <c r="BA265" s="365"/>
      <c r="BB265" s="365"/>
      <c r="BC265" s="386"/>
      <c r="BD265" s="365"/>
      <c r="BE265" s="365"/>
      <c r="BF265" s="462">
        <f t="shared" si="26"/>
        <v>193893500</v>
      </c>
      <c r="BG265" s="462">
        <f t="shared" si="27"/>
        <v>192145000</v>
      </c>
      <c r="BH265" s="462">
        <f t="shared" si="28"/>
        <v>192145000</v>
      </c>
      <c r="BI265" s="332" t="s">
        <v>1470</v>
      </c>
      <c r="BJ265" s="328"/>
      <c r="BK265" s="327"/>
      <c r="BL265" s="328"/>
    </row>
    <row r="266" spans="1:65" s="326" customFormat="1" ht="117" customHeight="1" x14ac:dyDescent="0.2">
      <c r="A266" s="312">
        <v>324</v>
      </c>
      <c r="B266" s="314" t="s">
        <v>1293</v>
      </c>
      <c r="C266" s="312">
        <v>1</v>
      </c>
      <c r="D266" s="314" t="s">
        <v>1200</v>
      </c>
      <c r="E266" s="312">
        <v>23</v>
      </c>
      <c r="F266" s="314" t="s">
        <v>985</v>
      </c>
      <c r="G266" s="312">
        <v>2301</v>
      </c>
      <c r="H266" s="314" t="s">
        <v>1364</v>
      </c>
      <c r="I266" s="312">
        <v>2301</v>
      </c>
      <c r="J266" s="315" t="s">
        <v>1221</v>
      </c>
      <c r="K266" s="321" t="s">
        <v>987</v>
      </c>
      <c r="L266" s="329">
        <v>2301012</v>
      </c>
      <c r="M266" s="315" t="s">
        <v>993</v>
      </c>
      <c r="N266" s="312">
        <v>2301079</v>
      </c>
      <c r="O266" s="315" t="s">
        <v>994</v>
      </c>
      <c r="P266" s="329">
        <v>230101204</v>
      </c>
      <c r="Q266" s="316" t="s">
        <v>995</v>
      </c>
      <c r="R266" s="329">
        <v>230107902</v>
      </c>
      <c r="S266" s="316" t="s">
        <v>996</v>
      </c>
      <c r="T266" s="317" t="s">
        <v>1460</v>
      </c>
      <c r="U266" s="345">
        <v>15</v>
      </c>
      <c r="V266" s="345">
        <v>13</v>
      </c>
      <c r="W266" s="318">
        <f t="shared" si="25"/>
        <v>28</v>
      </c>
      <c r="X266" s="385">
        <v>32</v>
      </c>
      <c r="Y266" s="320">
        <v>2020003630038</v>
      </c>
      <c r="Z266" s="412" t="s">
        <v>1360</v>
      </c>
      <c r="AA266" s="321" t="s">
        <v>991</v>
      </c>
      <c r="AB266" s="322"/>
      <c r="AC266" s="322"/>
      <c r="AD266" s="322"/>
      <c r="AE266" s="365"/>
      <c r="AF266" s="365"/>
      <c r="AG266" s="365"/>
      <c r="AH266" s="365"/>
      <c r="AI266" s="365"/>
      <c r="AJ266" s="365"/>
      <c r="AK266" s="365"/>
      <c r="AL266" s="365"/>
      <c r="AM266" s="365"/>
      <c r="AN266" s="365"/>
      <c r="AO266" s="365"/>
      <c r="AP266" s="365"/>
      <c r="AQ266" s="365"/>
      <c r="AR266" s="365"/>
      <c r="AS266" s="365"/>
      <c r="AT266" s="392">
        <f>80000000-49707500</f>
        <v>30292500</v>
      </c>
      <c r="AU266" s="365">
        <v>21060038</v>
      </c>
      <c r="AV266" s="365">
        <v>0</v>
      </c>
      <c r="AW266" s="386"/>
      <c r="AX266" s="365"/>
      <c r="AY266" s="365"/>
      <c r="AZ266" s="392"/>
      <c r="BA266" s="365"/>
      <c r="BB266" s="365"/>
      <c r="BC266" s="386"/>
      <c r="BD266" s="365"/>
      <c r="BE266" s="365"/>
      <c r="BF266" s="462">
        <f t="shared" si="26"/>
        <v>30292500</v>
      </c>
      <c r="BG266" s="462">
        <f t="shared" si="27"/>
        <v>21060038</v>
      </c>
      <c r="BH266" s="462">
        <f t="shared" si="28"/>
        <v>0</v>
      </c>
      <c r="BI266" s="332" t="s">
        <v>1470</v>
      </c>
      <c r="BJ266" s="328"/>
      <c r="BK266" s="327"/>
      <c r="BL266" s="328"/>
    </row>
    <row r="267" spans="1:65" s="326" customFormat="1" ht="117" customHeight="1" x14ac:dyDescent="0.2">
      <c r="A267" s="312">
        <v>324</v>
      </c>
      <c r="B267" s="314" t="s">
        <v>1293</v>
      </c>
      <c r="C267" s="312">
        <v>1</v>
      </c>
      <c r="D267" s="314" t="s">
        <v>1200</v>
      </c>
      <c r="E267" s="312">
        <v>23</v>
      </c>
      <c r="F267" s="314" t="s">
        <v>985</v>
      </c>
      <c r="G267" s="312">
        <v>2301</v>
      </c>
      <c r="H267" s="314" t="s">
        <v>1364</v>
      </c>
      <c r="I267" s="312">
        <v>2301</v>
      </c>
      <c r="J267" s="315" t="s">
        <v>1221</v>
      </c>
      <c r="K267" s="321" t="s">
        <v>987</v>
      </c>
      <c r="L267" s="312">
        <v>2301062</v>
      </c>
      <c r="M267" s="315" t="s">
        <v>997</v>
      </c>
      <c r="N267" s="312">
        <v>2301062</v>
      </c>
      <c r="O267" s="315" t="s">
        <v>997</v>
      </c>
      <c r="P267" s="329">
        <v>230106201</v>
      </c>
      <c r="Q267" s="316" t="s">
        <v>998</v>
      </c>
      <c r="R267" s="329">
        <v>230106201</v>
      </c>
      <c r="S267" s="316" t="s">
        <v>998</v>
      </c>
      <c r="T267" s="317" t="s">
        <v>1459</v>
      </c>
      <c r="U267" s="345">
        <v>8</v>
      </c>
      <c r="V267" s="345"/>
      <c r="W267" s="318">
        <f t="shared" si="25"/>
        <v>8</v>
      </c>
      <c r="X267" s="385">
        <v>5</v>
      </c>
      <c r="Y267" s="320">
        <v>2020003630038</v>
      </c>
      <c r="Z267" s="412" t="s">
        <v>1360</v>
      </c>
      <c r="AA267" s="321" t="s">
        <v>991</v>
      </c>
      <c r="AB267" s="322"/>
      <c r="AC267" s="322"/>
      <c r="AD267" s="322"/>
      <c r="AE267" s="365"/>
      <c r="AF267" s="365"/>
      <c r="AG267" s="365"/>
      <c r="AH267" s="365"/>
      <c r="AI267" s="365"/>
      <c r="AJ267" s="365"/>
      <c r="AK267" s="365"/>
      <c r="AL267" s="365"/>
      <c r="AM267" s="365"/>
      <c r="AN267" s="365"/>
      <c r="AO267" s="365"/>
      <c r="AP267" s="365"/>
      <c r="AQ267" s="365"/>
      <c r="AR267" s="365"/>
      <c r="AS267" s="365"/>
      <c r="AT267" s="392">
        <f>50000000-30207500-11137500</f>
        <v>8655000</v>
      </c>
      <c r="AU267" s="365">
        <v>8655000</v>
      </c>
      <c r="AV267" s="365">
        <v>8655000</v>
      </c>
      <c r="AW267" s="386"/>
      <c r="AX267" s="365"/>
      <c r="AY267" s="365"/>
      <c r="AZ267" s="392"/>
      <c r="BA267" s="365"/>
      <c r="BB267" s="365"/>
      <c r="BC267" s="386"/>
      <c r="BD267" s="365"/>
      <c r="BE267" s="365"/>
      <c r="BF267" s="462">
        <f t="shared" si="26"/>
        <v>8655000</v>
      </c>
      <c r="BG267" s="462">
        <f t="shared" si="27"/>
        <v>8655000</v>
      </c>
      <c r="BH267" s="462">
        <f t="shared" si="28"/>
        <v>8655000</v>
      </c>
      <c r="BI267" s="332" t="s">
        <v>1470</v>
      </c>
      <c r="BJ267" s="328"/>
      <c r="BK267" s="327"/>
      <c r="BL267" s="328"/>
    </row>
    <row r="268" spans="1:65" s="326" customFormat="1" ht="117" customHeight="1" x14ac:dyDescent="0.2">
      <c r="A268" s="312">
        <v>324</v>
      </c>
      <c r="B268" s="314" t="s">
        <v>1293</v>
      </c>
      <c r="C268" s="312">
        <v>1</v>
      </c>
      <c r="D268" s="314" t="s">
        <v>1200</v>
      </c>
      <c r="E268" s="312">
        <v>23</v>
      </c>
      <c r="F268" s="314" t="s">
        <v>985</v>
      </c>
      <c r="G268" s="312">
        <v>2301</v>
      </c>
      <c r="H268" s="314" t="s">
        <v>1364</v>
      </c>
      <c r="I268" s="312">
        <v>2301</v>
      </c>
      <c r="J268" s="315" t="s">
        <v>1221</v>
      </c>
      <c r="K268" s="321" t="s">
        <v>999</v>
      </c>
      <c r="L268" s="312">
        <v>2301030</v>
      </c>
      <c r="M268" s="315" t="s">
        <v>1000</v>
      </c>
      <c r="N268" s="312">
        <v>2301030</v>
      </c>
      <c r="O268" s="315" t="s">
        <v>1000</v>
      </c>
      <c r="P268" s="329">
        <v>230103000</v>
      </c>
      <c r="Q268" s="316" t="s">
        <v>1001</v>
      </c>
      <c r="R268" s="329">
        <v>230103000</v>
      </c>
      <c r="S268" s="316" t="s">
        <v>1001</v>
      </c>
      <c r="T268" s="317" t="s">
        <v>1460</v>
      </c>
      <c r="U268" s="345">
        <v>7000</v>
      </c>
      <c r="V268" s="345"/>
      <c r="W268" s="318">
        <f t="shared" si="25"/>
        <v>7000</v>
      </c>
      <c r="X268" s="385">
        <v>7000</v>
      </c>
      <c r="Y268" s="320">
        <v>2020003630139</v>
      </c>
      <c r="Z268" s="412" t="s">
        <v>1287</v>
      </c>
      <c r="AA268" s="321" t="s">
        <v>1002</v>
      </c>
      <c r="AB268" s="322"/>
      <c r="AC268" s="322"/>
      <c r="AD268" s="322"/>
      <c r="AE268" s="365"/>
      <c r="AF268" s="365"/>
      <c r="AG268" s="365"/>
      <c r="AH268" s="365"/>
      <c r="AI268" s="365"/>
      <c r="AJ268" s="365"/>
      <c r="AK268" s="365"/>
      <c r="AL268" s="365"/>
      <c r="AM268" s="365"/>
      <c r="AN268" s="365"/>
      <c r="AO268" s="365"/>
      <c r="AP268" s="365"/>
      <c r="AQ268" s="365"/>
      <c r="AR268" s="365"/>
      <c r="AS268" s="365"/>
      <c r="AT268" s="392">
        <f>36000000+79915000+140000000+55060000-5000000+54777780+50000000+36499000</f>
        <v>447251780</v>
      </c>
      <c r="AU268" s="365">
        <v>446422350</v>
      </c>
      <c r="AV268" s="365">
        <v>446422350</v>
      </c>
      <c r="AW268" s="386"/>
      <c r="AX268" s="365"/>
      <c r="AY268" s="365"/>
      <c r="AZ268" s="392"/>
      <c r="BA268" s="365"/>
      <c r="BB268" s="365"/>
      <c r="BC268" s="386"/>
      <c r="BD268" s="365"/>
      <c r="BE268" s="365"/>
      <c r="BF268" s="462">
        <f t="shared" si="26"/>
        <v>447251780</v>
      </c>
      <c r="BG268" s="462">
        <f t="shared" si="27"/>
        <v>446422350</v>
      </c>
      <c r="BH268" s="462">
        <f t="shared" si="28"/>
        <v>446422350</v>
      </c>
      <c r="BI268" s="332" t="s">
        <v>1470</v>
      </c>
      <c r="BJ268" s="328"/>
      <c r="BK268" s="327"/>
      <c r="BL268" s="328"/>
    </row>
    <row r="269" spans="1:65" s="326" customFormat="1" ht="117" customHeight="1" x14ac:dyDescent="0.2">
      <c r="A269" s="312">
        <v>324</v>
      </c>
      <c r="B269" s="314" t="s">
        <v>1293</v>
      </c>
      <c r="C269" s="312">
        <v>1</v>
      </c>
      <c r="D269" s="314" t="s">
        <v>1200</v>
      </c>
      <c r="E269" s="312">
        <v>23</v>
      </c>
      <c r="F269" s="314" t="s">
        <v>985</v>
      </c>
      <c r="G269" s="312">
        <v>2301</v>
      </c>
      <c r="H269" s="314" t="s">
        <v>1364</v>
      </c>
      <c r="I269" s="312">
        <v>2301</v>
      </c>
      <c r="J269" s="315" t="s">
        <v>1221</v>
      </c>
      <c r="K269" s="321" t="s">
        <v>999</v>
      </c>
      <c r="L269" s="312">
        <v>2301015</v>
      </c>
      <c r="M269" s="315" t="s">
        <v>1003</v>
      </c>
      <c r="N269" s="312">
        <v>2301015</v>
      </c>
      <c r="O269" s="315" t="s">
        <v>1003</v>
      </c>
      <c r="P269" s="329">
        <v>230101500</v>
      </c>
      <c r="Q269" s="316" t="s">
        <v>1004</v>
      </c>
      <c r="R269" s="329">
        <v>230101500</v>
      </c>
      <c r="S269" s="316" t="s">
        <v>1004</v>
      </c>
      <c r="T269" s="317" t="s">
        <v>1459</v>
      </c>
      <c r="U269" s="345">
        <v>3</v>
      </c>
      <c r="V269" s="345"/>
      <c r="W269" s="318">
        <f t="shared" si="25"/>
        <v>3</v>
      </c>
      <c r="X269" s="385">
        <v>3</v>
      </c>
      <c r="Y269" s="320">
        <v>2020003630139</v>
      </c>
      <c r="Z269" s="412" t="s">
        <v>1287</v>
      </c>
      <c r="AA269" s="321" t="s">
        <v>1002</v>
      </c>
      <c r="AB269" s="322"/>
      <c r="AC269" s="322"/>
      <c r="AD269" s="322"/>
      <c r="AE269" s="365"/>
      <c r="AF269" s="365"/>
      <c r="AG269" s="365"/>
      <c r="AH269" s="365"/>
      <c r="AI269" s="365"/>
      <c r="AJ269" s="365"/>
      <c r="AK269" s="365"/>
      <c r="AL269" s="365"/>
      <c r="AM269" s="365"/>
      <c r="AN269" s="365"/>
      <c r="AO269" s="365"/>
      <c r="AP269" s="365"/>
      <c r="AQ269" s="365"/>
      <c r="AR269" s="365"/>
      <c r="AS269" s="365"/>
      <c r="AT269" s="392">
        <f>18000000+13200000</f>
        <v>31200000</v>
      </c>
      <c r="AU269" s="365">
        <v>31200000</v>
      </c>
      <c r="AV269" s="365">
        <v>31200000</v>
      </c>
      <c r="AW269" s="386"/>
      <c r="AX269" s="365"/>
      <c r="AY269" s="365"/>
      <c r="AZ269" s="392"/>
      <c r="BA269" s="365"/>
      <c r="BB269" s="365"/>
      <c r="BC269" s="386"/>
      <c r="BD269" s="365"/>
      <c r="BE269" s="365"/>
      <c r="BF269" s="462">
        <f t="shared" si="26"/>
        <v>31200000</v>
      </c>
      <c r="BG269" s="462">
        <f t="shared" si="27"/>
        <v>31200000</v>
      </c>
      <c r="BH269" s="462">
        <f t="shared" si="28"/>
        <v>31200000</v>
      </c>
      <c r="BI269" s="332" t="s">
        <v>1470</v>
      </c>
      <c r="BJ269" s="328"/>
      <c r="BK269" s="327"/>
      <c r="BL269" s="328"/>
    </row>
    <row r="270" spans="1:65" s="326" customFormat="1" ht="117" customHeight="1" x14ac:dyDescent="0.2">
      <c r="A270" s="312">
        <v>324</v>
      </c>
      <c r="B270" s="314" t="s">
        <v>1293</v>
      </c>
      <c r="C270" s="312">
        <v>1</v>
      </c>
      <c r="D270" s="314" t="s">
        <v>1200</v>
      </c>
      <c r="E270" s="312">
        <v>23</v>
      </c>
      <c r="F270" s="314" t="s">
        <v>985</v>
      </c>
      <c r="G270" s="312">
        <v>2301</v>
      </c>
      <c r="H270" s="314" t="s">
        <v>1364</v>
      </c>
      <c r="I270" s="312">
        <v>2301</v>
      </c>
      <c r="J270" s="315" t="s">
        <v>1221</v>
      </c>
      <c r="K270" s="321" t="s">
        <v>999</v>
      </c>
      <c r="L270" s="312">
        <v>2301004</v>
      </c>
      <c r="M270" s="315" t="s">
        <v>193</v>
      </c>
      <c r="N270" s="312">
        <v>2301004</v>
      </c>
      <c r="O270" s="315" t="s">
        <v>193</v>
      </c>
      <c r="P270" s="329">
        <v>230200400</v>
      </c>
      <c r="Q270" s="316" t="s">
        <v>195</v>
      </c>
      <c r="R270" s="329">
        <v>230100400</v>
      </c>
      <c r="S270" s="315" t="s">
        <v>195</v>
      </c>
      <c r="T270" s="317" t="s">
        <v>1459</v>
      </c>
      <c r="U270" s="345">
        <v>1</v>
      </c>
      <c r="V270" s="345"/>
      <c r="W270" s="318">
        <f t="shared" si="25"/>
        <v>1</v>
      </c>
      <c r="X270" s="385">
        <v>1</v>
      </c>
      <c r="Y270" s="320">
        <v>2020003630139</v>
      </c>
      <c r="Z270" s="412" t="s">
        <v>1287</v>
      </c>
      <c r="AA270" s="321" t="s">
        <v>1002</v>
      </c>
      <c r="AB270" s="322"/>
      <c r="AC270" s="322"/>
      <c r="AD270" s="322"/>
      <c r="AE270" s="365"/>
      <c r="AF270" s="365"/>
      <c r="AG270" s="365"/>
      <c r="AH270" s="365"/>
      <c r="AI270" s="365"/>
      <c r="AJ270" s="365"/>
      <c r="AK270" s="365"/>
      <c r="AL270" s="365"/>
      <c r="AM270" s="365"/>
      <c r="AN270" s="365"/>
      <c r="AO270" s="365"/>
      <c r="AP270" s="365"/>
      <c r="AQ270" s="365"/>
      <c r="AR270" s="365"/>
      <c r="AS270" s="365"/>
      <c r="AT270" s="392">
        <v>18000000</v>
      </c>
      <c r="AU270" s="365">
        <v>18000000</v>
      </c>
      <c r="AV270" s="365">
        <v>18000000</v>
      </c>
      <c r="AW270" s="386"/>
      <c r="AX270" s="365"/>
      <c r="AY270" s="365"/>
      <c r="AZ270" s="392"/>
      <c r="BA270" s="365"/>
      <c r="BB270" s="365"/>
      <c r="BC270" s="386"/>
      <c r="BD270" s="365"/>
      <c r="BE270" s="365"/>
      <c r="BF270" s="462">
        <f t="shared" si="26"/>
        <v>18000000</v>
      </c>
      <c r="BG270" s="462">
        <f t="shared" si="27"/>
        <v>18000000</v>
      </c>
      <c r="BH270" s="462">
        <f t="shared" si="28"/>
        <v>18000000</v>
      </c>
      <c r="BI270" s="332" t="s">
        <v>1470</v>
      </c>
      <c r="BJ270" s="328"/>
      <c r="BK270" s="327"/>
      <c r="BL270" s="328"/>
    </row>
    <row r="271" spans="1:65" s="326" customFormat="1" ht="117" customHeight="1" x14ac:dyDescent="0.2">
      <c r="A271" s="312">
        <v>324</v>
      </c>
      <c r="B271" s="314" t="s">
        <v>1293</v>
      </c>
      <c r="C271" s="312">
        <v>1</v>
      </c>
      <c r="D271" s="314" t="s">
        <v>1200</v>
      </c>
      <c r="E271" s="312">
        <v>23</v>
      </c>
      <c r="F271" s="314" t="s">
        <v>985</v>
      </c>
      <c r="G271" s="312">
        <v>2301</v>
      </c>
      <c r="H271" s="314" t="s">
        <v>1364</v>
      </c>
      <c r="I271" s="312">
        <v>2301</v>
      </c>
      <c r="J271" s="315" t="s">
        <v>1221</v>
      </c>
      <c r="K271" s="321" t="s">
        <v>999</v>
      </c>
      <c r="L271" s="312">
        <v>2301035</v>
      </c>
      <c r="M271" s="315" t="s">
        <v>1005</v>
      </c>
      <c r="N271" s="312">
        <v>2301035</v>
      </c>
      <c r="O271" s="315" t="s">
        <v>1005</v>
      </c>
      <c r="P271" s="329">
        <v>230103500</v>
      </c>
      <c r="Q271" s="316" t="s">
        <v>1006</v>
      </c>
      <c r="R271" s="329">
        <v>230103500</v>
      </c>
      <c r="S271" s="316" t="s">
        <v>1006</v>
      </c>
      <c r="T271" s="317" t="s">
        <v>1460</v>
      </c>
      <c r="U271" s="345">
        <v>40</v>
      </c>
      <c r="V271" s="345"/>
      <c r="W271" s="318">
        <f t="shared" si="25"/>
        <v>40</v>
      </c>
      <c r="X271" s="385">
        <v>40</v>
      </c>
      <c r="Y271" s="320">
        <v>2020003630139</v>
      </c>
      <c r="Z271" s="412" t="s">
        <v>1287</v>
      </c>
      <c r="AA271" s="321" t="s">
        <v>1002</v>
      </c>
      <c r="AB271" s="322"/>
      <c r="AC271" s="322"/>
      <c r="AD271" s="322"/>
      <c r="AE271" s="365"/>
      <c r="AF271" s="365"/>
      <c r="AG271" s="365"/>
      <c r="AH271" s="365"/>
      <c r="AI271" s="365"/>
      <c r="AJ271" s="365"/>
      <c r="AK271" s="365"/>
      <c r="AL271" s="365"/>
      <c r="AM271" s="365"/>
      <c r="AN271" s="365"/>
      <c r="AO271" s="365"/>
      <c r="AP271" s="365"/>
      <c r="AQ271" s="365"/>
      <c r="AR271" s="365"/>
      <c r="AS271" s="365"/>
      <c r="AT271" s="392">
        <f>36000000+50000000+56720000-49777780</f>
        <v>92942220</v>
      </c>
      <c r="AU271" s="365">
        <v>91803219.039999992</v>
      </c>
      <c r="AV271" s="365">
        <v>91803219.039999992</v>
      </c>
      <c r="AW271" s="386"/>
      <c r="AX271" s="365"/>
      <c r="AY271" s="365"/>
      <c r="AZ271" s="392"/>
      <c r="BA271" s="365"/>
      <c r="BB271" s="365"/>
      <c r="BC271" s="386"/>
      <c r="BD271" s="365"/>
      <c r="BE271" s="365"/>
      <c r="BF271" s="462">
        <f t="shared" si="26"/>
        <v>92942220</v>
      </c>
      <c r="BG271" s="462">
        <f t="shared" si="27"/>
        <v>91803219.039999992</v>
      </c>
      <c r="BH271" s="462">
        <f t="shared" si="28"/>
        <v>91803219.039999992</v>
      </c>
      <c r="BI271" s="332" t="s">
        <v>1470</v>
      </c>
      <c r="BJ271" s="328"/>
      <c r="BK271" s="327"/>
      <c r="BL271" s="328"/>
    </row>
    <row r="272" spans="1:65" s="326" customFormat="1" ht="117" customHeight="1" x14ac:dyDescent="0.2">
      <c r="A272" s="312">
        <v>324</v>
      </c>
      <c r="B272" s="314" t="s">
        <v>1293</v>
      </c>
      <c r="C272" s="312">
        <v>1</v>
      </c>
      <c r="D272" s="314" t="s">
        <v>1200</v>
      </c>
      <c r="E272" s="312">
        <v>23</v>
      </c>
      <c r="F272" s="314" t="s">
        <v>985</v>
      </c>
      <c r="G272" s="312">
        <v>2301</v>
      </c>
      <c r="H272" s="314" t="s">
        <v>1364</v>
      </c>
      <c r="I272" s="312">
        <v>2301</v>
      </c>
      <c r="J272" s="315" t="s">
        <v>1221</v>
      </c>
      <c r="K272" s="321" t="s">
        <v>999</v>
      </c>
      <c r="L272" s="312">
        <v>2301042</v>
      </c>
      <c r="M272" s="315" t="s">
        <v>1007</v>
      </c>
      <c r="N272" s="312">
        <v>2301042</v>
      </c>
      <c r="O272" s="315" t="s">
        <v>1007</v>
      </c>
      <c r="P272" s="329">
        <v>230104201</v>
      </c>
      <c r="Q272" s="316" t="s">
        <v>1008</v>
      </c>
      <c r="R272" s="329">
        <v>230104201</v>
      </c>
      <c r="S272" s="316" t="s">
        <v>1008</v>
      </c>
      <c r="T272" s="317" t="s">
        <v>1459</v>
      </c>
      <c r="U272" s="345">
        <v>1</v>
      </c>
      <c r="V272" s="345"/>
      <c r="W272" s="318">
        <f t="shared" si="25"/>
        <v>1</v>
      </c>
      <c r="X272" s="385">
        <v>1</v>
      </c>
      <c r="Y272" s="320">
        <v>2020003630139</v>
      </c>
      <c r="Z272" s="412" t="s">
        <v>1287</v>
      </c>
      <c r="AA272" s="321" t="s">
        <v>1002</v>
      </c>
      <c r="AB272" s="322"/>
      <c r="AC272" s="322"/>
      <c r="AD272" s="322"/>
      <c r="AE272" s="365"/>
      <c r="AF272" s="365"/>
      <c r="AG272" s="365"/>
      <c r="AH272" s="365"/>
      <c r="AI272" s="365"/>
      <c r="AJ272" s="365"/>
      <c r="AK272" s="365"/>
      <c r="AL272" s="365"/>
      <c r="AM272" s="365"/>
      <c r="AN272" s="365"/>
      <c r="AO272" s="365"/>
      <c r="AP272" s="365"/>
      <c r="AQ272" s="365"/>
      <c r="AR272" s="365"/>
      <c r="AS272" s="365"/>
      <c r="AT272" s="392">
        <v>18000000</v>
      </c>
      <c r="AU272" s="365">
        <v>14061002.99</v>
      </c>
      <c r="AV272" s="365">
        <v>14061002.99</v>
      </c>
      <c r="AW272" s="386"/>
      <c r="AX272" s="365"/>
      <c r="AY272" s="365"/>
      <c r="AZ272" s="392"/>
      <c r="BA272" s="365"/>
      <c r="BB272" s="365"/>
      <c r="BC272" s="386"/>
      <c r="BD272" s="365"/>
      <c r="BE272" s="365"/>
      <c r="BF272" s="462">
        <f t="shared" si="26"/>
        <v>18000000</v>
      </c>
      <c r="BG272" s="462">
        <f t="shared" si="27"/>
        <v>14061002.99</v>
      </c>
      <c r="BH272" s="462">
        <f t="shared" si="28"/>
        <v>14061002.99</v>
      </c>
      <c r="BI272" s="332" t="s">
        <v>1470</v>
      </c>
      <c r="BJ272" s="328"/>
      <c r="BK272" s="327"/>
      <c r="BL272" s="328"/>
    </row>
    <row r="273" spans="1:64" s="326" customFormat="1" ht="117" customHeight="1" x14ac:dyDescent="0.2">
      <c r="A273" s="312">
        <v>324</v>
      </c>
      <c r="B273" s="314" t="s">
        <v>1293</v>
      </c>
      <c r="C273" s="312">
        <v>1</v>
      </c>
      <c r="D273" s="314" t="s">
        <v>1200</v>
      </c>
      <c r="E273" s="312">
        <v>23</v>
      </c>
      <c r="F273" s="314" t="s">
        <v>985</v>
      </c>
      <c r="G273" s="312">
        <v>2302</v>
      </c>
      <c r="H273" s="314" t="s">
        <v>1139</v>
      </c>
      <c r="I273" s="312">
        <v>2302</v>
      </c>
      <c r="J273" s="315" t="s">
        <v>1242</v>
      </c>
      <c r="K273" s="321" t="s">
        <v>987</v>
      </c>
      <c r="L273" s="312">
        <v>2302042</v>
      </c>
      <c r="M273" s="315" t="s">
        <v>1009</v>
      </c>
      <c r="N273" s="312">
        <v>2302042</v>
      </c>
      <c r="O273" s="315" t="s">
        <v>1009</v>
      </c>
      <c r="P273" s="329">
        <v>230204200</v>
      </c>
      <c r="Q273" s="316" t="s">
        <v>1010</v>
      </c>
      <c r="R273" s="329">
        <v>230204200</v>
      </c>
      <c r="S273" s="316" t="s">
        <v>1010</v>
      </c>
      <c r="T273" s="317" t="s">
        <v>1460</v>
      </c>
      <c r="U273" s="345">
        <v>1</v>
      </c>
      <c r="V273" s="345"/>
      <c r="W273" s="318">
        <f t="shared" si="25"/>
        <v>1</v>
      </c>
      <c r="X273" s="385">
        <v>1</v>
      </c>
      <c r="Y273" s="320">
        <v>2020003630039</v>
      </c>
      <c r="Z273" s="412" t="s">
        <v>1353</v>
      </c>
      <c r="AA273" s="321" t="s">
        <v>1012</v>
      </c>
      <c r="AB273" s="322"/>
      <c r="AC273" s="322"/>
      <c r="AD273" s="322"/>
      <c r="AE273" s="365"/>
      <c r="AF273" s="365"/>
      <c r="AG273" s="365"/>
      <c r="AH273" s="365"/>
      <c r="AI273" s="365"/>
      <c r="AJ273" s="365"/>
      <c r="AK273" s="365"/>
      <c r="AL273" s="365"/>
      <c r="AM273" s="365"/>
      <c r="AN273" s="365"/>
      <c r="AO273" s="365"/>
      <c r="AP273" s="365"/>
      <c r="AQ273" s="365"/>
      <c r="AR273" s="365"/>
      <c r="AS273" s="365"/>
      <c r="AT273" s="392">
        <f>20000000+5900000+3870000</f>
        <v>29770000</v>
      </c>
      <c r="AU273" s="365">
        <v>28968800</v>
      </c>
      <c r="AV273" s="365">
        <v>28968800</v>
      </c>
      <c r="AW273" s="386"/>
      <c r="AX273" s="365"/>
      <c r="AY273" s="365"/>
      <c r="AZ273" s="392"/>
      <c r="BA273" s="365"/>
      <c r="BB273" s="365"/>
      <c r="BC273" s="386"/>
      <c r="BD273" s="365"/>
      <c r="BE273" s="365"/>
      <c r="BF273" s="462">
        <f t="shared" si="26"/>
        <v>29770000</v>
      </c>
      <c r="BG273" s="462">
        <f t="shared" si="27"/>
        <v>28968800</v>
      </c>
      <c r="BH273" s="462">
        <f t="shared" si="28"/>
        <v>28968800</v>
      </c>
      <c r="BI273" s="332" t="s">
        <v>1470</v>
      </c>
      <c r="BJ273" s="328"/>
      <c r="BK273" s="327"/>
      <c r="BL273" s="328"/>
    </row>
    <row r="274" spans="1:64" s="326" customFormat="1" ht="117" customHeight="1" x14ac:dyDescent="0.2">
      <c r="A274" s="312">
        <v>324</v>
      </c>
      <c r="B274" s="314" t="s">
        <v>1293</v>
      </c>
      <c r="C274" s="312">
        <v>1</v>
      </c>
      <c r="D274" s="314" t="s">
        <v>1200</v>
      </c>
      <c r="E274" s="312">
        <v>23</v>
      </c>
      <c r="F274" s="314" t="s">
        <v>985</v>
      </c>
      <c r="G274" s="312">
        <v>2302</v>
      </c>
      <c r="H274" s="314" t="s">
        <v>1139</v>
      </c>
      <c r="I274" s="312">
        <v>2302</v>
      </c>
      <c r="J274" s="315" t="s">
        <v>1242</v>
      </c>
      <c r="K274" s="321" t="s">
        <v>987</v>
      </c>
      <c r="L274" s="312">
        <v>2302022</v>
      </c>
      <c r="M274" s="315" t="s">
        <v>1013</v>
      </c>
      <c r="N274" s="312">
        <v>2302022</v>
      </c>
      <c r="O274" s="315" t="s">
        <v>1013</v>
      </c>
      <c r="P274" s="329">
        <v>230202200</v>
      </c>
      <c r="Q274" s="316" t="s">
        <v>1014</v>
      </c>
      <c r="R274" s="329">
        <v>230202200</v>
      </c>
      <c r="S274" s="316" t="s">
        <v>1014</v>
      </c>
      <c r="T274" s="317" t="s">
        <v>1460</v>
      </c>
      <c r="U274" s="345">
        <v>30</v>
      </c>
      <c r="V274" s="345"/>
      <c r="W274" s="318">
        <f t="shared" ref="W274:W308" si="29">U274+V274</f>
        <v>30</v>
      </c>
      <c r="X274" s="385">
        <v>30</v>
      </c>
      <c r="Y274" s="320">
        <v>2020003630039</v>
      </c>
      <c r="Z274" s="412" t="s">
        <v>1353</v>
      </c>
      <c r="AA274" s="321" t="s">
        <v>1012</v>
      </c>
      <c r="AB274" s="322"/>
      <c r="AC274" s="322"/>
      <c r="AD274" s="322"/>
      <c r="AE274" s="365"/>
      <c r="AF274" s="365"/>
      <c r="AG274" s="365"/>
      <c r="AH274" s="365"/>
      <c r="AI274" s="365"/>
      <c r="AJ274" s="365"/>
      <c r="AK274" s="365"/>
      <c r="AL274" s="365"/>
      <c r="AM274" s="365"/>
      <c r="AN274" s="365"/>
      <c r="AO274" s="365"/>
      <c r="AP274" s="365"/>
      <c r="AQ274" s="365"/>
      <c r="AR274" s="365"/>
      <c r="AS274" s="365"/>
      <c r="AT274" s="392">
        <f>36000000-5900000-4000000-20230000</f>
        <v>5870000</v>
      </c>
      <c r="AU274" s="365">
        <v>5770000</v>
      </c>
      <c r="AV274" s="365">
        <v>5770000</v>
      </c>
      <c r="AW274" s="386"/>
      <c r="AX274" s="365"/>
      <c r="AY274" s="365"/>
      <c r="AZ274" s="392"/>
      <c r="BA274" s="365"/>
      <c r="BB274" s="365"/>
      <c r="BC274" s="386"/>
      <c r="BD274" s="365"/>
      <c r="BE274" s="365"/>
      <c r="BF274" s="462">
        <f t="shared" si="26"/>
        <v>5870000</v>
      </c>
      <c r="BG274" s="462">
        <f t="shared" si="27"/>
        <v>5770000</v>
      </c>
      <c r="BH274" s="462">
        <f t="shared" si="28"/>
        <v>5770000</v>
      </c>
      <c r="BI274" s="332" t="s">
        <v>1470</v>
      </c>
      <c r="BJ274" s="328"/>
      <c r="BK274" s="327"/>
      <c r="BL274" s="328"/>
    </row>
    <row r="275" spans="1:64" s="326" customFormat="1" ht="117" customHeight="1" x14ac:dyDescent="0.2">
      <c r="A275" s="312">
        <v>324</v>
      </c>
      <c r="B275" s="314" t="s">
        <v>1293</v>
      </c>
      <c r="C275" s="312">
        <v>1</v>
      </c>
      <c r="D275" s="314" t="s">
        <v>1200</v>
      </c>
      <c r="E275" s="312">
        <v>23</v>
      </c>
      <c r="F275" s="314" t="s">
        <v>985</v>
      </c>
      <c r="G275" s="312">
        <v>2302</v>
      </c>
      <c r="H275" s="314" t="s">
        <v>1139</v>
      </c>
      <c r="I275" s="312">
        <v>2302</v>
      </c>
      <c r="J275" s="315" t="s">
        <v>1242</v>
      </c>
      <c r="K275" s="321" t="s">
        <v>999</v>
      </c>
      <c r="L275" s="312">
        <v>2302021</v>
      </c>
      <c r="M275" s="315" t="s">
        <v>1015</v>
      </c>
      <c r="N275" s="312">
        <v>2302021</v>
      </c>
      <c r="O275" s="315" t="s">
        <v>1015</v>
      </c>
      <c r="P275" s="329">
        <v>230202100</v>
      </c>
      <c r="Q275" s="316" t="s">
        <v>1016</v>
      </c>
      <c r="R275" s="329">
        <v>230202100</v>
      </c>
      <c r="S275" s="316" t="s">
        <v>1016</v>
      </c>
      <c r="T275" s="317" t="s">
        <v>1460</v>
      </c>
      <c r="U275" s="345">
        <v>10</v>
      </c>
      <c r="V275" s="345"/>
      <c r="W275" s="318">
        <f t="shared" si="29"/>
        <v>10</v>
      </c>
      <c r="X275" s="385">
        <v>10</v>
      </c>
      <c r="Y275" s="320">
        <v>2020003630039</v>
      </c>
      <c r="Z275" s="315" t="s">
        <v>1353</v>
      </c>
      <c r="AA275" s="321" t="s">
        <v>1012</v>
      </c>
      <c r="AB275" s="322"/>
      <c r="AC275" s="322"/>
      <c r="AD275" s="322"/>
      <c r="AE275" s="365"/>
      <c r="AF275" s="365"/>
      <c r="AG275" s="365"/>
      <c r="AH275" s="365"/>
      <c r="AI275" s="365"/>
      <c r="AJ275" s="365"/>
      <c r="AK275" s="365"/>
      <c r="AL275" s="365"/>
      <c r="AM275" s="365"/>
      <c r="AN275" s="365"/>
      <c r="AO275" s="365"/>
      <c r="AP275" s="365"/>
      <c r="AQ275" s="365"/>
      <c r="AR275" s="365"/>
      <c r="AS275" s="365"/>
      <c r="AT275" s="392">
        <f>50000000+70000000+70000000+6933031+21085800</f>
        <v>218018831</v>
      </c>
      <c r="AU275" s="365">
        <v>214214160</v>
      </c>
      <c r="AV275" s="365">
        <v>214214160</v>
      </c>
      <c r="AW275" s="386"/>
      <c r="AX275" s="365"/>
      <c r="AY275" s="365"/>
      <c r="AZ275" s="392"/>
      <c r="BA275" s="365"/>
      <c r="BB275" s="365"/>
      <c r="BC275" s="386"/>
      <c r="BD275" s="365"/>
      <c r="BE275" s="365"/>
      <c r="BF275" s="462">
        <f t="shared" si="26"/>
        <v>218018831</v>
      </c>
      <c r="BG275" s="462">
        <f t="shared" si="27"/>
        <v>214214160</v>
      </c>
      <c r="BH275" s="462">
        <f t="shared" si="28"/>
        <v>214214160</v>
      </c>
      <c r="BI275" s="332" t="s">
        <v>1470</v>
      </c>
      <c r="BJ275" s="328"/>
      <c r="BK275" s="327"/>
      <c r="BL275" s="328"/>
    </row>
    <row r="276" spans="1:64" s="326" customFormat="1" ht="117" customHeight="1" x14ac:dyDescent="0.2">
      <c r="A276" s="312">
        <v>324</v>
      </c>
      <c r="B276" s="314" t="s">
        <v>1293</v>
      </c>
      <c r="C276" s="312">
        <v>1</v>
      </c>
      <c r="D276" s="314" t="s">
        <v>1200</v>
      </c>
      <c r="E276" s="312">
        <v>23</v>
      </c>
      <c r="F276" s="314" t="s">
        <v>985</v>
      </c>
      <c r="G276" s="312">
        <v>2302</v>
      </c>
      <c r="H276" s="314" t="s">
        <v>1139</v>
      </c>
      <c r="I276" s="312">
        <v>2302</v>
      </c>
      <c r="J276" s="315" t="s">
        <v>1242</v>
      </c>
      <c r="K276" s="321" t="s">
        <v>1017</v>
      </c>
      <c r="L276" s="312">
        <v>2302058</v>
      </c>
      <c r="M276" s="315" t="s">
        <v>1018</v>
      </c>
      <c r="N276" s="312">
        <v>2302058</v>
      </c>
      <c r="O276" s="315" t="s">
        <v>1018</v>
      </c>
      <c r="P276" s="329">
        <v>230205800</v>
      </c>
      <c r="Q276" s="316" t="s">
        <v>1019</v>
      </c>
      <c r="R276" s="329">
        <v>230205800</v>
      </c>
      <c r="S276" s="316" t="s">
        <v>1019</v>
      </c>
      <c r="T276" s="317" t="s">
        <v>1460</v>
      </c>
      <c r="U276" s="345">
        <v>300</v>
      </c>
      <c r="V276" s="345"/>
      <c r="W276" s="318">
        <f t="shared" si="29"/>
        <v>300</v>
      </c>
      <c r="X276" s="385">
        <v>300</v>
      </c>
      <c r="Y276" s="320">
        <v>2020003630039</v>
      </c>
      <c r="Z276" s="412" t="s">
        <v>1353</v>
      </c>
      <c r="AA276" s="321" t="s">
        <v>1012</v>
      </c>
      <c r="AB276" s="322"/>
      <c r="AC276" s="322"/>
      <c r="AD276" s="322"/>
      <c r="AE276" s="365"/>
      <c r="AF276" s="365"/>
      <c r="AG276" s="365"/>
      <c r="AH276" s="365"/>
      <c r="AI276" s="365"/>
      <c r="AJ276" s="365"/>
      <c r="AK276" s="365"/>
      <c r="AL276" s="365"/>
      <c r="AM276" s="365"/>
      <c r="AN276" s="365"/>
      <c r="AO276" s="365"/>
      <c r="AP276" s="365"/>
      <c r="AQ276" s="365"/>
      <c r="AR276" s="365"/>
      <c r="AS276" s="365"/>
      <c r="AT276" s="392">
        <f>20000000-725800</f>
        <v>19274200</v>
      </c>
      <c r="AU276" s="365">
        <v>19237813.100000001</v>
      </c>
      <c r="AV276" s="365">
        <v>19237813.100000001</v>
      </c>
      <c r="AW276" s="386"/>
      <c r="AX276" s="365"/>
      <c r="AY276" s="365"/>
      <c r="AZ276" s="392"/>
      <c r="BA276" s="365"/>
      <c r="BB276" s="365"/>
      <c r="BC276" s="386"/>
      <c r="BD276" s="365"/>
      <c r="BE276" s="365"/>
      <c r="BF276" s="462">
        <f t="shared" si="26"/>
        <v>19274200</v>
      </c>
      <c r="BG276" s="462">
        <f t="shared" si="27"/>
        <v>19237813.100000001</v>
      </c>
      <c r="BH276" s="462">
        <f t="shared" si="28"/>
        <v>19237813.100000001</v>
      </c>
      <c r="BI276" s="332" t="s">
        <v>1470</v>
      </c>
      <c r="BJ276" s="328"/>
      <c r="BK276" s="327"/>
      <c r="BL276" s="328"/>
    </row>
    <row r="277" spans="1:64" s="326" customFormat="1" ht="117" customHeight="1" x14ac:dyDescent="0.2">
      <c r="A277" s="312">
        <v>324</v>
      </c>
      <c r="B277" s="314" t="s">
        <v>1293</v>
      </c>
      <c r="C277" s="312">
        <v>1</v>
      </c>
      <c r="D277" s="314" t="s">
        <v>1200</v>
      </c>
      <c r="E277" s="312">
        <v>23</v>
      </c>
      <c r="F277" s="314" t="s">
        <v>985</v>
      </c>
      <c r="G277" s="312">
        <v>2302</v>
      </c>
      <c r="H277" s="314" t="s">
        <v>1139</v>
      </c>
      <c r="I277" s="312">
        <v>2302</v>
      </c>
      <c r="J277" s="315" t="s">
        <v>1242</v>
      </c>
      <c r="K277" s="321" t="s">
        <v>1017</v>
      </c>
      <c r="L277" s="312">
        <v>2302068</v>
      </c>
      <c r="M277" s="315" t="s">
        <v>1020</v>
      </c>
      <c r="N277" s="312">
        <v>2302068</v>
      </c>
      <c r="O277" s="315" t="s">
        <v>1020</v>
      </c>
      <c r="P277" s="329">
        <v>230206800</v>
      </c>
      <c r="Q277" s="316" t="s">
        <v>1021</v>
      </c>
      <c r="R277" s="329">
        <v>230206800</v>
      </c>
      <c r="S277" s="316" t="s">
        <v>1021</v>
      </c>
      <c r="T277" s="317" t="s">
        <v>1460</v>
      </c>
      <c r="U277" s="345">
        <v>60</v>
      </c>
      <c r="V277" s="345"/>
      <c r="W277" s="318">
        <f t="shared" si="29"/>
        <v>60</v>
      </c>
      <c r="X277" s="385">
        <v>60</v>
      </c>
      <c r="Y277" s="320">
        <v>2020003630039</v>
      </c>
      <c r="Z277" s="412" t="s">
        <v>1353</v>
      </c>
      <c r="AA277" s="321" t="s">
        <v>1012</v>
      </c>
      <c r="AB277" s="322"/>
      <c r="AC277" s="322"/>
      <c r="AD277" s="322"/>
      <c r="AE277" s="365"/>
      <c r="AF277" s="365"/>
      <c r="AG277" s="365"/>
      <c r="AH277" s="365"/>
      <c r="AI277" s="365"/>
      <c r="AJ277" s="365"/>
      <c r="AK277" s="365"/>
      <c r="AL277" s="365"/>
      <c r="AM277" s="365"/>
      <c r="AN277" s="365"/>
      <c r="AO277" s="365"/>
      <c r="AP277" s="365"/>
      <c r="AQ277" s="365"/>
      <c r="AR277" s="365"/>
      <c r="AS277" s="365"/>
      <c r="AT277" s="392">
        <v>20000000</v>
      </c>
      <c r="AU277" s="365">
        <v>20000000</v>
      </c>
      <c r="AV277" s="365">
        <v>20000000</v>
      </c>
      <c r="AW277" s="386"/>
      <c r="AX277" s="365"/>
      <c r="AY277" s="365"/>
      <c r="AZ277" s="392"/>
      <c r="BA277" s="365"/>
      <c r="BB277" s="365"/>
      <c r="BC277" s="386"/>
      <c r="BD277" s="365"/>
      <c r="BE277" s="365"/>
      <c r="BF277" s="462">
        <f t="shared" si="26"/>
        <v>20000000</v>
      </c>
      <c r="BG277" s="462">
        <f t="shared" si="27"/>
        <v>20000000</v>
      </c>
      <c r="BH277" s="462">
        <f t="shared" si="28"/>
        <v>20000000</v>
      </c>
      <c r="BI277" s="332" t="s">
        <v>1470</v>
      </c>
      <c r="BJ277" s="328"/>
      <c r="BK277" s="327"/>
      <c r="BL277" s="328"/>
    </row>
    <row r="278" spans="1:64" s="326" customFormat="1" ht="117" customHeight="1" x14ac:dyDescent="0.2">
      <c r="A278" s="312">
        <v>324</v>
      </c>
      <c r="B278" s="314" t="s">
        <v>1293</v>
      </c>
      <c r="C278" s="312">
        <v>2</v>
      </c>
      <c r="D278" s="314" t="s">
        <v>1196</v>
      </c>
      <c r="E278" s="312">
        <v>39</v>
      </c>
      <c r="F278" s="314" t="s">
        <v>1137</v>
      </c>
      <c r="G278" s="312" t="s">
        <v>1022</v>
      </c>
      <c r="H278" s="314" t="s">
        <v>1023</v>
      </c>
      <c r="I278" s="312" t="s">
        <v>1022</v>
      </c>
      <c r="J278" s="315" t="s">
        <v>1264</v>
      </c>
      <c r="K278" s="321" t="s">
        <v>1024</v>
      </c>
      <c r="L278" s="312">
        <v>3903005</v>
      </c>
      <c r="M278" s="315" t="s">
        <v>1025</v>
      </c>
      <c r="N278" s="413">
        <v>3903005</v>
      </c>
      <c r="O278" s="315" t="s">
        <v>1025</v>
      </c>
      <c r="P278" s="361" t="s">
        <v>1026</v>
      </c>
      <c r="Q278" s="316" t="s">
        <v>1027</v>
      </c>
      <c r="R278" s="329">
        <v>390300501</v>
      </c>
      <c r="S278" s="316" t="s">
        <v>1027</v>
      </c>
      <c r="T278" s="317" t="s">
        <v>1459</v>
      </c>
      <c r="U278" s="345">
        <v>1</v>
      </c>
      <c r="V278" s="345"/>
      <c r="W278" s="318">
        <f t="shared" si="29"/>
        <v>1</v>
      </c>
      <c r="X278" s="385">
        <v>1</v>
      </c>
      <c r="Y278" s="320">
        <v>2020003630140</v>
      </c>
      <c r="Z278" s="315" t="s">
        <v>1354</v>
      </c>
      <c r="AA278" s="321" t="s">
        <v>1029</v>
      </c>
      <c r="AB278" s="322"/>
      <c r="AC278" s="322"/>
      <c r="AD278" s="322"/>
      <c r="AE278" s="365"/>
      <c r="AF278" s="365"/>
      <c r="AG278" s="365"/>
      <c r="AH278" s="365"/>
      <c r="AI278" s="365"/>
      <c r="AJ278" s="365"/>
      <c r="AK278" s="365"/>
      <c r="AL278" s="365"/>
      <c r="AM278" s="365"/>
      <c r="AN278" s="365"/>
      <c r="AO278" s="365"/>
      <c r="AP278" s="365"/>
      <c r="AQ278" s="365"/>
      <c r="AR278" s="365"/>
      <c r="AS278" s="365"/>
      <c r="AT278" s="392">
        <v>20000000</v>
      </c>
      <c r="AU278" s="365">
        <v>20000000</v>
      </c>
      <c r="AV278" s="365">
        <v>20000000</v>
      </c>
      <c r="AW278" s="386"/>
      <c r="AX278" s="365"/>
      <c r="AY278" s="365"/>
      <c r="AZ278" s="392"/>
      <c r="BA278" s="365"/>
      <c r="BB278" s="365"/>
      <c r="BC278" s="386"/>
      <c r="BD278" s="365"/>
      <c r="BE278" s="365"/>
      <c r="BF278" s="462">
        <f t="shared" si="26"/>
        <v>20000000</v>
      </c>
      <c r="BG278" s="462">
        <f t="shared" si="27"/>
        <v>20000000</v>
      </c>
      <c r="BH278" s="462">
        <f t="shared" si="28"/>
        <v>20000000</v>
      </c>
      <c r="BI278" s="332" t="s">
        <v>1470</v>
      </c>
      <c r="BJ278" s="328"/>
      <c r="BK278" s="327"/>
      <c r="BL278" s="328"/>
    </row>
    <row r="279" spans="1:64" s="326" customFormat="1" ht="117" customHeight="1" x14ac:dyDescent="0.2">
      <c r="A279" s="312">
        <v>324</v>
      </c>
      <c r="B279" s="314" t="s">
        <v>1293</v>
      </c>
      <c r="C279" s="312">
        <v>2</v>
      </c>
      <c r="D279" s="314" t="s">
        <v>1196</v>
      </c>
      <c r="E279" s="312">
        <v>39</v>
      </c>
      <c r="F279" s="314" t="s">
        <v>1137</v>
      </c>
      <c r="G279" s="312" t="s">
        <v>1022</v>
      </c>
      <c r="H279" s="314" t="s">
        <v>1023</v>
      </c>
      <c r="I279" s="312" t="s">
        <v>1022</v>
      </c>
      <c r="J279" s="315" t="s">
        <v>1264</v>
      </c>
      <c r="K279" s="321" t="s">
        <v>1024</v>
      </c>
      <c r="L279" s="312">
        <v>3903005</v>
      </c>
      <c r="M279" s="315" t="s">
        <v>1025</v>
      </c>
      <c r="N279" s="413">
        <v>3903005</v>
      </c>
      <c r="O279" s="315" t="s">
        <v>1025</v>
      </c>
      <c r="P279" s="361" t="s">
        <v>1030</v>
      </c>
      <c r="Q279" s="316" t="s">
        <v>1031</v>
      </c>
      <c r="R279" s="361">
        <v>390300507</v>
      </c>
      <c r="S279" s="316" t="s">
        <v>1031</v>
      </c>
      <c r="T279" s="317" t="s">
        <v>1460</v>
      </c>
      <c r="U279" s="345">
        <v>70</v>
      </c>
      <c r="V279" s="345"/>
      <c r="W279" s="318">
        <f t="shared" si="29"/>
        <v>70</v>
      </c>
      <c r="X279" s="385">
        <v>70</v>
      </c>
      <c r="Y279" s="320">
        <v>2020003630140</v>
      </c>
      <c r="Z279" s="412" t="s">
        <v>1354</v>
      </c>
      <c r="AA279" s="321" t="s">
        <v>1029</v>
      </c>
      <c r="AB279" s="322"/>
      <c r="AC279" s="322"/>
      <c r="AD279" s="322"/>
      <c r="AE279" s="365"/>
      <c r="AF279" s="365"/>
      <c r="AG279" s="365"/>
      <c r="AH279" s="365"/>
      <c r="AI279" s="365"/>
      <c r="AJ279" s="365"/>
      <c r="AK279" s="365"/>
      <c r="AL279" s="365"/>
      <c r="AM279" s="365"/>
      <c r="AN279" s="365"/>
      <c r="AO279" s="365"/>
      <c r="AP279" s="365"/>
      <c r="AQ279" s="365"/>
      <c r="AR279" s="365"/>
      <c r="AS279" s="365"/>
      <c r="AT279" s="392">
        <f>20000000+30000000</f>
        <v>50000000</v>
      </c>
      <c r="AU279" s="365">
        <v>48550000</v>
      </c>
      <c r="AV279" s="365">
        <v>48550000</v>
      </c>
      <c r="AW279" s="386"/>
      <c r="AX279" s="365"/>
      <c r="AY279" s="365"/>
      <c r="AZ279" s="392"/>
      <c r="BA279" s="365"/>
      <c r="BB279" s="365"/>
      <c r="BC279" s="386"/>
      <c r="BD279" s="365"/>
      <c r="BE279" s="365"/>
      <c r="BF279" s="462">
        <f t="shared" si="26"/>
        <v>50000000</v>
      </c>
      <c r="BG279" s="462">
        <f t="shared" si="27"/>
        <v>48550000</v>
      </c>
      <c r="BH279" s="462">
        <f t="shared" si="28"/>
        <v>48550000</v>
      </c>
      <c r="BI279" s="332" t="s">
        <v>1470</v>
      </c>
      <c r="BJ279" s="328"/>
      <c r="BK279" s="327"/>
      <c r="BL279" s="328"/>
    </row>
    <row r="280" spans="1:64" s="326" customFormat="1" ht="117" customHeight="1" x14ac:dyDescent="0.2">
      <c r="A280" s="312">
        <v>324</v>
      </c>
      <c r="B280" s="314" t="s">
        <v>1293</v>
      </c>
      <c r="C280" s="312">
        <v>2</v>
      </c>
      <c r="D280" s="314" t="s">
        <v>1196</v>
      </c>
      <c r="E280" s="312">
        <v>39</v>
      </c>
      <c r="F280" s="314" t="s">
        <v>1137</v>
      </c>
      <c r="G280" s="312" t="s">
        <v>1022</v>
      </c>
      <c r="H280" s="314" t="s">
        <v>1023</v>
      </c>
      <c r="I280" s="312" t="s">
        <v>1022</v>
      </c>
      <c r="J280" s="315" t="s">
        <v>1264</v>
      </c>
      <c r="K280" s="321" t="s">
        <v>1024</v>
      </c>
      <c r="L280" s="312">
        <v>3903005</v>
      </c>
      <c r="M280" s="315" t="s">
        <v>1025</v>
      </c>
      <c r="N280" s="413">
        <v>3903005</v>
      </c>
      <c r="O280" s="315" t="s">
        <v>1025</v>
      </c>
      <c r="P280" s="361" t="s">
        <v>1032</v>
      </c>
      <c r="Q280" s="316" t="s">
        <v>1033</v>
      </c>
      <c r="R280" s="361">
        <v>390300511</v>
      </c>
      <c r="S280" s="316" t="s">
        <v>1033</v>
      </c>
      <c r="T280" s="317" t="s">
        <v>1460</v>
      </c>
      <c r="U280" s="345">
        <v>70</v>
      </c>
      <c r="V280" s="345"/>
      <c r="W280" s="318">
        <f t="shared" si="29"/>
        <v>70</v>
      </c>
      <c r="X280" s="385">
        <v>70</v>
      </c>
      <c r="Y280" s="320">
        <v>2020003630140</v>
      </c>
      <c r="Z280" s="412" t="s">
        <v>1354</v>
      </c>
      <c r="AA280" s="321" t="s">
        <v>1029</v>
      </c>
      <c r="AB280" s="322"/>
      <c r="AC280" s="322"/>
      <c r="AD280" s="322"/>
      <c r="AE280" s="365"/>
      <c r="AF280" s="365"/>
      <c r="AG280" s="365"/>
      <c r="AH280" s="365"/>
      <c r="AI280" s="365"/>
      <c r="AJ280" s="365"/>
      <c r="AK280" s="365"/>
      <c r="AL280" s="365"/>
      <c r="AM280" s="365"/>
      <c r="AN280" s="365"/>
      <c r="AO280" s="365"/>
      <c r="AP280" s="365"/>
      <c r="AQ280" s="365"/>
      <c r="AR280" s="365"/>
      <c r="AS280" s="365"/>
      <c r="AT280" s="392">
        <v>20000000</v>
      </c>
      <c r="AU280" s="365">
        <v>18000000</v>
      </c>
      <c r="AV280" s="365">
        <v>18000000</v>
      </c>
      <c r="AW280" s="386"/>
      <c r="AX280" s="365"/>
      <c r="AY280" s="365"/>
      <c r="AZ280" s="392"/>
      <c r="BA280" s="365"/>
      <c r="BB280" s="365"/>
      <c r="BC280" s="386"/>
      <c r="BD280" s="365"/>
      <c r="BE280" s="365"/>
      <c r="BF280" s="462">
        <f t="shared" si="26"/>
        <v>20000000</v>
      </c>
      <c r="BG280" s="462">
        <f t="shared" si="27"/>
        <v>18000000</v>
      </c>
      <c r="BH280" s="462">
        <f t="shared" si="28"/>
        <v>18000000</v>
      </c>
      <c r="BI280" s="332" t="s">
        <v>1470</v>
      </c>
      <c r="BJ280" s="328"/>
      <c r="BK280" s="327"/>
      <c r="BL280" s="328"/>
    </row>
    <row r="281" spans="1:64" s="326" customFormat="1" ht="117" customHeight="1" x14ac:dyDescent="0.2">
      <c r="A281" s="312">
        <v>324</v>
      </c>
      <c r="B281" s="314" t="s">
        <v>1293</v>
      </c>
      <c r="C281" s="312">
        <v>2</v>
      </c>
      <c r="D281" s="314" t="s">
        <v>1196</v>
      </c>
      <c r="E281" s="312">
        <v>39</v>
      </c>
      <c r="F281" s="314" t="s">
        <v>1137</v>
      </c>
      <c r="G281" s="312">
        <v>3904</v>
      </c>
      <c r="H281" s="314" t="s">
        <v>642</v>
      </c>
      <c r="I281" s="312">
        <v>3904</v>
      </c>
      <c r="J281" s="315" t="s">
        <v>1262</v>
      </c>
      <c r="K281" s="321" t="s">
        <v>1034</v>
      </c>
      <c r="L281" s="312">
        <v>3904018</v>
      </c>
      <c r="M281" s="315" t="s">
        <v>1035</v>
      </c>
      <c r="N281" s="312">
        <v>3904018</v>
      </c>
      <c r="O281" s="315" t="s">
        <v>1035</v>
      </c>
      <c r="P281" s="361">
        <v>390401809</v>
      </c>
      <c r="Q281" s="316" t="s">
        <v>1036</v>
      </c>
      <c r="R281" s="361">
        <v>390401809</v>
      </c>
      <c r="S281" s="316" t="s">
        <v>1036</v>
      </c>
      <c r="T281" s="317" t="s">
        <v>1460</v>
      </c>
      <c r="U281" s="345">
        <v>6</v>
      </c>
      <c r="V281" s="345">
        <v>7</v>
      </c>
      <c r="W281" s="318">
        <f t="shared" si="29"/>
        <v>13</v>
      </c>
      <c r="X281" s="385">
        <v>13</v>
      </c>
      <c r="Y281" s="320">
        <v>2020003630040</v>
      </c>
      <c r="Z281" s="412" t="s">
        <v>1355</v>
      </c>
      <c r="AA281" s="321" t="s">
        <v>1038</v>
      </c>
      <c r="AB281" s="322"/>
      <c r="AC281" s="322"/>
      <c r="AD281" s="322"/>
      <c r="AE281" s="365"/>
      <c r="AF281" s="365"/>
      <c r="AG281" s="365"/>
      <c r="AH281" s="365"/>
      <c r="AI281" s="365"/>
      <c r="AJ281" s="365"/>
      <c r="AK281" s="365"/>
      <c r="AL281" s="365"/>
      <c r="AM281" s="365"/>
      <c r="AN281" s="365"/>
      <c r="AO281" s="365"/>
      <c r="AP281" s="365"/>
      <c r="AQ281" s="365"/>
      <c r="AR281" s="365"/>
      <c r="AS281" s="365"/>
      <c r="AT281" s="392">
        <f>18000000+10000000+2891000</f>
        <v>30891000</v>
      </c>
      <c r="AU281" s="365">
        <v>29948046.960000001</v>
      </c>
      <c r="AV281" s="365">
        <v>29948046.960000001</v>
      </c>
      <c r="AW281" s="386"/>
      <c r="AX281" s="365"/>
      <c r="AY281" s="365"/>
      <c r="AZ281" s="392"/>
      <c r="BA281" s="365"/>
      <c r="BB281" s="365"/>
      <c r="BC281" s="386"/>
      <c r="BD281" s="365"/>
      <c r="BE281" s="365"/>
      <c r="BF281" s="462">
        <f t="shared" si="26"/>
        <v>30891000</v>
      </c>
      <c r="BG281" s="462">
        <f t="shared" si="27"/>
        <v>29948046.960000001</v>
      </c>
      <c r="BH281" s="462">
        <f t="shared" si="28"/>
        <v>29948046.960000001</v>
      </c>
      <c r="BI281" s="332" t="s">
        <v>1470</v>
      </c>
      <c r="BJ281" s="328"/>
      <c r="BK281" s="327"/>
      <c r="BL281" s="328"/>
    </row>
    <row r="282" spans="1:64" s="326" customFormat="1" ht="117" customHeight="1" x14ac:dyDescent="0.2">
      <c r="A282" s="312">
        <v>324</v>
      </c>
      <c r="B282" s="314" t="s">
        <v>1293</v>
      </c>
      <c r="C282" s="312">
        <v>4</v>
      </c>
      <c r="D282" s="314" t="s">
        <v>1205</v>
      </c>
      <c r="E282" s="312">
        <v>23</v>
      </c>
      <c r="F282" s="314" t="s">
        <v>985</v>
      </c>
      <c r="G282" s="312">
        <v>2302</v>
      </c>
      <c r="H282" s="314" t="s">
        <v>1139</v>
      </c>
      <c r="I282" s="312">
        <v>2302</v>
      </c>
      <c r="J282" s="315" t="s">
        <v>1242</v>
      </c>
      <c r="K282" s="321" t="s">
        <v>1039</v>
      </c>
      <c r="L282" s="312">
        <v>2302003</v>
      </c>
      <c r="M282" s="315" t="s">
        <v>1040</v>
      </c>
      <c r="N282" s="312">
        <v>2302003</v>
      </c>
      <c r="O282" s="315" t="s">
        <v>1040</v>
      </c>
      <c r="P282" s="361">
        <v>230200300</v>
      </c>
      <c r="Q282" s="316" t="s">
        <v>1041</v>
      </c>
      <c r="R282" s="361">
        <v>230200300</v>
      </c>
      <c r="S282" s="316" t="s">
        <v>1041</v>
      </c>
      <c r="T282" s="317" t="s">
        <v>1460</v>
      </c>
      <c r="U282" s="345">
        <v>3</v>
      </c>
      <c r="V282" s="345"/>
      <c r="W282" s="318">
        <f t="shared" si="29"/>
        <v>3</v>
      </c>
      <c r="X282" s="385">
        <v>3</v>
      </c>
      <c r="Y282" s="320">
        <v>2020003630141</v>
      </c>
      <c r="Z282" s="412" t="s">
        <v>1356</v>
      </c>
      <c r="AA282" s="321" t="s">
        <v>1043</v>
      </c>
      <c r="AB282" s="322"/>
      <c r="AC282" s="322"/>
      <c r="AD282" s="322"/>
      <c r="AE282" s="365"/>
      <c r="AF282" s="365"/>
      <c r="AG282" s="365"/>
      <c r="AH282" s="365"/>
      <c r="AI282" s="365"/>
      <c r="AJ282" s="365"/>
      <c r="AK282" s="365"/>
      <c r="AL282" s="365"/>
      <c r="AM282" s="365"/>
      <c r="AN282" s="365"/>
      <c r="AO282" s="365"/>
      <c r="AP282" s="365"/>
      <c r="AQ282" s="365"/>
      <c r="AR282" s="365"/>
      <c r="AS282" s="365"/>
      <c r="AT282" s="392">
        <f>120000000+40000000+33125000-17000000</f>
        <v>176125000</v>
      </c>
      <c r="AU282" s="365">
        <v>174714175</v>
      </c>
      <c r="AV282" s="365">
        <v>174714175</v>
      </c>
      <c r="AW282" s="386"/>
      <c r="AX282" s="365"/>
      <c r="AY282" s="365"/>
      <c r="AZ282" s="392"/>
      <c r="BA282" s="365"/>
      <c r="BB282" s="365"/>
      <c r="BC282" s="386"/>
      <c r="BD282" s="365"/>
      <c r="BE282" s="365"/>
      <c r="BF282" s="462">
        <f t="shared" si="26"/>
        <v>176125000</v>
      </c>
      <c r="BG282" s="462">
        <f t="shared" si="27"/>
        <v>174714175</v>
      </c>
      <c r="BH282" s="462">
        <f t="shared" si="28"/>
        <v>174714175</v>
      </c>
      <c r="BI282" s="332" t="s">
        <v>1470</v>
      </c>
      <c r="BJ282" s="328"/>
      <c r="BK282" s="327"/>
      <c r="BL282" s="328"/>
    </row>
    <row r="283" spans="1:64" s="326" customFormat="1" ht="117" customHeight="1" x14ac:dyDescent="0.2">
      <c r="A283" s="312">
        <v>324</v>
      </c>
      <c r="B283" s="314" t="s">
        <v>1293</v>
      </c>
      <c r="C283" s="312">
        <v>4</v>
      </c>
      <c r="D283" s="314" t="s">
        <v>1205</v>
      </c>
      <c r="E283" s="312">
        <v>23</v>
      </c>
      <c r="F283" s="314" t="s">
        <v>985</v>
      </c>
      <c r="G283" s="312">
        <v>2302</v>
      </c>
      <c r="H283" s="314" t="s">
        <v>1139</v>
      </c>
      <c r="I283" s="312">
        <v>2302</v>
      </c>
      <c r="J283" s="315" t="s">
        <v>1242</v>
      </c>
      <c r="K283" s="321" t="s">
        <v>1039</v>
      </c>
      <c r="L283" s="312">
        <v>2302033</v>
      </c>
      <c r="M283" s="315" t="s">
        <v>1044</v>
      </c>
      <c r="N283" s="312">
        <v>2302033</v>
      </c>
      <c r="O283" s="315" t="s">
        <v>1044</v>
      </c>
      <c r="P283" s="361">
        <v>230203300</v>
      </c>
      <c r="Q283" s="316" t="s">
        <v>1045</v>
      </c>
      <c r="R283" s="361">
        <v>230203300</v>
      </c>
      <c r="S283" s="316" t="s">
        <v>1045</v>
      </c>
      <c r="T283" s="317" t="s">
        <v>1459</v>
      </c>
      <c r="U283" s="345">
        <v>100</v>
      </c>
      <c r="V283" s="345"/>
      <c r="W283" s="318">
        <f t="shared" si="29"/>
        <v>100</v>
      </c>
      <c r="X283" s="385">
        <v>100</v>
      </c>
      <c r="Y283" s="320">
        <v>2020003630141</v>
      </c>
      <c r="Z283" s="412" t="s">
        <v>1356</v>
      </c>
      <c r="AA283" s="321" t="s">
        <v>1043</v>
      </c>
      <c r="AB283" s="322"/>
      <c r="AC283" s="322"/>
      <c r="AD283" s="322"/>
      <c r="AE283" s="365"/>
      <c r="AF283" s="365"/>
      <c r="AG283" s="365"/>
      <c r="AH283" s="365"/>
      <c r="AI283" s="365"/>
      <c r="AJ283" s="365"/>
      <c r="AK283" s="365"/>
      <c r="AL283" s="365"/>
      <c r="AM283" s="365"/>
      <c r="AN283" s="365"/>
      <c r="AO283" s="365"/>
      <c r="AP283" s="365"/>
      <c r="AQ283" s="365"/>
      <c r="AR283" s="365"/>
      <c r="AS283" s="365"/>
      <c r="AT283" s="392">
        <f>50000000+17310000</f>
        <v>67310000</v>
      </c>
      <c r="AU283" s="365">
        <v>66405333</v>
      </c>
      <c r="AV283" s="365">
        <v>66405333</v>
      </c>
      <c r="AW283" s="386"/>
      <c r="AX283" s="365"/>
      <c r="AY283" s="365"/>
      <c r="AZ283" s="392"/>
      <c r="BA283" s="365"/>
      <c r="BB283" s="365"/>
      <c r="BC283" s="386"/>
      <c r="BD283" s="365"/>
      <c r="BE283" s="365"/>
      <c r="BF283" s="462">
        <f t="shared" si="26"/>
        <v>67310000</v>
      </c>
      <c r="BG283" s="462">
        <f t="shared" si="27"/>
        <v>66405333</v>
      </c>
      <c r="BH283" s="462">
        <f t="shared" si="28"/>
        <v>66405333</v>
      </c>
      <c r="BI283" s="332" t="s">
        <v>1470</v>
      </c>
      <c r="BJ283" s="328"/>
      <c r="BK283" s="327"/>
      <c r="BL283" s="328"/>
    </row>
    <row r="284" spans="1:64" s="326" customFormat="1" ht="117" customHeight="1" x14ac:dyDescent="0.2">
      <c r="A284" s="312">
        <v>324</v>
      </c>
      <c r="B284" s="314" t="s">
        <v>1293</v>
      </c>
      <c r="C284" s="312">
        <v>4</v>
      </c>
      <c r="D284" s="314" t="s">
        <v>1205</v>
      </c>
      <c r="E284" s="312">
        <v>23</v>
      </c>
      <c r="F284" s="314" t="s">
        <v>985</v>
      </c>
      <c r="G284" s="312">
        <v>2302</v>
      </c>
      <c r="H284" s="314" t="s">
        <v>1139</v>
      </c>
      <c r="I284" s="312">
        <v>2302</v>
      </c>
      <c r="J284" s="315" t="s">
        <v>1242</v>
      </c>
      <c r="K284" s="321" t="s">
        <v>1039</v>
      </c>
      <c r="L284" s="312">
        <v>2302066</v>
      </c>
      <c r="M284" s="315" t="s">
        <v>1046</v>
      </c>
      <c r="N284" s="312">
        <v>2302066</v>
      </c>
      <c r="O284" s="315" t="s">
        <v>1046</v>
      </c>
      <c r="P284" s="361">
        <v>230206600</v>
      </c>
      <c r="Q284" s="316" t="s">
        <v>1047</v>
      </c>
      <c r="R284" s="361">
        <v>230206600</v>
      </c>
      <c r="S284" s="316" t="s">
        <v>1047</v>
      </c>
      <c r="T284" s="317" t="s">
        <v>1460</v>
      </c>
      <c r="U284" s="345">
        <v>60</v>
      </c>
      <c r="V284" s="345"/>
      <c r="W284" s="318">
        <f t="shared" si="29"/>
        <v>60</v>
      </c>
      <c r="X284" s="385">
        <v>60</v>
      </c>
      <c r="Y284" s="320">
        <v>2020003630141</v>
      </c>
      <c r="Z284" s="412" t="s">
        <v>1356</v>
      </c>
      <c r="AA284" s="321" t="s">
        <v>1043</v>
      </c>
      <c r="AB284" s="322"/>
      <c r="AC284" s="322"/>
      <c r="AD284" s="322"/>
      <c r="AE284" s="365"/>
      <c r="AF284" s="365"/>
      <c r="AG284" s="365"/>
      <c r="AH284" s="365"/>
      <c r="AI284" s="365"/>
      <c r="AJ284" s="365"/>
      <c r="AK284" s="365"/>
      <c r="AL284" s="365"/>
      <c r="AM284" s="365"/>
      <c r="AN284" s="365"/>
      <c r="AO284" s="365"/>
      <c r="AP284" s="365"/>
      <c r="AQ284" s="365"/>
      <c r="AR284" s="365"/>
      <c r="AS284" s="365"/>
      <c r="AT284" s="392">
        <f>60000000+19790000-12135000+15304000</f>
        <v>82959000</v>
      </c>
      <c r="AU284" s="365">
        <v>78104749</v>
      </c>
      <c r="AV284" s="365">
        <v>78104749</v>
      </c>
      <c r="AW284" s="386"/>
      <c r="AX284" s="365"/>
      <c r="AY284" s="365"/>
      <c r="AZ284" s="392"/>
      <c r="BA284" s="365"/>
      <c r="BB284" s="365"/>
      <c r="BC284" s="386"/>
      <c r="BD284" s="365"/>
      <c r="BE284" s="365"/>
      <c r="BF284" s="462">
        <f t="shared" si="26"/>
        <v>82959000</v>
      </c>
      <c r="BG284" s="462">
        <f t="shared" si="27"/>
        <v>78104749</v>
      </c>
      <c r="BH284" s="462">
        <f t="shared" si="28"/>
        <v>78104749</v>
      </c>
      <c r="BI284" s="332" t="s">
        <v>1470</v>
      </c>
      <c r="BJ284" s="328"/>
      <c r="BK284" s="327"/>
      <c r="BL284" s="328"/>
    </row>
    <row r="285" spans="1:64" s="326" customFormat="1" ht="117" customHeight="1" x14ac:dyDescent="0.2">
      <c r="A285" s="312">
        <v>324</v>
      </c>
      <c r="B285" s="314" t="s">
        <v>1293</v>
      </c>
      <c r="C285" s="312">
        <v>4</v>
      </c>
      <c r="D285" s="314" t="s">
        <v>1205</v>
      </c>
      <c r="E285" s="312">
        <v>23</v>
      </c>
      <c r="F285" s="314" t="s">
        <v>985</v>
      </c>
      <c r="G285" s="312">
        <v>2302</v>
      </c>
      <c r="H285" s="314" t="s">
        <v>1139</v>
      </c>
      <c r="I285" s="312">
        <v>2302</v>
      </c>
      <c r="J285" s="315" t="s">
        <v>1242</v>
      </c>
      <c r="K285" s="321" t="s">
        <v>1039</v>
      </c>
      <c r="L285" s="312">
        <v>2302004</v>
      </c>
      <c r="M285" s="315" t="s">
        <v>1048</v>
      </c>
      <c r="N285" s="312">
        <v>2302004</v>
      </c>
      <c r="O285" s="315" t="s">
        <v>1048</v>
      </c>
      <c r="P285" s="361">
        <v>230200403</v>
      </c>
      <c r="Q285" s="316" t="s">
        <v>1049</v>
      </c>
      <c r="R285" s="361">
        <v>230200403</v>
      </c>
      <c r="S285" s="316" t="s">
        <v>1049</v>
      </c>
      <c r="T285" s="317" t="s">
        <v>1459</v>
      </c>
      <c r="U285" s="345">
        <v>1</v>
      </c>
      <c r="V285" s="345"/>
      <c r="W285" s="318">
        <f t="shared" si="29"/>
        <v>1</v>
      </c>
      <c r="X285" s="385">
        <v>1</v>
      </c>
      <c r="Y285" s="320">
        <v>2020003630141</v>
      </c>
      <c r="Z285" s="412" t="s">
        <v>1356</v>
      </c>
      <c r="AA285" s="321" t="s">
        <v>1043</v>
      </c>
      <c r="AB285" s="322"/>
      <c r="AC285" s="322"/>
      <c r="AD285" s="322"/>
      <c r="AE285" s="365"/>
      <c r="AF285" s="365"/>
      <c r="AG285" s="365"/>
      <c r="AH285" s="365"/>
      <c r="AI285" s="365"/>
      <c r="AJ285" s="365"/>
      <c r="AK285" s="365"/>
      <c r="AL285" s="365"/>
      <c r="AM285" s="365"/>
      <c r="AN285" s="365"/>
      <c r="AO285" s="365"/>
      <c r="AP285" s="365"/>
      <c r="AQ285" s="365"/>
      <c r="AR285" s="365"/>
      <c r="AS285" s="365"/>
      <c r="AT285" s="392">
        <v>25000000</v>
      </c>
      <c r="AU285" s="365">
        <v>25000000</v>
      </c>
      <c r="AV285" s="365">
        <v>25000000</v>
      </c>
      <c r="AW285" s="386"/>
      <c r="AX285" s="365"/>
      <c r="AY285" s="365"/>
      <c r="AZ285" s="392"/>
      <c r="BA285" s="365"/>
      <c r="BB285" s="365"/>
      <c r="BC285" s="386"/>
      <c r="BD285" s="365"/>
      <c r="BE285" s="365"/>
      <c r="BF285" s="462">
        <f t="shared" si="26"/>
        <v>25000000</v>
      </c>
      <c r="BG285" s="462">
        <f t="shared" si="27"/>
        <v>25000000</v>
      </c>
      <c r="BH285" s="462">
        <f t="shared" si="28"/>
        <v>25000000</v>
      </c>
      <c r="BI285" s="332" t="s">
        <v>1470</v>
      </c>
      <c r="BJ285" s="328"/>
      <c r="BK285" s="327"/>
      <c r="BL285" s="328"/>
    </row>
    <row r="286" spans="1:64" s="326" customFormat="1" ht="117" customHeight="1" x14ac:dyDescent="0.2">
      <c r="A286" s="312">
        <v>324</v>
      </c>
      <c r="B286" s="314" t="s">
        <v>1293</v>
      </c>
      <c r="C286" s="312">
        <v>4</v>
      </c>
      <c r="D286" s="314" t="s">
        <v>1205</v>
      </c>
      <c r="E286" s="312">
        <v>23</v>
      </c>
      <c r="F286" s="314" t="s">
        <v>985</v>
      </c>
      <c r="G286" s="312">
        <v>2302</v>
      </c>
      <c r="H286" s="314" t="s">
        <v>1139</v>
      </c>
      <c r="I286" s="312">
        <v>2302</v>
      </c>
      <c r="J286" s="315" t="s">
        <v>1242</v>
      </c>
      <c r="K286" s="321" t="s">
        <v>1039</v>
      </c>
      <c r="L286" s="361">
        <v>2302007</v>
      </c>
      <c r="M286" s="315" t="s">
        <v>1050</v>
      </c>
      <c r="N286" s="312">
        <v>2302007</v>
      </c>
      <c r="O286" s="315" t="s">
        <v>1050</v>
      </c>
      <c r="P286" s="361">
        <v>230200701</v>
      </c>
      <c r="Q286" s="315" t="s">
        <v>1051</v>
      </c>
      <c r="R286" s="361">
        <v>230200701</v>
      </c>
      <c r="S286" s="316" t="s">
        <v>1051</v>
      </c>
      <c r="T286" s="317" t="s">
        <v>1459</v>
      </c>
      <c r="U286" s="345">
        <v>1</v>
      </c>
      <c r="V286" s="345"/>
      <c r="W286" s="318">
        <f t="shared" si="29"/>
        <v>1</v>
      </c>
      <c r="X286" s="385">
        <v>1</v>
      </c>
      <c r="Y286" s="320">
        <v>2020003630141</v>
      </c>
      <c r="Z286" s="412" t="s">
        <v>1356</v>
      </c>
      <c r="AA286" s="321" t="s">
        <v>1043</v>
      </c>
      <c r="AB286" s="322"/>
      <c r="AC286" s="322"/>
      <c r="AD286" s="322"/>
      <c r="AE286" s="365"/>
      <c r="AF286" s="365"/>
      <c r="AG286" s="365"/>
      <c r="AH286" s="365"/>
      <c r="AI286" s="365"/>
      <c r="AJ286" s="365"/>
      <c r="AK286" s="365"/>
      <c r="AL286" s="365"/>
      <c r="AM286" s="365"/>
      <c r="AN286" s="365"/>
      <c r="AO286" s="365"/>
      <c r="AP286" s="365"/>
      <c r="AQ286" s="365"/>
      <c r="AR286" s="365"/>
      <c r="AS286" s="365"/>
      <c r="AT286" s="392">
        <f>25000000+35460000-3990000+15304000</f>
        <v>71774000</v>
      </c>
      <c r="AU286" s="365">
        <v>70791917</v>
      </c>
      <c r="AV286" s="365">
        <v>70791917</v>
      </c>
      <c r="AW286" s="386"/>
      <c r="AX286" s="365"/>
      <c r="AY286" s="365"/>
      <c r="AZ286" s="392"/>
      <c r="BA286" s="365"/>
      <c r="BB286" s="365"/>
      <c r="BC286" s="386"/>
      <c r="BD286" s="365"/>
      <c r="BE286" s="365"/>
      <c r="BF286" s="462">
        <f t="shared" si="26"/>
        <v>71774000</v>
      </c>
      <c r="BG286" s="462">
        <f t="shared" si="27"/>
        <v>70791917</v>
      </c>
      <c r="BH286" s="462">
        <f t="shared" si="28"/>
        <v>70791917</v>
      </c>
      <c r="BI286" s="332" t="s">
        <v>1470</v>
      </c>
      <c r="BJ286" s="328"/>
      <c r="BK286" s="327"/>
      <c r="BL286" s="328"/>
    </row>
    <row r="287" spans="1:64" s="326" customFormat="1" ht="117" customHeight="1" x14ac:dyDescent="0.2">
      <c r="A287" s="312">
        <v>324</v>
      </c>
      <c r="B287" s="314" t="s">
        <v>1293</v>
      </c>
      <c r="C287" s="312">
        <v>4</v>
      </c>
      <c r="D287" s="314" t="s">
        <v>1205</v>
      </c>
      <c r="E287" s="312">
        <v>23</v>
      </c>
      <c r="F287" s="314" t="s">
        <v>985</v>
      </c>
      <c r="G287" s="312">
        <v>2302</v>
      </c>
      <c r="H287" s="314" t="s">
        <v>1139</v>
      </c>
      <c r="I287" s="312">
        <v>2302</v>
      </c>
      <c r="J287" s="315" t="s">
        <v>1242</v>
      </c>
      <c r="K287" s="321" t="s">
        <v>1039</v>
      </c>
      <c r="L287" s="312">
        <v>2302083</v>
      </c>
      <c r="M287" s="315" t="s">
        <v>68</v>
      </c>
      <c r="N287" s="312">
        <v>2302083</v>
      </c>
      <c r="O287" s="315" t="s">
        <v>68</v>
      </c>
      <c r="P287" s="361">
        <v>230208300</v>
      </c>
      <c r="Q287" s="316" t="s">
        <v>444</v>
      </c>
      <c r="R287" s="361">
        <v>230208300</v>
      </c>
      <c r="S287" s="316" t="s">
        <v>444</v>
      </c>
      <c r="T287" s="317" t="s">
        <v>1459</v>
      </c>
      <c r="U287" s="345">
        <v>1</v>
      </c>
      <c r="V287" s="345"/>
      <c r="W287" s="318">
        <f t="shared" si="29"/>
        <v>1</v>
      </c>
      <c r="X287" s="385">
        <v>1</v>
      </c>
      <c r="Y287" s="320">
        <v>2020003630141</v>
      </c>
      <c r="Z287" s="412" t="s">
        <v>1356</v>
      </c>
      <c r="AA287" s="321" t="s">
        <v>1043</v>
      </c>
      <c r="AB287" s="322"/>
      <c r="AC287" s="322"/>
      <c r="AD287" s="322"/>
      <c r="AE287" s="365"/>
      <c r="AF287" s="365"/>
      <c r="AG287" s="365"/>
      <c r="AH287" s="365"/>
      <c r="AI287" s="365"/>
      <c r="AJ287" s="365"/>
      <c r="AK287" s="365"/>
      <c r="AL287" s="365"/>
      <c r="AM287" s="365"/>
      <c r="AN287" s="365"/>
      <c r="AO287" s="365"/>
      <c r="AP287" s="365"/>
      <c r="AQ287" s="365"/>
      <c r="AR287" s="365"/>
      <c r="AS287" s="365"/>
      <c r="AT287" s="392">
        <v>18000000</v>
      </c>
      <c r="AU287" s="365">
        <v>18000000</v>
      </c>
      <c r="AV287" s="365">
        <v>18000000</v>
      </c>
      <c r="AW287" s="386"/>
      <c r="AX287" s="365"/>
      <c r="AY287" s="365"/>
      <c r="AZ287" s="392"/>
      <c r="BA287" s="365"/>
      <c r="BB287" s="365"/>
      <c r="BC287" s="386"/>
      <c r="BD287" s="365"/>
      <c r="BE287" s="365"/>
      <c r="BF287" s="462">
        <f t="shared" si="26"/>
        <v>18000000</v>
      </c>
      <c r="BG287" s="462">
        <f t="shared" si="27"/>
        <v>18000000</v>
      </c>
      <c r="BH287" s="462">
        <f t="shared" si="28"/>
        <v>18000000</v>
      </c>
      <c r="BI287" s="332" t="s">
        <v>1470</v>
      </c>
      <c r="BJ287" s="328"/>
      <c r="BK287" s="327"/>
      <c r="BL287" s="328"/>
    </row>
    <row r="288" spans="1:64" s="326" customFormat="1" ht="117" customHeight="1" x14ac:dyDescent="0.2">
      <c r="A288" s="312">
        <v>319</v>
      </c>
      <c r="B288" s="314" t="s">
        <v>1292</v>
      </c>
      <c r="C288" s="312">
        <v>1</v>
      </c>
      <c r="D288" s="314" t="s">
        <v>1200</v>
      </c>
      <c r="E288" s="312">
        <v>43</v>
      </c>
      <c r="F288" s="314" t="s">
        <v>141</v>
      </c>
      <c r="G288" s="312">
        <v>4301</v>
      </c>
      <c r="H288" s="314" t="s">
        <v>1361</v>
      </c>
      <c r="I288" s="312">
        <v>4301</v>
      </c>
      <c r="J288" s="315" t="s">
        <v>1261</v>
      </c>
      <c r="K288" s="384" t="s">
        <v>1054</v>
      </c>
      <c r="L288" s="312">
        <v>4301007</v>
      </c>
      <c r="M288" s="315" t="s">
        <v>1055</v>
      </c>
      <c r="N288" s="312">
        <v>4301007</v>
      </c>
      <c r="O288" s="315" t="s">
        <v>1055</v>
      </c>
      <c r="P288" s="312">
        <v>430100701</v>
      </c>
      <c r="Q288" s="316" t="s">
        <v>1056</v>
      </c>
      <c r="R288" s="312">
        <v>430100701</v>
      </c>
      <c r="S288" s="316" t="s">
        <v>1056</v>
      </c>
      <c r="T288" s="317" t="s">
        <v>1459</v>
      </c>
      <c r="U288" s="345">
        <v>12</v>
      </c>
      <c r="V288" s="345"/>
      <c r="W288" s="318">
        <f t="shared" si="29"/>
        <v>12</v>
      </c>
      <c r="X288" s="385">
        <v>12</v>
      </c>
      <c r="Y288" s="320">
        <v>2020003630009</v>
      </c>
      <c r="Z288" s="412" t="s">
        <v>1057</v>
      </c>
      <c r="AA288" s="321" t="s">
        <v>1058</v>
      </c>
      <c r="AB288" s="414">
        <f>150000000+220000000+70000000+150000000+100000000+56574833.33-540000000-48804833.33-91953667</f>
        <v>65816333.00000006</v>
      </c>
      <c r="AC288" s="322">
        <v>65816333</v>
      </c>
      <c r="AD288" s="322">
        <v>65816333</v>
      </c>
      <c r="AE288" s="415">
        <f>71305500+18694500+109540000+25702623</f>
        <v>225242623</v>
      </c>
      <c r="AF288" s="371">
        <v>219117500</v>
      </c>
      <c r="AG288" s="371">
        <v>219117500</v>
      </c>
      <c r="AH288" s="322"/>
      <c r="AI288" s="322"/>
      <c r="AJ288" s="322"/>
      <c r="AK288" s="414"/>
      <c r="AL288" s="322"/>
      <c r="AM288" s="322"/>
      <c r="AN288" s="322"/>
      <c r="AO288" s="322"/>
      <c r="AP288" s="322"/>
      <c r="AQ288" s="322"/>
      <c r="AR288" s="322"/>
      <c r="AS288" s="322"/>
      <c r="AT288" s="370"/>
      <c r="AU288" s="371"/>
      <c r="AV288" s="371"/>
      <c r="AW288" s="416">
        <f>622811153.63+55112575-8955075</f>
        <v>668968653.63</v>
      </c>
      <c r="AX288" s="371">
        <v>658023287.05000007</v>
      </c>
      <c r="AY288" s="371">
        <v>657004977.63</v>
      </c>
      <c r="AZ288" s="370"/>
      <c r="BA288" s="371"/>
      <c r="BB288" s="371"/>
      <c r="BC288" s="416">
        <f>430000000-430000000</f>
        <v>0</v>
      </c>
      <c r="BD288" s="322"/>
      <c r="BE288" s="322"/>
      <c r="BF288" s="365">
        <f t="shared" si="26"/>
        <v>960027609.63000011</v>
      </c>
      <c r="BG288" s="365">
        <f t="shared" si="27"/>
        <v>942957120.05000007</v>
      </c>
      <c r="BH288" s="365">
        <f t="shared" si="28"/>
        <v>941938810.63</v>
      </c>
      <c r="BI288" s="332" t="s">
        <v>1475</v>
      </c>
      <c r="BK288" s="327"/>
      <c r="BL288" s="328"/>
    </row>
    <row r="289" spans="1:64" s="326" customFormat="1" ht="117" customHeight="1" x14ac:dyDescent="0.2">
      <c r="A289" s="312">
        <v>319</v>
      </c>
      <c r="B289" s="314" t="s">
        <v>1292</v>
      </c>
      <c r="C289" s="312">
        <v>1</v>
      </c>
      <c r="D289" s="314" t="s">
        <v>1200</v>
      </c>
      <c r="E289" s="312">
        <v>43</v>
      </c>
      <c r="F289" s="314" t="s">
        <v>141</v>
      </c>
      <c r="G289" s="312">
        <v>4301</v>
      </c>
      <c r="H289" s="314" t="s">
        <v>1361</v>
      </c>
      <c r="I289" s="312">
        <v>4301</v>
      </c>
      <c r="J289" s="315" t="s">
        <v>1261</v>
      </c>
      <c r="K289" s="384" t="s">
        <v>1054</v>
      </c>
      <c r="L289" s="312">
        <v>4301037</v>
      </c>
      <c r="M289" s="315" t="s">
        <v>1059</v>
      </c>
      <c r="N289" s="312">
        <v>4301037</v>
      </c>
      <c r="O289" s="315" t="s">
        <v>1059</v>
      </c>
      <c r="P289" s="312">
        <v>430103701</v>
      </c>
      <c r="Q289" s="316" t="s">
        <v>1060</v>
      </c>
      <c r="R289" s="312">
        <v>430103701</v>
      </c>
      <c r="S289" s="316" t="s">
        <v>1060</v>
      </c>
      <c r="T289" s="317" t="s">
        <v>1459</v>
      </c>
      <c r="U289" s="345">
        <v>12</v>
      </c>
      <c r="V289" s="345"/>
      <c r="W289" s="318">
        <f t="shared" si="29"/>
        <v>12</v>
      </c>
      <c r="X289" s="385">
        <v>12</v>
      </c>
      <c r="Y289" s="320">
        <v>2020003630009</v>
      </c>
      <c r="Z289" s="412" t="s">
        <v>1057</v>
      </c>
      <c r="AA289" s="321" t="s">
        <v>1058</v>
      </c>
      <c r="AB289" s="334"/>
      <c r="AC289" s="334"/>
      <c r="AD289" s="334"/>
      <c r="AE289" s="415">
        <f>50000000+12000000+5000000+7000000+12000000+33000000-35000000-1397145</f>
        <v>82602855</v>
      </c>
      <c r="AF289" s="371">
        <v>68081799.689999998</v>
      </c>
      <c r="AG289" s="371">
        <v>68081799.689999998</v>
      </c>
      <c r="AH289" s="322"/>
      <c r="AI289" s="322"/>
      <c r="AJ289" s="322"/>
      <c r="AK289" s="322"/>
      <c r="AL289" s="322"/>
      <c r="AM289" s="322"/>
      <c r="AN289" s="322"/>
      <c r="AO289" s="322"/>
      <c r="AP289" s="322"/>
      <c r="AQ289" s="322"/>
      <c r="AR289" s="322"/>
      <c r="AS289" s="322"/>
      <c r="AT289" s="371"/>
      <c r="AU289" s="371"/>
      <c r="AV289" s="371"/>
      <c r="AW289" s="415">
        <f>10000000-10000000</f>
        <v>0</v>
      </c>
      <c r="AX289" s="371"/>
      <c r="AY289" s="371"/>
      <c r="AZ289" s="370"/>
      <c r="BA289" s="371"/>
      <c r="BB289" s="371"/>
      <c r="BC289" s="417">
        <f>90000000-90000000</f>
        <v>0</v>
      </c>
      <c r="BD289" s="371"/>
      <c r="BE289" s="371"/>
      <c r="BF289" s="365">
        <f t="shared" si="26"/>
        <v>82602855</v>
      </c>
      <c r="BG289" s="365">
        <f t="shared" si="27"/>
        <v>68081799.689999998</v>
      </c>
      <c r="BH289" s="365">
        <f t="shared" si="28"/>
        <v>68081799.689999998</v>
      </c>
      <c r="BI289" s="332" t="s">
        <v>1475</v>
      </c>
      <c r="BK289" s="327"/>
      <c r="BL289" s="328"/>
    </row>
    <row r="290" spans="1:64" s="326" customFormat="1" ht="117" customHeight="1" x14ac:dyDescent="0.2">
      <c r="A290" s="312">
        <v>319</v>
      </c>
      <c r="B290" s="314" t="s">
        <v>1292</v>
      </c>
      <c r="C290" s="312">
        <v>1</v>
      </c>
      <c r="D290" s="314" t="s">
        <v>1200</v>
      </c>
      <c r="E290" s="312">
        <v>43</v>
      </c>
      <c r="F290" s="314" t="s">
        <v>141</v>
      </c>
      <c r="G290" s="312">
        <v>4301</v>
      </c>
      <c r="H290" s="314" t="s">
        <v>1361</v>
      </c>
      <c r="I290" s="312">
        <v>4301</v>
      </c>
      <c r="J290" s="315" t="s">
        <v>1261</v>
      </c>
      <c r="K290" s="384" t="s">
        <v>1054</v>
      </c>
      <c r="L290" s="312">
        <v>4301037</v>
      </c>
      <c r="M290" s="315" t="s">
        <v>1059</v>
      </c>
      <c r="N290" s="312">
        <v>4301037</v>
      </c>
      <c r="O290" s="315" t="s">
        <v>1059</v>
      </c>
      <c r="P290" s="312" t="s">
        <v>1061</v>
      </c>
      <c r="Q290" s="316" t="s">
        <v>1062</v>
      </c>
      <c r="R290" s="312">
        <v>430103704</v>
      </c>
      <c r="S290" s="316" t="s">
        <v>1062</v>
      </c>
      <c r="T290" s="317" t="s">
        <v>1459</v>
      </c>
      <c r="U290" s="345">
        <v>12</v>
      </c>
      <c r="V290" s="345"/>
      <c r="W290" s="318">
        <f t="shared" si="29"/>
        <v>12</v>
      </c>
      <c r="X290" s="385">
        <v>12</v>
      </c>
      <c r="Y290" s="320">
        <v>2020003630009</v>
      </c>
      <c r="Z290" s="412" t="s">
        <v>1057</v>
      </c>
      <c r="AA290" s="321" t="s">
        <v>1058</v>
      </c>
      <c r="AB290" s="414">
        <f>200000000+80000000+60000000+15000000+50000000-165402500-155000000</f>
        <v>84597500</v>
      </c>
      <c r="AC290" s="322">
        <v>45820841</v>
      </c>
      <c r="AD290" s="322">
        <v>45820841</v>
      </c>
      <c r="AE290" s="415">
        <f>145000000+50000000+137750583-48787000-50000000</f>
        <v>233963583</v>
      </c>
      <c r="AF290" s="371">
        <v>224583158.36000001</v>
      </c>
      <c r="AG290" s="371">
        <v>224583158.36000001</v>
      </c>
      <c r="AH290" s="322"/>
      <c r="AI290" s="322"/>
      <c r="AJ290" s="322"/>
      <c r="AK290" s="414">
        <v>106355890</v>
      </c>
      <c r="AL290" s="414">
        <v>77698620</v>
      </c>
      <c r="AM290" s="414">
        <v>77698620</v>
      </c>
      <c r="AN290" s="414"/>
      <c r="AO290" s="322"/>
      <c r="AP290" s="322"/>
      <c r="AQ290" s="322"/>
      <c r="AR290" s="322"/>
      <c r="AS290" s="322"/>
      <c r="AT290" s="415">
        <v>90000000</v>
      </c>
      <c r="AU290" s="371">
        <v>81566700</v>
      </c>
      <c r="AV290" s="371">
        <v>81566700</v>
      </c>
      <c r="AW290" s="415">
        <f>116317517.98+151542071.13+10000000-10000000</f>
        <v>267859589.11000001</v>
      </c>
      <c r="AX290" s="371">
        <v>261772715.63999999</v>
      </c>
      <c r="AY290" s="371">
        <v>261772715.63999999</v>
      </c>
      <c r="AZ290" s="370"/>
      <c r="BA290" s="371"/>
      <c r="BB290" s="371"/>
      <c r="BC290" s="416">
        <f>460000000+150000000+20000000-630000000</f>
        <v>0</v>
      </c>
      <c r="BD290" s="322"/>
      <c r="BE290" s="322"/>
      <c r="BF290" s="365">
        <f t="shared" si="26"/>
        <v>782776562.11000001</v>
      </c>
      <c r="BG290" s="365">
        <f t="shared" si="27"/>
        <v>691442035</v>
      </c>
      <c r="BH290" s="365">
        <f t="shared" si="28"/>
        <v>691442035</v>
      </c>
      <c r="BI290" s="332" t="s">
        <v>1475</v>
      </c>
      <c r="BK290" s="327"/>
      <c r="BL290" s="328"/>
    </row>
    <row r="291" spans="1:64" s="326" customFormat="1" ht="117" customHeight="1" x14ac:dyDescent="0.2">
      <c r="A291" s="312">
        <v>319</v>
      </c>
      <c r="B291" s="314" t="s">
        <v>1292</v>
      </c>
      <c r="C291" s="312">
        <v>1</v>
      </c>
      <c r="D291" s="314" t="s">
        <v>1200</v>
      </c>
      <c r="E291" s="312">
        <v>43</v>
      </c>
      <c r="F291" s="314" t="s">
        <v>141</v>
      </c>
      <c r="G291" s="312">
        <v>4301</v>
      </c>
      <c r="H291" s="314" t="s">
        <v>1361</v>
      </c>
      <c r="I291" s="312">
        <v>4301</v>
      </c>
      <c r="J291" s="315" t="s">
        <v>1261</v>
      </c>
      <c r="K291" s="384" t="s">
        <v>1054</v>
      </c>
      <c r="L291" s="329" t="s">
        <v>31</v>
      </c>
      <c r="M291" s="315" t="s">
        <v>1063</v>
      </c>
      <c r="N291" s="312">
        <v>4301006</v>
      </c>
      <c r="O291" s="315" t="s">
        <v>1064</v>
      </c>
      <c r="P291" s="329" t="s">
        <v>31</v>
      </c>
      <c r="Q291" s="316" t="s">
        <v>1065</v>
      </c>
      <c r="R291" s="312">
        <v>430100600</v>
      </c>
      <c r="S291" s="316" t="s">
        <v>1066</v>
      </c>
      <c r="T291" s="317" t="s">
        <v>1459</v>
      </c>
      <c r="U291" s="345">
        <v>1</v>
      </c>
      <c r="V291" s="345"/>
      <c r="W291" s="318">
        <f t="shared" si="29"/>
        <v>1</v>
      </c>
      <c r="X291" s="385">
        <v>0.75</v>
      </c>
      <c r="Y291" s="320">
        <v>2020003630009</v>
      </c>
      <c r="Z291" s="412" t="s">
        <v>1057</v>
      </c>
      <c r="AA291" s="321" t="s">
        <v>1058</v>
      </c>
      <c r="AB291" s="322"/>
      <c r="AC291" s="322"/>
      <c r="AD291" s="334"/>
      <c r="AE291" s="346">
        <v>50000000</v>
      </c>
      <c r="AF291" s="346">
        <v>32982500</v>
      </c>
      <c r="AG291" s="346">
        <v>32982500</v>
      </c>
      <c r="AH291" s="322"/>
      <c r="AI291" s="322"/>
      <c r="AJ291" s="322"/>
      <c r="AK291" s="414">
        <v>26000000</v>
      </c>
      <c r="AL291" s="322">
        <v>19310000</v>
      </c>
      <c r="AM291" s="322">
        <v>19310000</v>
      </c>
      <c r="AN291" s="322"/>
      <c r="AO291" s="322"/>
      <c r="AP291" s="322"/>
      <c r="AQ291" s="322"/>
      <c r="AR291" s="322"/>
      <c r="AS291" s="322"/>
      <c r="AT291" s="330"/>
      <c r="AU291" s="331"/>
      <c r="AV291" s="331"/>
      <c r="AW291" s="323"/>
      <c r="AX291" s="322"/>
      <c r="AY291" s="346"/>
      <c r="AZ291" s="375"/>
      <c r="BA291" s="346"/>
      <c r="BB291" s="346"/>
      <c r="BC291" s="394"/>
      <c r="BD291" s="331"/>
      <c r="BE291" s="331"/>
      <c r="BF291" s="365">
        <f t="shared" si="26"/>
        <v>76000000</v>
      </c>
      <c r="BG291" s="365">
        <f t="shared" si="27"/>
        <v>52292500</v>
      </c>
      <c r="BH291" s="365">
        <f t="shared" si="28"/>
        <v>52292500</v>
      </c>
      <c r="BI291" s="332" t="s">
        <v>1475</v>
      </c>
      <c r="BK291" s="327"/>
      <c r="BL291" s="328"/>
    </row>
    <row r="292" spans="1:64" s="326" customFormat="1" ht="117" customHeight="1" x14ac:dyDescent="0.2">
      <c r="A292" s="312">
        <v>319</v>
      </c>
      <c r="B292" s="314" t="s">
        <v>1292</v>
      </c>
      <c r="C292" s="312">
        <v>1</v>
      </c>
      <c r="D292" s="314" t="s">
        <v>1200</v>
      </c>
      <c r="E292" s="312">
        <v>43</v>
      </c>
      <c r="F292" s="314" t="s">
        <v>141</v>
      </c>
      <c r="G292" s="312">
        <v>4302</v>
      </c>
      <c r="H292" s="314" t="s">
        <v>1067</v>
      </c>
      <c r="I292" s="312">
        <v>4302</v>
      </c>
      <c r="J292" s="315" t="s">
        <v>1265</v>
      </c>
      <c r="K292" s="321" t="s">
        <v>1164</v>
      </c>
      <c r="L292" s="418">
        <v>4302075</v>
      </c>
      <c r="M292" s="315" t="s">
        <v>1068</v>
      </c>
      <c r="N292" s="418">
        <v>4302075</v>
      </c>
      <c r="O292" s="315" t="s">
        <v>1068</v>
      </c>
      <c r="P292" s="329">
        <v>430207500</v>
      </c>
      <c r="Q292" s="316" t="s">
        <v>1069</v>
      </c>
      <c r="R292" s="329">
        <v>430207500</v>
      </c>
      <c r="S292" s="316" t="s">
        <v>1069</v>
      </c>
      <c r="T292" s="317" t="s">
        <v>1459</v>
      </c>
      <c r="U292" s="345">
        <v>25</v>
      </c>
      <c r="V292" s="345"/>
      <c r="W292" s="318">
        <f t="shared" si="29"/>
        <v>25</v>
      </c>
      <c r="X292" s="385">
        <v>25</v>
      </c>
      <c r="Y292" s="320">
        <v>2020003630010</v>
      </c>
      <c r="Z292" s="412" t="s">
        <v>1070</v>
      </c>
      <c r="AA292" s="321" t="s">
        <v>1071</v>
      </c>
      <c r="AB292" s="414">
        <f>830323292+450000000+80000000+800000000+418804864+610000000+240000000+243227407+250000000+100000000+25000000+60000000+15000000+500000000+25000000+60000000+45000000+272742469+120000000+15000000+80000000-2229659800+48804833.33</f>
        <v>3059243065.3299999</v>
      </c>
      <c r="AC292" s="322">
        <v>2921065495.1800003</v>
      </c>
      <c r="AD292" s="322">
        <v>2736108495.1800003</v>
      </c>
      <c r="AE292" s="390">
        <f>2000000+80997430+50000000+50164200</f>
        <v>183161630</v>
      </c>
      <c r="AF292" s="390">
        <v>183161630</v>
      </c>
      <c r="AG292" s="390">
        <v>90527387</v>
      </c>
      <c r="AH292" s="322"/>
      <c r="AI292" s="322"/>
      <c r="AJ292" s="322"/>
      <c r="AK292" s="419">
        <f>128603995+133632907</f>
        <v>262236902</v>
      </c>
      <c r="AL292" s="322">
        <v>255486768.5</v>
      </c>
      <c r="AM292" s="322">
        <v>126853861.5</v>
      </c>
      <c r="AN292" s="322"/>
      <c r="AO292" s="322"/>
      <c r="AP292" s="322"/>
      <c r="AQ292" s="322"/>
      <c r="AR292" s="322"/>
      <c r="AS292" s="322"/>
      <c r="AT292" s="420">
        <v>922366655.18000007</v>
      </c>
      <c r="AU292" s="390">
        <v>878083064</v>
      </c>
      <c r="AV292" s="390">
        <v>859162114</v>
      </c>
      <c r="AW292" s="421">
        <f>12000000+18955075</f>
        <v>30955075</v>
      </c>
      <c r="AX292" s="390">
        <v>30955075</v>
      </c>
      <c r="AY292" s="390"/>
      <c r="AZ292" s="422"/>
      <c r="BA292" s="390"/>
      <c r="BB292" s="390"/>
      <c r="BC292" s="394"/>
      <c r="BD292" s="322"/>
      <c r="BE292" s="322"/>
      <c r="BF292" s="365">
        <f t="shared" si="26"/>
        <v>4457963327.5100002</v>
      </c>
      <c r="BG292" s="365">
        <f t="shared" si="27"/>
        <v>4268752032.6800003</v>
      </c>
      <c r="BH292" s="365">
        <f t="shared" si="28"/>
        <v>3812651857.6800003</v>
      </c>
      <c r="BI292" s="332" t="s">
        <v>1475</v>
      </c>
      <c r="BK292" s="327"/>
      <c r="BL292" s="328"/>
    </row>
    <row r="293" spans="1:64" s="326" customFormat="1" ht="117" customHeight="1" x14ac:dyDescent="0.2">
      <c r="A293" s="312">
        <v>319</v>
      </c>
      <c r="B293" s="314" t="s">
        <v>1292</v>
      </c>
      <c r="C293" s="312">
        <v>1</v>
      </c>
      <c r="D293" s="314" t="s">
        <v>1200</v>
      </c>
      <c r="E293" s="312">
        <v>43</v>
      </c>
      <c r="F293" s="314" t="s">
        <v>141</v>
      </c>
      <c r="G293" s="312">
        <v>4302</v>
      </c>
      <c r="H293" s="314" t="s">
        <v>1067</v>
      </c>
      <c r="I293" s="312">
        <v>4302</v>
      </c>
      <c r="J293" s="315" t="s">
        <v>1265</v>
      </c>
      <c r="K293" s="321" t="s">
        <v>1164</v>
      </c>
      <c r="L293" s="418">
        <v>4302075</v>
      </c>
      <c r="M293" s="315" t="s">
        <v>1068</v>
      </c>
      <c r="N293" s="418">
        <v>4302004</v>
      </c>
      <c r="O293" s="315" t="s">
        <v>1072</v>
      </c>
      <c r="P293" s="329" t="s">
        <v>31</v>
      </c>
      <c r="Q293" s="316" t="s">
        <v>1073</v>
      </c>
      <c r="R293" s="388">
        <v>430200401</v>
      </c>
      <c r="S293" s="316" t="s">
        <v>1074</v>
      </c>
      <c r="T293" s="317" t="s">
        <v>1459</v>
      </c>
      <c r="U293" s="345">
        <v>1</v>
      </c>
      <c r="V293" s="345"/>
      <c r="W293" s="318">
        <f t="shared" si="29"/>
        <v>1</v>
      </c>
      <c r="X293" s="385">
        <v>0.1</v>
      </c>
      <c r="Y293" s="320">
        <v>2020003630013</v>
      </c>
      <c r="Z293" s="412" t="s">
        <v>1075</v>
      </c>
      <c r="AA293" s="321" t="s">
        <v>1076</v>
      </c>
      <c r="AB293" s="322">
        <f>15000000+181953667</f>
        <v>196953667</v>
      </c>
      <c r="AC293" s="322"/>
      <c r="AD293" s="322"/>
      <c r="AE293" s="365">
        <v>135184145</v>
      </c>
      <c r="AF293" s="365"/>
      <c r="AG293" s="365"/>
      <c r="AH293" s="322"/>
      <c r="AI293" s="322"/>
      <c r="AJ293" s="322"/>
      <c r="AK293" s="322"/>
      <c r="AL293" s="322"/>
      <c r="AM293" s="322"/>
      <c r="AN293" s="322"/>
      <c r="AO293" s="322"/>
      <c r="AP293" s="322"/>
      <c r="AQ293" s="322"/>
      <c r="AR293" s="322"/>
      <c r="AS293" s="322"/>
      <c r="AT293" s="392">
        <v>35000000</v>
      </c>
      <c r="AU293" s="365">
        <v>30850000</v>
      </c>
      <c r="AV293" s="365">
        <v>30850000</v>
      </c>
      <c r="AW293" s="365">
        <f>18350311.88</f>
        <v>18350311.879999999</v>
      </c>
      <c r="AX293" s="365">
        <v>7000000</v>
      </c>
      <c r="AY293" s="365">
        <v>7000000</v>
      </c>
      <c r="AZ293" s="392"/>
      <c r="BA293" s="365"/>
      <c r="BB293" s="365"/>
      <c r="BC293" s="323"/>
      <c r="BD293" s="322"/>
      <c r="BE293" s="322"/>
      <c r="BF293" s="365">
        <f t="shared" si="26"/>
        <v>385488123.88</v>
      </c>
      <c r="BG293" s="365">
        <f t="shared" si="27"/>
        <v>37850000</v>
      </c>
      <c r="BH293" s="365">
        <f t="shared" si="28"/>
        <v>37850000</v>
      </c>
      <c r="BI293" s="332" t="s">
        <v>1475</v>
      </c>
      <c r="BK293" s="327"/>
      <c r="BL293" s="328"/>
    </row>
    <row r="294" spans="1:64" s="326" customFormat="1" ht="117" customHeight="1" x14ac:dyDescent="0.2">
      <c r="A294" s="312">
        <v>320</v>
      </c>
      <c r="B294" s="314" t="s">
        <v>1290</v>
      </c>
      <c r="C294" s="312">
        <v>1</v>
      </c>
      <c r="D294" s="314" t="s">
        <v>1200</v>
      </c>
      <c r="E294" s="312">
        <v>43</v>
      </c>
      <c r="F294" s="314" t="s">
        <v>141</v>
      </c>
      <c r="G294" s="312">
        <v>4301</v>
      </c>
      <c r="H294" s="314" t="s">
        <v>1361</v>
      </c>
      <c r="I294" s="312">
        <v>4301</v>
      </c>
      <c r="J294" s="315" t="s">
        <v>1261</v>
      </c>
      <c r="K294" s="321" t="s">
        <v>143</v>
      </c>
      <c r="L294" s="329" t="s">
        <v>31</v>
      </c>
      <c r="M294" s="344" t="s">
        <v>1077</v>
      </c>
      <c r="N294" s="312">
        <v>4301004</v>
      </c>
      <c r="O294" s="344" t="s">
        <v>145</v>
      </c>
      <c r="P294" s="329" t="s">
        <v>31</v>
      </c>
      <c r="Q294" s="316" t="s">
        <v>1078</v>
      </c>
      <c r="R294" s="319">
        <v>430100401</v>
      </c>
      <c r="S294" s="344" t="s">
        <v>147</v>
      </c>
      <c r="T294" s="317" t="s">
        <v>1460</v>
      </c>
      <c r="U294" s="345">
        <v>3</v>
      </c>
      <c r="V294" s="345"/>
      <c r="W294" s="318">
        <f t="shared" si="29"/>
        <v>3</v>
      </c>
      <c r="X294" s="385">
        <v>6</v>
      </c>
      <c r="Y294" s="320">
        <v>2020003630142</v>
      </c>
      <c r="Z294" s="412" t="s">
        <v>1079</v>
      </c>
      <c r="AA294" s="404" t="s">
        <v>1080</v>
      </c>
      <c r="AB294" s="365">
        <v>798809971</v>
      </c>
      <c r="AC294" s="365">
        <v>606487005</v>
      </c>
      <c r="AD294" s="365">
        <v>456936149</v>
      </c>
      <c r="AE294" s="322"/>
      <c r="AF294" s="322"/>
      <c r="AG294" s="322"/>
      <c r="AH294" s="322"/>
      <c r="AI294" s="322"/>
      <c r="AJ294" s="322"/>
      <c r="AK294" s="322"/>
      <c r="AL294" s="322"/>
      <c r="AM294" s="322"/>
      <c r="AN294" s="322"/>
      <c r="AO294" s="322"/>
      <c r="AP294" s="322"/>
      <c r="AQ294" s="322"/>
      <c r="AR294" s="322"/>
      <c r="AS294" s="322"/>
      <c r="AT294" s="330"/>
      <c r="AU294" s="331"/>
      <c r="AV294" s="331"/>
      <c r="AW294" s="377"/>
      <c r="AX294" s="371"/>
      <c r="AY294" s="371"/>
      <c r="AZ294" s="370"/>
      <c r="BA294" s="371"/>
      <c r="BB294" s="371"/>
      <c r="BC294" s="323"/>
      <c r="BD294" s="322"/>
      <c r="BE294" s="322"/>
      <c r="BF294" s="462">
        <f t="shared" si="26"/>
        <v>798809971</v>
      </c>
      <c r="BG294" s="462">
        <f t="shared" si="27"/>
        <v>606487005</v>
      </c>
      <c r="BH294" s="462">
        <f t="shared" si="28"/>
        <v>456936149</v>
      </c>
      <c r="BI294" s="332" t="s">
        <v>1476</v>
      </c>
      <c r="BK294" s="327"/>
      <c r="BL294" s="328"/>
    </row>
    <row r="295" spans="1:64" s="326" customFormat="1" ht="117" customHeight="1" x14ac:dyDescent="0.2">
      <c r="A295" s="312">
        <v>320</v>
      </c>
      <c r="B295" s="314" t="s">
        <v>1290</v>
      </c>
      <c r="C295" s="312">
        <v>1</v>
      </c>
      <c r="D295" s="314" t="s">
        <v>1200</v>
      </c>
      <c r="E295" s="312">
        <v>22</v>
      </c>
      <c r="F295" s="314" t="s">
        <v>124</v>
      </c>
      <c r="G295" s="312">
        <v>2201</v>
      </c>
      <c r="H295" s="314" t="s">
        <v>229</v>
      </c>
      <c r="I295" s="312">
        <v>2201</v>
      </c>
      <c r="J295" s="315" t="s">
        <v>1241</v>
      </c>
      <c r="K295" s="321" t="s">
        <v>126</v>
      </c>
      <c r="L295" s="329" t="s">
        <v>31</v>
      </c>
      <c r="M295" s="315" t="s">
        <v>564</v>
      </c>
      <c r="N295" s="319">
        <v>2201062</v>
      </c>
      <c r="O295" s="315" t="s">
        <v>128</v>
      </c>
      <c r="P295" s="329" t="s">
        <v>31</v>
      </c>
      <c r="Q295" s="316" t="s">
        <v>129</v>
      </c>
      <c r="R295" s="312">
        <v>220106200</v>
      </c>
      <c r="S295" s="315" t="s">
        <v>130</v>
      </c>
      <c r="T295" s="317" t="s">
        <v>1460</v>
      </c>
      <c r="U295" s="320">
        <v>15</v>
      </c>
      <c r="V295" s="320">
        <v>6</v>
      </c>
      <c r="W295" s="318">
        <f t="shared" si="29"/>
        <v>21</v>
      </c>
      <c r="X295" s="385">
        <v>3</v>
      </c>
      <c r="Y295" s="320">
        <v>2020003630143</v>
      </c>
      <c r="Z295" s="412" t="s">
        <v>1081</v>
      </c>
      <c r="AA295" s="404" t="s">
        <v>1082</v>
      </c>
      <c r="AB295" s="365">
        <v>798200000</v>
      </c>
      <c r="AC295" s="365">
        <v>280570586.56999999</v>
      </c>
      <c r="AD295" s="365">
        <v>280570586.56999999</v>
      </c>
      <c r="AE295" s="322"/>
      <c r="AF295" s="322"/>
      <c r="AG295" s="322"/>
      <c r="AH295" s="322"/>
      <c r="AI295" s="322"/>
      <c r="AJ295" s="322"/>
      <c r="AK295" s="322"/>
      <c r="AL295" s="322"/>
      <c r="AM295" s="322"/>
      <c r="AN295" s="322"/>
      <c r="AO295" s="322"/>
      <c r="AP295" s="322"/>
      <c r="AQ295" s="322"/>
      <c r="AR295" s="322"/>
      <c r="AS295" s="322"/>
      <c r="AT295" s="330"/>
      <c r="AU295" s="331"/>
      <c r="AV295" s="331"/>
      <c r="AW295" s="323"/>
      <c r="AX295" s="322"/>
      <c r="AY295" s="322"/>
      <c r="AZ295" s="324"/>
      <c r="BA295" s="322"/>
      <c r="BB295" s="322"/>
      <c r="BC295" s="335"/>
      <c r="BD295" s="334"/>
      <c r="BE295" s="334"/>
      <c r="BF295" s="462">
        <f t="shared" si="26"/>
        <v>798200000</v>
      </c>
      <c r="BG295" s="462">
        <f t="shared" si="27"/>
        <v>280570586.56999999</v>
      </c>
      <c r="BH295" s="462">
        <f t="shared" si="28"/>
        <v>280570586.56999999</v>
      </c>
      <c r="BI295" s="332" t="s">
        <v>1476</v>
      </c>
      <c r="BK295" s="327"/>
      <c r="BL295" s="328"/>
    </row>
    <row r="296" spans="1:64" s="326" customFormat="1" ht="117" customHeight="1" x14ac:dyDescent="0.2">
      <c r="A296" s="312">
        <v>320</v>
      </c>
      <c r="B296" s="314" t="s">
        <v>1290</v>
      </c>
      <c r="C296" s="312">
        <v>3</v>
      </c>
      <c r="D296" s="314" t="s">
        <v>1197</v>
      </c>
      <c r="E296" s="312">
        <v>24</v>
      </c>
      <c r="F296" s="314" t="s">
        <v>151</v>
      </c>
      <c r="G296" s="312">
        <v>2402</v>
      </c>
      <c r="H296" s="314" t="s">
        <v>152</v>
      </c>
      <c r="I296" s="312">
        <v>2402</v>
      </c>
      <c r="J296" s="315" t="s">
        <v>1243</v>
      </c>
      <c r="K296" s="404" t="s">
        <v>1083</v>
      </c>
      <c r="L296" s="329" t="s">
        <v>31</v>
      </c>
      <c r="M296" s="315" t="s">
        <v>160</v>
      </c>
      <c r="N296" s="319">
        <v>2402041</v>
      </c>
      <c r="O296" s="315" t="s">
        <v>161</v>
      </c>
      <c r="P296" s="329" t="s">
        <v>31</v>
      </c>
      <c r="Q296" s="316" t="s">
        <v>162</v>
      </c>
      <c r="R296" s="319">
        <v>240204100</v>
      </c>
      <c r="S296" s="344" t="s">
        <v>163</v>
      </c>
      <c r="T296" s="317" t="s">
        <v>1459</v>
      </c>
      <c r="U296" s="373">
        <v>70.379000000000005</v>
      </c>
      <c r="V296" s="373"/>
      <c r="W296" s="374">
        <f t="shared" si="29"/>
        <v>70.379000000000005</v>
      </c>
      <c r="X296" s="406">
        <v>70.5</v>
      </c>
      <c r="Y296" s="320">
        <v>2020003630144</v>
      </c>
      <c r="Z296" s="412" t="s">
        <v>1084</v>
      </c>
      <c r="AA296" s="321" t="s">
        <v>1085</v>
      </c>
      <c r="AB296" s="322"/>
      <c r="AC296" s="322"/>
      <c r="AD296" s="322"/>
      <c r="AE296" s="322"/>
      <c r="AF296" s="322"/>
      <c r="AG296" s="322"/>
      <c r="AH296" s="322"/>
      <c r="AI296" s="322"/>
      <c r="AJ296" s="322"/>
      <c r="AK296" s="322"/>
      <c r="AL296" s="322"/>
      <c r="AM296" s="322"/>
      <c r="AN296" s="322"/>
      <c r="AO296" s="322"/>
      <c r="AP296" s="322"/>
      <c r="AQ296" s="322"/>
      <c r="AR296" s="322"/>
      <c r="AS296" s="322"/>
      <c r="AT296" s="330"/>
      <c r="AU296" s="331"/>
      <c r="AV296" s="331"/>
      <c r="AW296" s="377">
        <f>325000000</f>
        <v>325000000</v>
      </c>
      <c r="AX296" s="371">
        <v>316276377.43000001</v>
      </c>
      <c r="AY296" s="371">
        <v>316276377.43000001</v>
      </c>
      <c r="AZ296" s="370"/>
      <c r="BA296" s="371"/>
      <c r="BB296" s="371"/>
      <c r="BC296" s="323"/>
      <c r="BD296" s="322"/>
      <c r="BE296" s="322"/>
      <c r="BF296" s="462">
        <f t="shared" si="26"/>
        <v>325000000</v>
      </c>
      <c r="BG296" s="462">
        <f t="shared" si="27"/>
        <v>316276377.43000001</v>
      </c>
      <c r="BH296" s="462">
        <f t="shared" si="28"/>
        <v>316276377.43000001</v>
      </c>
      <c r="BI296" s="332" t="s">
        <v>1476</v>
      </c>
      <c r="BK296" s="327"/>
      <c r="BL296" s="328"/>
    </row>
    <row r="297" spans="1:64" s="326" customFormat="1" ht="117" customHeight="1" x14ac:dyDescent="0.2">
      <c r="A297" s="312">
        <v>320</v>
      </c>
      <c r="B297" s="314" t="s">
        <v>1290</v>
      </c>
      <c r="C297" s="312">
        <v>3</v>
      </c>
      <c r="D297" s="314" t="s">
        <v>1197</v>
      </c>
      <c r="E297" s="312">
        <v>40</v>
      </c>
      <c r="F297" s="314" t="s">
        <v>1214</v>
      </c>
      <c r="G297" s="312">
        <v>4001</v>
      </c>
      <c r="H297" s="314" t="s">
        <v>183</v>
      </c>
      <c r="I297" s="312">
        <v>4001</v>
      </c>
      <c r="J297" s="315" t="s">
        <v>1255</v>
      </c>
      <c r="K297" s="321" t="s">
        <v>184</v>
      </c>
      <c r="L297" s="339">
        <v>4001001</v>
      </c>
      <c r="M297" s="315" t="s">
        <v>1086</v>
      </c>
      <c r="N297" s="423">
        <v>4001001</v>
      </c>
      <c r="O297" s="315" t="s">
        <v>1086</v>
      </c>
      <c r="P297" s="329" t="s">
        <v>1087</v>
      </c>
      <c r="Q297" s="316" t="s">
        <v>1088</v>
      </c>
      <c r="R297" s="329">
        <v>400100100</v>
      </c>
      <c r="S297" s="316" t="s">
        <v>1088</v>
      </c>
      <c r="T297" s="317" t="s">
        <v>1460</v>
      </c>
      <c r="U297" s="345">
        <v>3</v>
      </c>
      <c r="V297" s="345">
        <v>3</v>
      </c>
      <c r="W297" s="318">
        <f t="shared" si="29"/>
        <v>6</v>
      </c>
      <c r="X297" s="385">
        <v>3</v>
      </c>
      <c r="Y297" s="320">
        <v>2020003630145</v>
      </c>
      <c r="Z297" s="412" t="s">
        <v>1089</v>
      </c>
      <c r="AA297" s="321" t="s">
        <v>1090</v>
      </c>
      <c r="AB297" s="365"/>
      <c r="AC297" s="365"/>
      <c r="AD297" s="365"/>
      <c r="AE297" s="322"/>
      <c r="AF297" s="322"/>
      <c r="AG297" s="322"/>
      <c r="AH297" s="322"/>
      <c r="AI297" s="322"/>
      <c r="AJ297" s="322"/>
      <c r="AK297" s="322"/>
      <c r="AL297" s="322"/>
      <c r="AM297" s="322"/>
      <c r="AN297" s="322"/>
      <c r="AO297" s="322"/>
      <c r="AP297" s="322"/>
      <c r="AQ297" s="322"/>
      <c r="AR297" s="322"/>
      <c r="AS297" s="322"/>
      <c r="AT297" s="330"/>
      <c r="AU297" s="331"/>
      <c r="AV297" s="331"/>
      <c r="AW297" s="323">
        <f>33000000+36236666</f>
        <v>69236666</v>
      </c>
      <c r="AX297" s="322">
        <v>61621166</v>
      </c>
      <c r="AY297" s="322">
        <v>61621166</v>
      </c>
      <c r="AZ297" s="324"/>
      <c r="BA297" s="322"/>
      <c r="BB297" s="322"/>
      <c r="BC297" s="335"/>
      <c r="BD297" s="334"/>
      <c r="BE297" s="334"/>
      <c r="BF297" s="462">
        <f t="shared" ref="BF297:BF308" si="30">AB297+AE297+AH297+AK297+AN297+AQ297+AT297+AW297+BC297</f>
        <v>69236666</v>
      </c>
      <c r="BG297" s="462">
        <f t="shared" ref="BG297:BG308" si="31">AC297+AF297+AI297+AL297+AO297+AR297+AU297+AX297+BD297</f>
        <v>61621166</v>
      </c>
      <c r="BH297" s="462">
        <f t="shared" ref="BH297:BH308" si="32">AD297+AG297+AJ297+AM297+AP297+AS297+AV297+AY297+BE297</f>
        <v>61621166</v>
      </c>
      <c r="BI297" s="332" t="s">
        <v>1476</v>
      </c>
      <c r="BK297" s="327"/>
      <c r="BL297" s="328"/>
    </row>
    <row r="298" spans="1:64" s="326" customFormat="1" ht="117" customHeight="1" x14ac:dyDescent="0.2">
      <c r="A298" s="312">
        <v>320</v>
      </c>
      <c r="B298" s="314" t="s">
        <v>1290</v>
      </c>
      <c r="C298" s="312">
        <v>3</v>
      </c>
      <c r="D298" s="314" t="s">
        <v>1197</v>
      </c>
      <c r="E298" s="312">
        <v>40</v>
      </c>
      <c r="F298" s="314" t="s">
        <v>1214</v>
      </c>
      <c r="G298" s="312">
        <v>4001</v>
      </c>
      <c r="H298" s="314" t="s">
        <v>183</v>
      </c>
      <c r="I298" s="312">
        <v>4001</v>
      </c>
      <c r="J298" s="315" t="s">
        <v>1255</v>
      </c>
      <c r="K298" s="321" t="s">
        <v>1091</v>
      </c>
      <c r="L298" s="339">
        <v>4001017</v>
      </c>
      <c r="M298" s="315" t="s">
        <v>1092</v>
      </c>
      <c r="N298" s="423">
        <v>4001017</v>
      </c>
      <c r="O298" s="315" t="s">
        <v>1092</v>
      </c>
      <c r="P298" s="329" t="s">
        <v>1093</v>
      </c>
      <c r="Q298" s="316" t="s">
        <v>1094</v>
      </c>
      <c r="R298" s="329">
        <v>400101700</v>
      </c>
      <c r="S298" s="316" t="s">
        <v>1094</v>
      </c>
      <c r="T298" s="317" t="s">
        <v>1460</v>
      </c>
      <c r="U298" s="345">
        <v>25</v>
      </c>
      <c r="V298" s="345"/>
      <c r="W298" s="318">
        <f t="shared" si="29"/>
        <v>25</v>
      </c>
      <c r="X298" s="385">
        <v>16</v>
      </c>
      <c r="Y298" s="320">
        <v>2020003630145</v>
      </c>
      <c r="Z298" s="412" t="s">
        <v>1089</v>
      </c>
      <c r="AA298" s="321" t="s">
        <v>1090</v>
      </c>
      <c r="AB298" s="365">
        <f>195000000-154700000</f>
        <v>40300000</v>
      </c>
      <c r="AC298" s="365">
        <v>39093082.5</v>
      </c>
      <c r="AD298" s="365">
        <v>39093082.5</v>
      </c>
      <c r="AE298" s="322"/>
      <c r="AF298" s="322"/>
      <c r="AG298" s="322"/>
      <c r="AH298" s="322"/>
      <c r="AI298" s="322"/>
      <c r="AJ298" s="322"/>
      <c r="AK298" s="322"/>
      <c r="AL298" s="322"/>
      <c r="AM298" s="322"/>
      <c r="AN298" s="322"/>
      <c r="AO298" s="322"/>
      <c r="AP298" s="322"/>
      <c r="AQ298" s="322"/>
      <c r="AR298" s="322"/>
      <c r="AS298" s="322"/>
      <c r="AT298" s="330"/>
      <c r="AU298" s="331"/>
      <c r="AV298" s="331"/>
      <c r="AW298" s="386">
        <f>26000000+295000000</f>
        <v>321000000</v>
      </c>
      <c r="AX298" s="365">
        <v>25998000</v>
      </c>
      <c r="AY298" s="365">
        <v>25998000</v>
      </c>
      <c r="AZ298" s="392"/>
      <c r="BA298" s="365"/>
      <c r="BB298" s="365"/>
      <c r="BC298" s="335"/>
      <c r="BD298" s="334"/>
      <c r="BE298" s="334"/>
      <c r="BF298" s="462">
        <f t="shared" si="30"/>
        <v>361300000</v>
      </c>
      <c r="BG298" s="462">
        <f t="shared" si="31"/>
        <v>65091082.5</v>
      </c>
      <c r="BH298" s="462">
        <f t="shared" si="32"/>
        <v>65091082.5</v>
      </c>
      <c r="BI298" s="332" t="s">
        <v>1476</v>
      </c>
      <c r="BK298" s="327"/>
      <c r="BL298" s="328"/>
    </row>
    <row r="299" spans="1:64" s="326" customFormat="1" ht="117" customHeight="1" x14ac:dyDescent="0.2">
      <c r="A299" s="312">
        <v>320</v>
      </c>
      <c r="B299" s="314" t="s">
        <v>1290</v>
      </c>
      <c r="C299" s="312">
        <v>3</v>
      </c>
      <c r="D299" s="314" t="s">
        <v>1197</v>
      </c>
      <c r="E299" s="312">
        <v>40</v>
      </c>
      <c r="F299" s="314" t="s">
        <v>1214</v>
      </c>
      <c r="G299" s="312">
        <v>4001</v>
      </c>
      <c r="H299" s="314" t="s">
        <v>183</v>
      </c>
      <c r="I299" s="312">
        <v>4001</v>
      </c>
      <c r="J299" s="315" t="s">
        <v>1255</v>
      </c>
      <c r="K299" s="321" t="s">
        <v>184</v>
      </c>
      <c r="L299" s="339">
        <v>4001018</v>
      </c>
      <c r="M299" s="315" t="s">
        <v>1095</v>
      </c>
      <c r="N299" s="423">
        <v>4001018</v>
      </c>
      <c r="O299" s="315" t="s">
        <v>1095</v>
      </c>
      <c r="P299" s="329" t="s">
        <v>1096</v>
      </c>
      <c r="Q299" s="316" t="s">
        <v>1097</v>
      </c>
      <c r="R299" s="329">
        <v>400101800</v>
      </c>
      <c r="S299" s="316" t="s">
        <v>1097</v>
      </c>
      <c r="T299" s="317" t="s">
        <v>1460</v>
      </c>
      <c r="U299" s="345">
        <v>75</v>
      </c>
      <c r="V299" s="345"/>
      <c r="W299" s="318">
        <f t="shared" si="29"/>
        <v>75</v>
      </c>
      <c r="X299" s="385">
        <v>0</v>
      </c>
      <c r="Y299" s="320">
        <v>2020003630145</v>
      </c>
      <c r="Z299" s="412" t="s">
        <v>1089</v>
      </c>
      <c r="AA299" s="321" t="s">
        <v>1090</v>
      </c>
      <c r="AB299" s="365">
        <v>325000000</v>
      </c>
      <c r="AC299" s="365">
        <v>46008283.5</v>
      </c>
      <c r="AD299" s="365">
        <v>46008283.5</v>
      </c>
      <c r="AE299" s="322"/>
      <c r="AF299" s="322"/>
      <c r="AG299" s="322"/>
      <c r="AH299" s="322"/>
      <c r="AI299" s="322"/>
      <c r="AJ299" s="322"/>
      <c r="AK299" s="322"/>
      <c r="AL299" s="322"/>
      <c r="AM299" s="322"/>
      <c r="AN299" s="322"/>
      <c r="AO299" s="322"/>
      <c r="AP299" s="322"/>
      <c r="AQ299" s="322"/>
      <c r="AR299" s="322"/>
      <c r="AS299" s="322"/>
      <c r="AT299" s="330"/>
      <c r="AU299" s="331"/>
      <c r="AV299" s="331"/>
      <c r="AW299" s="323">
        <v>39000000</v>
      </c>
      <c r="AX299" s="322">
        <v>37826500</v>
      </c>
      <c r="AY299" s="322">
        <v>37826500</v>
      </c>
      <c r="AZ299" s="324"/>
      <c r="BA299" s="322"/>
      <c r="BB299" s="322"/>
      <c r="BC299" s="335"/>
      <c r="BD299" s="334"/>
      <c r="BE299" s="334"/>
      <c r="BF299" s="462">
        <f t="shared" si="30"/>
        <v>364000000</v>
      </c>
      <c r="BG299" s="462">
        <f t="shared" si="31"/>
        <v>83834783.5</v>
      </c>
      <c r="BH299" s="462">
        <f t="shared" si="32"/>
        <v>83834783.5</v>
      </c>
      <c r="BI299" s="332" t="s">
        <v>1476</v>
      </c>
      <c r="BK299" s="327"/>
      <c r="BL299" s="328"/>
    </row>
    <row r="300" spans="1:64" s="326" customFormat="1" ht="117" customHeight="1" x14ac:dyDescent="0.2">
      <c r="A300" s="312">
        <v>320</v>
      </c>
      <c r="B300" s="314" t="s">
        <v>1290</v>
      </c>
      <c r="C300" s="312">
        <v>3</v>
      </c>
      <c r="D300" s="314" t="s">
        <v>1197</v>
      </c>
      <c r="E300" s="312">
        <v>40</v>
      </c>
      <c r="F300" s="314" t="s">
        <v>1214</v>
      </c>
      <c r="G300" s="312">
        <v>4001</v>
      </c>
      <c r="H300" s="314" t="s">
        <v>183</v>
      </c>
      <c r="I300" s="312">
        <v>4001</v>
      </c>
      <c r="J300" s="315" t="s">
        <v>1255</v>
      </c>
      <c r="K300" s="321" t="s">
        <v>184</v>
      </c>
      <c r="L300" s="339">
        <v>4001030</v>
      </c>
      <c r="M300" s="315" t="s">
        <v>1098</v>
      </c>
      <c r="N300" s="423">
        <v>4001030</v>
      </c>
      <c r="O300" s="315" t="s">
        <v>1098</v>
      </c>
      <c r="P300" s="329" t="s">
        <v>1099</v>
      </c>
      <c r="Q300" s="316" t="s">
        <v>205</v>
      </c>
      <c r="R300" s="329">
        <v>400103000</v>
      </c>
      <c r="S300" s="316" t="s">
        <v>205</v>
      </c>
      <c r="T300" s="317" t="s">
        <v>1460</v>
      </c>
      <c r="U300" s="345">
        <v>3</v>
      </c>
      <c r="V300" s="345">
        <v>6</v>
      </c>
      <c r="W300" s="318">
        <f t="shared" si="29"/>
        <v>9</v>
      </c>
      <c r="X300" s="385">
        <v>3</v>
      </c>
      <c r="Y300" s="320">
        <v>2020003630145</v>
      </c>
      <c r="Z300" s="412" t="s">
        <v>1089</v>
      </c>
      <c r="AA300" s="321" t="s">
        <v>1090</v>
      </c>
      <c r="AB300" s="365"/>
      <c r="AC300" s="365"/>
      <c r="AD300" s="365"/>
      <c r="AE300" s="322"/>
      <c r="AF300" s="322"/>
      <c r="AG300" s="322"/>
      <c r="AH300" s="322"/>
      <c r="AI300" s="322"/>
      <c r="AJ300" s="322"/>
      <c r="AK300" s="322"/>
      <c r="AL300" s="322"/>
      <c r="AM300" s="322"/>
      <c r="AN300" s="322"/>
      <c r="AO300" s="322"/>
      <c r="AP300" s="322"/>
      <c r="AQ300" s="322"/>
      <c r="AR300" s="322"/>
      <c r="AS300" s="322"/>
      <c r="AT300" s="370"/>
      <c r="AU300" s="371"/>
      <c r="AV300" s="371"/>
      <c r="AW300" s="323">
        <f>10000000+70000000-20000000</f>
        <v>60000000</v>
      </c>
      <c r="AX300" s="322">
        <v>59999999.920000002</v>
      </c>
      <c r="AY300" s="322">
        <v>59999999.920000002</v>
      </c>
      <c r="AZ300" s="324"/>
      <c r="BA300" s="322"/>
      <c r="BB300" s="322"/>
      <c r="BC300" s="335"/>
      <c r="BD300" s="334"/>
      <c r="BE300" s="334"/>
      <c r="BF300" s="462">
        <f t="shared" si="30"/>
        <v>60000000</v>
      </c>
      <c r="BG300" s="462">
        <f t="shared" si="31"/>
        <v>59999999.920000002</v>
      </c>
      <c r="BH300" s="462">
        <f t="shared" si="32"/>
        <v>59999999.920000002</v>
      </c>
      <c r="BI300" s="332" t="s">
        <v>1476</v>
      </c>
      <c r="BK300" s="327"/>
      <c r="BL300" s="328"/>
    </row>
    <row r="301" spans="1:64" s="326" customFormat="1" ht="117" customHeight="1" x14ac:dyDescent="0.2">
      <c r="A301" s="312">
        <v>320</v>
      </c>
      <c r="B301" s="314" t="s">
        <v>1290</v>
      </c>
      <c r="C301" s="312">
        <v>3</v>
      </c>
      <c r="D301" s="314" t="s">
        <v>1197</v>
      </c>
      <c r="E301" s="312">
        <v>40</v>
      </c>
      <c r="F301" s="314" t="s">
        <v>1214</v>
      </c>
      <c r="G301" s="312">
        <v>4001</v>
      </c>
      <c r="H301" s="314" t="s">
        <v>183</v>
      </c>
      <c r="I301" s="312">
        <v>4001</v>
      </c>
      <c r="J301" s="315" t="s">
        <v>1255</v>
      </c>
      <c r="K301" s="321" t="s">
        <v>184</v>
      </c>
      <c r="L301" s="339">
        <v>4001031</v>
      </c>
      <c r="M301" s="315" t="s">
        <v>1100</v>
      </c>
      <c r="N301" s="423">
        <v>4001031</v>
      </c>
      <c r="O301" s="315" t="s">
        <v>1100</v>
      </c>
      <c r="P301" s="329">
        <v>400103103</v>
      </c>
      <c r="Q301" s="316" t="s">
        <v>1101</v>
      </c>
      <c r="R301" s="329">
        <v>400103103</v>
      </c>
      <c r="S301" s="316" t="s">
        <v>1101</v>
      </c>
      <c r="T301" s="317" t="s">
        <v>1460</v>
      </c>
      <c r="U301" s="345">
        <v>8</v>
      </c>
      <c r="V301" s="345"/>
      <c r="W301" s="318">
        <f t="shared" si="29"/>
        <v>8</v>
      </c>
      <c r="X301" s="385">
        <v>0</v>
      </c>
      <c r="Y301" s="320">
        <v>2020003630145</v>
      </c>
      <c r="Z301" s="412" t="s">
        <v>1089</v>
      </c>
      <c r="AA301" s="321" t="s">
        <v>1090</v>
      </c>
      <c r="AB301" s="365"/>
      <c r="AC301" s="365"/>
      <c r="AD301" s="365"/>
      <c r="AE301" s="322"/>
      <c r="AF301" s="322"/>
      <c r="AG301" s="322"/>
      <c r="AH301" s="322"/>
      <c r="AI301" s="322"/>
      <c r="AJ301" s="322"/>
      <c r="AK301" s="322"/>
      <c r="AL301" s="322"/>
      <c r="AM301" s="322"/>
      <c r="AN301" s="322"/>
      <c r="AO301" s="322"/>
      <c r="AP301" s="322"/>
      <c r="AQ301" s="322"/>
      <c r="AR301" s="322"/>
      <c r="AS301" s="322"/>
      <c r="AT301" s="370"/>
      <c r="AU301" s="371"/>
      <c r="AV301" s="371"/>
      <c r="AW301" s="323">
        <f>525044541-86032469.08-305000000</f>
        <v>134012071.92000002</v>
      </c>
      <c r="AX301" s="322">
        <v>116480893.22</v>
      </c>
      <c r="AY301" s="322">
        <v>116480893.22</v>
      </c>
      <c r="AZ301" s="324"/>
      <c r="BA301" s="322"/>
      <c r="BB301" s="322"/>
      <c r="BC301" s="335"/>
      <c r="BD301" s="334"/>
      <c r="BE301" s="334"/>
      <c r="BF301" s="462">
        <f t="shared" si="30"/>
        <v>134012071.92000002</v>
      </c>
      <c r="BG301" s="462">
        <f t="shared" si="31"/>
        <v>116480893.22</v>
      </c>
      <c r="BH301" s="462">
        <f t="shared" si="32"/>
        <v>116480893.22</v>
      </c>
      <c r="BI301" s="332" t="s">
        <v>1476</v>
      </c>
      <c r="BK301" s="327"/>
      <c r="BL301" s="328"/>
    </row>
    <row r="302" spans="1:64" s="326" customFormat="1" ht="117" customHeight="1" x14ac:dyDescent="0.2">
      <c r="A302" s="312">
        <v>320</v>
      </c>
      <c r="B302" s="314" t="s">
        <v>1290</v>
      </c>
      <c r="C302" s="312">
        <v>3</v>
      </c>
      <c r="D302" s="314" t="s">
        <v>1197</v>
      </c>
      <c r="E302" s="312">
        <v>40</v>
      </c>
      <c r="F302" s="314" t="s">
        <v>1214</v>
      </c>
      <c r="G302" s="312">
        <v>4001</v>
      </c>
      <c r="H302" s="314" t="s">
        <v>183</v>
      </c>
      <c r="I302" s="312">
        <v>4001</v>
      </c>
      <c r="J302" s="315" t="s">
        <v>1255</v>
      </c>
      <c r="K302" s="321" t="s">
        <v>1091</v>
      </c>
      <c r="L302" s="339" t="s">
        <v>1102</v>
      </c>
      <c r="M302" s="315" t="s">
        <v>1103</v>
      </c>
      <c r="N302" s="423" t="s">
        <v>1102</v>
      </c>
      <c r="O302" s="315" t="s">
        <v>1103</v>
      </c>
      <c r="P302" s="329" t="s">
        <v>1104</v>
      </c>
      <c r="Q302" s="316" t="s">
        <v>1103</v>
      </c>
      <c r="R302" s="329">
        <v>400101400</v>
      </c>
      <c r="S302" s="316" t="s">
        <v>1103</v>
      </c>
      <c r="T302" s="317" t="s">
        <v>1460</v>
      </c>
      <c r="U302" s="345">
        <v>35</v>
      </c>
      <c r="V302" s="345"/>
      <c r="W302" s="318">
        <f t="shared" si="29"/>
        <v>35</v>
      </c>
      <c r="X302" s="385">
        <v>0</v>
      </c>
      <c r="Y302" s="424">
        <v>2020003630145</v>
      </c>
      <c r="Z302" s="425" t="s">
        <v>1089</v>
      </c>
      <c r="AA302" s="426" t="s">
        <v>1090</v>
      </c>
      <c r="AB302" s="427"/>
      <c r="AC302" s="427"/>
      <c r="AD302" s="427"/>
      <c r="AE302" s="428"/>
      <c r="AF302" s="428"/>
      <c r="AG302" s="428"/>
      <c r="AH302" s="428"/>
      <c r="AI302" s="428"/>
      <c r="AJ302" s="428"/>
      <c r="AK302" s="428"/>
      <c r="AL302" s="428"/>
      <c r="AM302" s="428"/>
      <c r="AN302" s="428"/>
      <c r="AO302" s="428"/>
      <c r="AP302" s="428"/>
      <c r="AQ302" s="428"/>
      <c r="AR302" s="428"/>
      <c r="AS302" s="428"/>
      <c r="AT302" s="429"/>
      <c r="AU302" s="371"/>
      <c r="AV302" s="371"/>
      <c r="AW302" s="430">
        <f>50000000-35000000</f>
        <v>15000000</v>
      </c>
      <c r="AX302" s="322">
        <v>14376500</v>
      </c>
      <c r="AY302" s="431">
        <v>14376500</v>
      </c>
      <c r="AZ302" s="432"/>
      <c r="BA302" s="322"/>
      <c r="BB302" s="322"/>
      <c r="BC302" s="433"/>
      <c r="BD302" s="434"/>
      <c r="BE302" s="434"/>
      <c r="BF302" s="469">
        <f t="shared" si="30"/>
        <v>15000000</v>
      </c>
      <c r="BG302" s="469">
        <f t="shared" si="31"/>
        <v>14376500</v>
      </c>
      <c r="BH302" s="469">
        <f t="shared" si="32"/>
        <v>14376500</v>
      </c>
      <c r="BI302" s="332" t="s">
        <v>1476</v>
      </c>
      <c r="BK302" s="327"/>
      <c r="BL302" s="328"/>
    </row>
    <row r="303" spans="1:64" s="326" customFormat="1" ht="117" customHeight="1" x14ac:dyDescent="0.2">
      <c r="A303" s="312">
        <v>320</v>
      </c>
      <c r="B303" s="314" t="s">
        <v>1290</v>
      </c>
      <c r="C303" s="312">
        <v>3</v>
      </c>
      <c r="D303" s="314" t="s">
        <v>1197</v>
      </c>
      <c r="E303" s="312">
        <v>40</v>
      </c>
      <c r="F303" s="314" t="s">
        <v>1214</v>
      </c>
      <c r="G303" s="312">
        <v>4001</v>
      </c>
      <c r="H303" s="314" t="s">
        <v>183</v>
      </c>
      <c r="I303" s="312">
        <v>4001</v>
      </c>
      <c r="J303" s="315" t="s">
        <v>1255</v>
      </c>
      <c r="K303" s="321" t="s">
        <v>184</v>
      </c>
      <c r="L303" s="339" t="s">
        <v>1105</v>
      </c>
      <c r="M303" s="315" t="s">
        <v>187</v>
      </c>
      <c r="N303" s="423" t="s">
        <v>1105</v>
      </c>
      <c r="O303" s="315" t="s">
        <v>187</v>
      </c>
      <c r="P303" s="329">
        <v>400101500</v>
      </c>
      <c r="Q303" s="316" t="s">
        <v>187</v>
      </c>
      <c r="R303" s="329">
        <v>400101500</v>
      </c>
      <c r="S303" s="316" t="s">
        <v>187</v>
      </c>
      <c r="T303" s="317" t="s">
        <v>1460</v>
      </c>
      <c r="U303" s="320">
        <v>120</v>
      </c>
      <c r="V303" s="320">
        <v>46</v>
      </c>
      <c r="W303" s="318">
        <f t="shared" si="29"/>
        <v>166</v>
      </c>
      <c r="X303" s="385">
        <v>0</v>
      </c>
      <c r="Y303" s="320">
        <v>2020003630145</v>
      </c>
      <c r="Z303" s="412" t="s">
        <v>1089</v>
      </c>
      <c r="AA303" s="321" t="s">
        <v>1090</v>
      </c>
      <c r="AB303" s="365">
        <v>154700000</v>
      </c>
      <c r="AC303" s="365"/>
      <c r="AD303" s="365"/>
      <c r="AE303" s="322"/>
      <c r="AF303" s="322"/>
      <c r="AG303" s="322"/>
      <c r="AH303" s="322"/>
      <c r="AI303" s="322"/>
      <c r="AJ303" s="322"/>
      <c r="AK303" s="322"/>
      <c r="AL303" s="322"/>
      <c r="AM303" s="322"/>
      <c r="AN303" s="322"/>
      <c r="AO303" s="322"/>
      <c r="AP303" s="322"/>
      <c r="AQ303" s="322"/>
      <c r="AR303" s="322"/>
      <c r="AS303" s="322"/>
      <c r="AT303" s="370"/>
      <c r="AU303" s="371"/>
      <c r="AV303" s="371"/>
      <c r="AW303" s="435">
        <f>50000000-35000000+36032469.08-6236666</f>
        <v>44795803.079999998</v>
      </c>
      <c r="AX303" s="322">
        <v>38697887</v>
      </c>
      <c r="AY303" s="322">
        <v>38697887</v>
      </c>
      <c r="AZ303" s="322"/>
      <c r="BA303" s="322"/>
      <c r="BB303" s="322"/>
      <c r="BC303" s="335"/>
      <c r="BD303" s="334"/>
      <c r="BE303" s="334"/>
      <c r="BF303" s="462">
        <f t="shared" si="30"/>
        <v>199495803.07999998</v>
      </c>
      <c r="BG303" s="462">
        <f t="shared" si="31"/>
        <v>38697887</v>
      </c>
      <c r="BH303" s="462">
        <f t="shared" si="32"/>
        <v>38697887</v>
      </c>
      <c r="BI303" s="332" t="s">
        <v>1476</v>
      </c>
      <c r="BK303" s="327"/>
      <c r="BL303" s="328"/>
    </row>
    <row r="304" spans="1:64" s="326" customFormat="1" ht="117" customHeight="1" x14ac:dyDescent="0.2">
      <c r="A304" s="312">
        <v>320</v>
      </c>
      <c r="B304" s="314" t="s">
        <v>1290</v>
      </c>
      <c r="C304" s="312">
        <v>4</v>
      </c>
      <c r="D304" s="314" t="s">
        <v>1191</v>
      </c>
      <c r="E304" s="312">
        <v>45</v>
      </c>
      <c r="F304" s="314" t="s">
        <v>28</v>
      </c>
      <c r="G304" s="312" t="s">
        <v>31</v>
      </c>
      <c r="H304" s="314" t="s">
        <v>1226</v>
      </c>
      <c r="I304" s="312">
        <v>4599</v>
      </c>
      <c r="J304" s="315" t="s">
        <v>1227</v>
      </c>
      <c r="K304" s="321" t="s">
        <v>30</v>
      </c>
      <c r="L304" s="339" t="s">
        <v>31</v>
      </c>
      <c r="M304" s="315" t="s">
        <v>209</v>
      </c>
      <c r="N304" s="423" t="s">
        <v>210</v>
      </c>
      <c r="O304" s="315" t="s">
        <v>130</v>
      </c>
      <c r="P304" s="329" t="s">
        <v>31</v>
      </c>
      <c r="Q304" s="316" t="s">
        <v>211</v>
      </c>
      <c r="R304" s="329">
        <v>459901600</v>
      </c>
      <c r="S304" s="316" t="s">
        <v>130</v>
      </c>
      <c r="T304" s="317" t="s">
        <v>1459</v>
      </c>
      <c r="U304" s="320">
        <v>4</v>
      </c>
      <c r="V304" s="320"/>
      <c r="W304" s="318">
        <v>4</v>
      </c>
      <c r="X304" s="385">
        <v>7</v>
      </c>
      <c r="Y304" s="320">
        <v>2022003630006</v>
      </c>
      <c r="Z304" s="412" t="s">
        <v>1486</v>
      </c>
      <c r="AA304" s="321" t="s">
        <v>1487</v>
      </c>
      <c r="AB304" s="365"/>
      <c r="AC304" s="365"/>
      <c r="AD304" s="365"/>
      <c r="AE304" s="322"/>
      <c r="AF304" s="322"/>
      <c r="AG304" s="322"/>
      <c r="AH304" s="322"/>
      <c r="AI304" s="322"/>
      <c r="AJ304" s="322"/>
      <c r="AK304" s="322"/>
      <c r="AL304" s="322"/>
      <c r="AM304" s="322"/>
      <c r="AN304" s="322"/>
      <c r="AO304" s="322"/>
      <c r="AP304" s="322"/>
      <c r="AQ304" s="322"/>
      <c r="AR304" s="322"/>
      <c r="AS304" s="322"/>
      <c r="AT304" s="370"/>
      <c r="AU304" s="371"/>
      <c r="AV304" s="371"/>
      <c r="AW304" s="436">
        <v>50000000</v>
      </c>
      <c r="AX304" s="322">
        <v>10000000</v>
      </c>
      <c r="AY304" s="322">
        <v>10000000</v>
      </c>
      <c r="AZ304" s="322"/>
      <c r="BA304" s="322"/>
      <c r="BB304" s="322"/>
      <c r="BC304" s="335"/>
      <c r="BD304" s="334"/>
      <c r="BE304" s="334"/>
      <c r="BF304" s="462">
        <f t="shared" si="30"/>
        <v>50000000</v>
      </c>
      <c r="BG304" s="462">
        <f t="shared" si="31"/>
        <v>10000000</v>
      </c>
      <c r="BH304" s="462">
        <f t="shared" si="32"/>
        <v>10000000</v>
      </c>
      <c r="BI304" s="332" t="s">
        <v>1476</v>
      </c>
      <c r="BK304" s="327"/>
      <c r="BL304" s="328"/>
    </row>
    <row r="305" spans="1:64" s="326" customFormat="1" ht="117" customHeight="1" x14ac:dyDescent="0.2">
      <c r="A305" s="312">
        <v>321</v>
      </c>
      <c r="B305" s="314" t="s">
        <v>1213</v>
      </c>
      <c r="C305" s="312">
        <v>3</v>
      </c>
      <c r="D305" s="314" t="s">
        <v>1197</v>
      </c>
      <c r="E305" s="312">
        <v>24</v>
      </c>
      <c r="F305" s="314" t="s">
        <v>151</v>
      </c>
      <c r="G305" s="312">
        <v>2409</v>
      </c>
      <c r="H305" s="314" t="s">
        <v>1107</v>
      </c>
      <c r="I305" s="312">
        <v>2409</v>
      </c>
      <c r="J305" s="315" t="s">
        <v>1244</v>
      </c>
      <c r="K305" s="384" t="s">
        <v>1108</v>
      </c>
      <c r="L305" s="329" t="s">
        <v>31</v>
      </c>
      <c r="M305" s="315" t="s">
        <v>1109</v>
      </c>
      <c r="N305" s="312">
        <v>2409009</v>
      </c>
      <c r="O305" s="315" t="s">
        <v>1110</v>
      </c>
      <c r="P305" s="329" t="s">
        <v>31</v>
      </c>
      <c r="Q305" s="316" t="s">
        <v>1111</v>
      </c>
      <c r="R305" s="312">
        <v>240900900</v>
      </c>
      <c r="S305" s="316" t="s">
        <v>1112</v>
      </c>
      <c r="T305" s="317" t="s">
        <v>1459</v>
      </c>
      <c r="U305" s="345">
        <v>1</v>
      </c>
      <c r="V305" s="345"/>
      <c r="W305" s="318">
        <f t="shared" si="29"/>
        <v>1</v>
      </c>
      <c r="X305" s="385">
        <v>1</v>
      </c>
      <c r="Y305" s="320">
        <v>2020003630149</v>
      </c>
      <c r="Z305" s="412" t="s">
        <v>1113</v>
      </c>
      <c r="AA305" s="321" t="s">
        <v>1114</v>
      </c>
      <c r="AB305" s="322"/>
      <c r="AC305" s="322"/>
      <c r="AD305" s="322"/>
      <c r="AE305" s="322"/>
      <c r="AF305" s="322"/>
      <c r="AG305" s="322"/>
      <c r="AH305" s="322"/>
      <c r="AI305" s="322"/>
      <c r="AJ305" s="322"/>
      <c r="AK305" s="322"/>
      <c r="AL305" s="322"/>
      <c r="AM305" s="322"/>
      <c r="AN305" s="322"/>
      <c r="AO305" s="322"/>
      <c r="AP305" s="322"/>
      <c r="AQ305" s="322"/>
      <c r="AR305" s="322"/>
      <c r="AS305" s="322"/>
      <c r="AT305" s="330"/>
      <c r="AU305" s="331"/>
      <c r="AV305" s="331"/>
      <c r="AW305" s="394">
        <f>28007760-18007760</f>
        <v>10000000</v>
      </c>
      <c r="AX305" s="331">
        <v>10000000</v>
      </c>
      <c r="AY305" s="331">
        <v>10000000</v>
      </c>
      <c r="AZ305" s="330"/>
      <c r="BA305" s="331"/>
      <c r="BB305" s="331"/>
      <c r="BC305" s="323"/>
      <c r="BD305" s="322"/>
      <c r="BE305" s="322"/>
      <c r="BF305" s="462">
        <f t="shared" si="30"/>
        <v>10000000</v>
      </c>
      <c r="BG305" s="462">
        <f t="shared" si="31"/>
        <v>10000000</v>
      </c>
      <c r="BH305" s="462">
        <f t="shared" si="32"/>
        <v>10000000</v>
      </c>
      <c r="BI305" s="332" t="s">
        <v>1477</v>
      </c>
      <c r="BK305" s="327"/>
      <c r="BL305" s="328"/>
    </row>
    <row r="306" spans="1:64" s="326" customFormat="1" ht="117" customHeight="1" x14ac:dyDescent="0.2">
      <c r="A306" s="312">
        <v>321</v>
      </c>
      <c r="B306" s="314" t="s">
        <v>1213</v>
      </c>
      <c r="C306" s="312">
        <v>3</v>
      </c>
      <c r="D306" s="314" t="s">
        <v>1197</v>
      </c>
      <c r="E306" s="312">
        <v>24</v>
      </c>
      <c r="F306" s="314" t="s">
        <v>151</v>
      </c>
      <c r="G306" s="312">
        <v>2409</v>
      </c>
      <c r="H306" s="314" t="s">
        <v>1107</v>
      </c>
      <c r="I306" s="312">
        <v>2409</v>
      </c>
      <c r="J306" s="315" t="s">
        <v>1244</v>
      </c>
      <c r="K306" s="384" t="s">
        <v>1108</v>
      </c>
      <c r="L306" s="329" t="s">
        <v>31</v>
      </c>
      <c r="M306" s="315" t="s">
        <v>1115</v>
      </c>
      <c r="N306" s="312">
        <v>2409022</v>
      </c>
      <c r="O306" s="315" t="s">
        <v>1116</v>
      </c>
      <c r="P306" s="329" t="s">
        <v>31</v>
      </c>
      <c r="Q306" s="316" t="s">
        <v>1117</v>
      </c>
      <c r="R306" s="312">
        <v>240902202</v>
      </c>
      <c r="S306" s="316" t="s">
        <v>1140</v>
      </c>
      <c r="T306" s="317" t="s">
        <v>1459</v>
      </c>
      <c r="U306" s="345">
        <v>1</v>
      </c>
      <c r="V306" s="345"/>
      <c r="W306" s="318">
        <f t="shared" si="29"/>
        <v>1</v>
      </c>
      <c r="X306" s="385">
        <v>1</v>
      </c>
      <c r="Y306" s="320">
        <v>2020003630149</v>
      </c>
      <c r="Z306" s="412" t="s">
        <v>1113</v>
      </c>
      <c r="AA306" s="321" t="s">
        <v>1114</v>
      </c>
      <c r="AB306" s="322"/>
      <c r="AC306" s="322"/>
      <c r="AD306" s="322"/>
      <c r="AE306" s="322"/>
      <c r="AF306" s="322"/>
      <c r="AG306" s="322"/>
      <c r="AH306" s="322"/>
      <c r="AI306" s="322"/>
      <c r="AJ306" s="322"/>
      <c r="AK306" s="322"/>
      <c r="AL306" s="322"/>
      <c r="AM306" s="322"/>
      <c r="AN306" s="322"/>
      <c r="AO306" s="322"/>
      <c r="AP306" s="322"/>
      <c r="AQ306" s="322"/>
      <c r="AR306" s="322"/>
      <c r="AS306" s="322"/>
      <c r="AT306" s="330"/>
      <c r="AU306" s="331"/>
      <c r="AV306" s="331"/>
      <c r="AW306" s="394">
        <f>26734680-21934680</f>
        <v>4800000</v>
      </c>
      <c r="AX306" s="331">
        <v>4675000</v>
      </c>
      <c r="AY306" s="331">
        <v>4675000</v>
      </c>
      <c r="AZ306" s="330"/>
      <c r="BA306" s="331"/>
      <c r="BB306" s="331"/>
      <c r="BC306" s="323"/>
      <c r="BD306" s="322"/>
      <c r="BE306" s="322"/>
      <c r="BF306" s="462">
        <f t="shared" si="30"/>
        <v>4800000</v>
      </c>
      <c r="BG306" s="462">
        <f t="shared" si="31"/>
        <v>4675000</v>
      </c>
      <c r="BH306" s="462">
        <f t="shared" si="32"/>
        <v>4675000</v>
      </c>
      <c r="BI306" s="332" t="s">
        <v>1477</v>
      </c>
      <c r="BK306" s="327"/>
      <c r="BL306" s="328"/>
    </row>
    <row r="307" spans="1:64" s="326" customFormat="1" ht="117" customHeight="1" x14ac:dyDescent="0.2">
      <c r="A307" s="312">
        <v>321</v>
      </c>
      <c r="B307" s="314" t="s">
        <v>1213</v>
      </c>
      <c r="C307" s="312">
        <v>3</v>
      </c>
      <c r="D307" s="314" t="s">
        <v>1197</v>
      </c>
      <c r="E307" s="312">
        <v>24</v>
      </c>
      <c r="F307" s="314" t="s">
        <v>151</v>
      </c>
      <c r="G307" s="312">
        <v>2409</v>
      </c>
      <c r="H307" s="314" t="s">
        <v>1107</v>
      </c>
      <c r="I307" s="312">
        <v>2409</v>
      </c>
      <c r="J307" s="315" t="s">
        <v>1244</v>
      </c>
      <c r="K307" s="384" t="s">
        <v>1108</v>
      </c>
      <c r="L307" s="329" t="s">
        <v>31</v>
      </c>
      <c r="M307" s="315" t="s">
        <v>1141</v>
      </c>
      <c r="N307" s="312">
        <v>2409014</v>
      </c>
      <c r="O307" s="315" t="s">
        <v>193</v>
      </c>
      <c r="P307" s="329" t="s">
        <v>31</v>
      </c>
      <c r="Q307" s="316" t="s">
        <v>1118</v>
      </c>
      <c r="R307" s="312">
        <v>240901400</v>
      </c>
      <c r="S307" s="316" t="s">
        <v>803</v>
      </c>
      <c r="T307" s="317" t="s">
        <v>1459</v>
      </c>
      <c r="U307" s="345">
        <v>1</v>
      </c>
      <c r="V307" s="345"/>
      <c r="W307" s="318">
        <f t="shared" si="29"/>
        <v>1</v>
      </c>
      <c r="X307" s="385">
        <v>1</v>
      </c>
      <c r="Y307" s="320">
        <v>2020003630149</v>
      </c>
      <c r="Z307" s="412" t="s">
        <v>1113</v>
      </c>
      <c r="AA307" s="321" t="s">
        <v>1114</v>
      </c>
      <c r="AB307" s="322"/>
      <c r="AC307" s="322"/>
      <c r="AD307" s="322"/>
      <c r="AE307" s="322"/>
      <c r="AF307" s="322"/>
      <c r="AG307" s="322"/>
      <c r="AH307" s="322"/>
      <c r="AI307" s="322"/>
      <c r="AJ307" s="322"/>
      <c r="AK307" s="322"/>
      <c r="AL307" s="322"/>
      <c r="AM307" s="322"/>
      <c r="AN307" s="322"/>
      <c r="AO307" s="322"/>
      <c r="AP307" s="322"/>
      <c r="AQ307" s="322"/>
      <c r="AR307" s="322"/>
      <c r="AS307" s="322"/>
      <c r="AT307" s="330"/>
      <c r="AU307" s="331"/>
      <c r="AV307" s="331"/>
      <c r="AW307" s="394">
        <f>8911560+39418440</f>
        <v>48330000</v>
      </c>
      <c r="AX307" s="331">
        <v>48330000</v>
      </c>
      <c r="AY307" s="331">
        <v>48330000</v>
      </c>
      <c r="AZ307" s="330"/>
      <c r="BA307" s="331"/>
      <c r="BB307" s="331"/>
      <c r="BC307" s="323"/>
      <c r="BD307" s="322"/>
      <c r="BE307" s="322"/>
      <c r="BF307" s="462">
        <f t="shared" si="30"/>
        <v>48330000</v>
      </c>
      <c r="BG307" s="462">
        <f t="shared" si="31"/>
        <v>48330000</v>
      </c>
      <c r="BH307" s="462">
        <f t="shared" si="32"/>
        <v>48330000</v>
      </c>
      <c r="BI307" s="332" t="s">
        <v>1477</v>
      </c>
      <c r="BK307" s="327"/>
      <c r="BL307" s="328"/>
    </row>
    <row r="308" spans="1:64" s="399" customFormat="1" ht="117" customHeight="1" x14ac:dyDescent="0.25">
      <c r="A308" s="312">
        <v>321</v>
      </c>
      <c r="B308" s="314" t="s">
        <v>1213</v>
      </c>
      <c r="C308" s="312">
        <v>3</v>
      </c>
      <c r="D308" s="314" t="s">
        <v>1197</v>
      </c>
      <c r="E308" s="312">
        <v>24</v>
      </c>
      <c r="F308" s="314" t="s">
        <v>151</v>
      </c>
      <c r="G308" s="312">
        <v>2409</v>
      </c>
      <c r="H308" s="314" t="s">
        <v>1107</v>
      </c>
      <c r="I308" s="312">
        <v>2409</v>
      </c>
      <c r="J308" s="315" t="s">
        <v>1244</v>
      </c>
      <c r="K308" s="384" t="s">
        <v>1108</v>
      </c>
      <c r="L308" s="329" t="s">
        <v>31</v>
      </c>
      <c r="M308" s="315" t="s">
        <v>1119</v>
      </c>
      <c r="N308" s="312">
        <v>2409039</v>
      </c>
      <c r="O308" s="315" t="s">
        <v>1120</v>
      </c>
      <c r="P308" s="329" t="s">
        <v>31</v>
      </c>
      <c r="Q308" s="316" t="s">
        <v>1121</v>
      </c>
      <c r="R308" s="312">
        <v>240903905</v>
      </c>
      <c r="S308" s="316" t="s">
        <v>1122</v>
      </c>
      <c r="T308" s="317" t="s">
        <v>1459</v>
      </c>
      <c r="U308" s="345">
        <v>1</v>
      </c>
      <c r="V308" s="345"/>
      <c r="W308" s="318">
        <f t="shared" si="29"/>
        <v>1</v>
      </c>
      <c r="X308" s="385">
        <v>1</v>
      </c>
      <c r="Y308" s="320">
        <v>2020003630149</v>
      </c>
      <c r="Z308" s="412" t="s">
        <v>1113</v>
      </c>
      <c r="AA308" s="321" t="s">
        <v>1114</v>
      </c>
      <c r="AB308" s="322"/>
      <c r="AC308" s="322"/>
      <c r="AD308" s="322"/>
      <c r="AE308" s="322"/>
      <c r="AF308" s="322"/>
      <c r="AG308" s="322"/>
      <c r="AH308" s="322"/>
      <c r="AI308" s="322"/>
      <c r="AJ308" s="322"/>
      <c r="AK308" s="322"/>
      <c r="AL308" s="322"/>
      <c r="AM308" s="322"/>
      <c r="AN308" s="322"/>
      <c r="AO308" s="322"/>
      <c r="AP308" s="322"/>
      <c r="AQ308" s="322"/>
      <c r="AR308" s="322"/>
      <c r="AS308" s="322"/>
      <c r="AT308" s="330"/>
      <c r="AU308" s="331"/>
      <c r="AV308" s="331"/>
      <c r="AW308" s="394">
        <f>49862300+524000</f>
        <v>50386300</v>
      </c>
      <c r="AX308" s="331">
        <v>49799044</v>
      </c>
      <c r="AY308" s="331">
        <v>49799044</v>
      </c>
      <c r="AZ308" s="330"/>
      <c r="BA308" s="331"/>
      <c r="BB308" s="331"/>
      <c r="BC308" s="323"/>
      <c r="BD308" s="322"/>
      <c r="BE308" s="322"/>
      <c r="BF308" s="462">
        <f t="shared" si="30"/>
        <v>50386300</v>
      </c>
      <c r="BG308" s="462">
        <f t="shared" si="31"/>
        <v>49799044</v>
      </c>
      <c r="BH308" s="462">
        <f t="shared" si="32"/>
        <v>49799044</v>
      </c>
      <c r="BI308" s="332" t="s">
        <v>1477</v>
      </c>
      <c r="BK308" s="327"/>
      <c r="BL308" s="328"/>
    </row>
    <row r="309" spans="1:64" s="328" customFormat="1" ht="27.75" customHeight="1" x14ac:dyDescent="0.25">
      <c r="A309" s="437" t="s">
        <v>1499</v>
      </c>
      <c r="B309" s="438"/>
      <c r="C309" s="439"/>
      <c r="D309" s="440"/>
      <c r="E309" s="441"/>
      <c r="F309" s="440"/>
      <c r="G309" s="440"/>
      <c r="H309" s="440"/>
      <c r="I309" s="440"/>
      <c r="J309" s="440"/>
      <c r="K309" s="440"/>
      <c r="L309" s="441"/>
      <c r="M309" s="440"/>
      <c r="N309" s="442"/>
      <c r="O309" s="440"/>
      <c r="P309" s="440"/>
      <c r="Q309" s="440"/>
      <c r="R309" s="441"/>
      <c r="S309" s="440"/>
      <c r="T309" s="442"/>
      <c r="U309" s="441"/>
      <c r="V309" s="441"/>
      <c r="W309" s="441"/>
      <c r="X309" s="441"/>
      <c r="Y309" s="443"/>
      <c r="Z309" s="440"/>
      <c r="AA309" s="444"/>
      <c r="AB309" s="445">
        <f t="shared" ref="AB309:BE309" si="33">SUM(AB8:AB287)</f>
        <v>20836739203.489998</v>
      </c>
      <c r="AC309" s="445">
        <f t="shared" si="33"/>
        <v>14595462486.870003</v>
      </c>
      <c r="AD309" s="445">
        <f t="shared" si="33"/>
        <v>11529962733.210003</v>
      </c>
      <c r="AE309" s="445">
        <f t="shared" si="33"/>
        <v>3333309369.1799998</v>
      </c>
      <c r="AF309" s="445">
        <f t="shared" si="33"/>
        <v>3258253733.1799998</v>
      </c>
      <c r="AG309" s="445">
        <f t="shared" si="33"/>
        <v>3258253733.1799998</v>
      </c>
      <c r="AH309" s="445">
        <f t="shared" si="33"/>
        <v>8483728388.7800007</v>
      </c>
      <c r="AI309" s="445">
        <f t="shared" si="33"/>
        <v>7450871258.0900002</v>
      </c>
      <c r="AJ309" s="445">
        <f t="shared" si="33"/>
        <v>7105212280.5900002</v>
      </c>
      <c r="AK309" s="445">
        <f t="shared" si="33"/>
        <v>51554092396.419998</v>
      </c>
      <c r="AL309" s="445">
        <f t="shared" si="33"/>
        <v>49500374180.029999</v>
      </c>
      <c r="AM309" s="445">
        <f t="shared" si="33"/>
        <v>49500374180.029999</v>
      </c>
      <c r="AN309" s="445">
        <f t="shared" si="33"/>
        <v>168741095743.02997</v>
      </c>
      <c r="AO309" s="445">
        <f t="shared" si="33"/>
        <v>168485012290.25998</v>
      </c>
      <c r="AP309" s="445">
        <f t="shared" si="33"/>
        <v>168384204067.55997</v>
      </c>
      <c r="AQ309" s="445">
        <f t="shared" si="33"/>
        <v>2867588397.8000002</v>
      </c>
      <c r="AR309" s="445">
        <f t="shared" si="33"/>
        <v>2866923608</v>
      </c>
      <c r="AS309" s="445">
        <f t="shared" si="33"/>
        <v>2866923608</v>
      </c>
      <c r="AT309" s="445">
        <f t="shared" si="33"/>
        <v>41230703579.459999</v>
      </c>
      <c r="AU309" s="445">
        <f t="shared" si="33"/>
        <v>34946719030.090004</v>
      </c>
      <c r="AV309" s="445">
        <f t="shared" si="33"/>
        <v>32984943499.98</v>
      </c>
      <c r="AW309" s="445">
        <f t="shared" si="33"/>
        <v>9167798080.1900005</v>
      </c>
      <c r="AX309" s="445">
        <f t="shared" si="33"/>
        <v>5531336624.2200003</v>
      </c>
      <c r="AY309" s="445">
        <f t="shared" si="33"/>
        <v>4693682657.1799994</v>
      </c>
      <c r="AZ309" s="445">
        <f t="shared" si="33"/>
        <v>34855606585.660004</v>
      </c>
      <c r="BA309" s="445">
        <f t="shared" si="33"/>
        <v>105606585.66</v>
      </c>
      <c r="BB309" s="445">
        <f t="shared" si="33"/>
        <v>105606585.66</v>
      </c>
      <c r="BC309" s="445">
        <f>SUM(BC8:BC287)</f>
        <v>77831109407.360001</v>
      </c>
      <c r="BD309" s="445">
        <f t="shared" si="33"/>
        <v>30357070959.34</v>
      </c>
      <c r="BE309" s="445">
        <f t="shared" si="33"/>
        <v>23511534154.07</v>
      </c>
      <c r="BF309" s="445">
        <f>SUM(BF8:BF287)</f>
        <v>418901771151.37</v>
      </c>
      <c r="BG309" s="445">
        <f>SUM(BG8:BG287)</f>
        <v>317097630755.73993</v>
      </c>
      <c r="BH309" s="445">
        <f>SUM(BH8:BH287)</f>
        <v>303940697499.45996</v>
      </c>
      <c r="BI309" s="445"/>
      <c r="BK309" s="327"/>
    </row>
    <row r="310" spans="1:64" s="327" customFormat="1" ht="27.75" customHeight="1" x14ac:dyDescent="0.25">
      <c r="A310" s="446" t="s">
        <v>1500</v>
      </c>
      <c r="B310" s="446"/>
      <c r="C310" s="446"/>
      <c r="D310" s="446"/>
      <c r="E310" s="447"/>
      <c r="F310" s="447"/>
      <c r="G310" s="447"/>
      <c r="H310" s="447"/>
      <c r="I310" s="447"/>
      <c r="J310" s="447"/>
      <c r="K310" s="447"/>
      <c r="L310" s="447"/>
      <c r="M310" s="447"/>
      <c r="N310" s="447"/>
      <c r="O310" s="447"/>
      <c r="P310" s="447"/>
      <c r="Q310" s="447"/>
      <c r="R310" s="447"/>
      <c r="S310" s="447"/>
      <c r="T310" s="447"/>
      <c r="U310" s="447"/>
      <c r="V310" s="447"/>
      <c r="W310" s="447"/>
      <c r="X310" s="447"/>
      <c r="Y310" s="448"/>
      <c r="Z310" s="449"/>
      <c r="AA310" s="450"/>
      <c r="AB310" s="450">
        <f t="shared" ref="AB310:BE310" si="34">SUM(AB288:AB308)</f>
        <v>5523620536.3299999</v>
      </c>
      <c r="AC310" s="450">
        <f t="shared" si="34"/>
        <v>4004861626.7500005</v>
      </c>
      <c r="AD310" s="450">
        <f t="shared" si="34"/>
        <v>3670353770.7500005</v>
      </c>
      <c r="AE310" s="450">
        <f t="shared" si="34"/>
        <v>910154836</v>
      </c>
      <c r="AF310" s="450">
        <f t="shared" si="34"/>
        <v>727926588.04999995</v>
      </c>
      <c r="AG310" s="450">
        <f t="shared" si="34"/>
        <v>635292345.04999995</v>
      </c>
      <c r="AH310" s="450">
        <f t="shared" si="34"/>
        <v>0</v>
      </c>
      <c r="AI310" s="450">
        <f t="shared" si="34"/>
        <v>0</v>
      </c>
      <c r="AJ310" s="450">
        <f t="shared" si="34"/>
        <v>0</v>
      </c>
      <c r="AK310" s="450">
        <f t="shared" si="34"/>
        <v>394592792</v>
      </c>
      <c r="AL310" s="450">
        <f t="shared" si="34"/>
        <v>352495388.5</v>
      </c>
      <c r="AM310" s="450">
        <f t="shared" si="34"/>
        <v>223862481.5</v>
      </c>
      <c r="AN310" s="450">
        <f t="shared" si="34"/>
        <v>0</v>
      </c>
      <c r="AO310" s="450">
        <f t="shared" si="34"/>
        <v>0</v>
      </c>
      <c r="AP310" s="450">
        <f t="shared" si="34"/>
        <v>0</v>
      </c>
      <c r="AQ310" s="450">
        <f t="shared" si="34"/>
        <v>0</v>
      </c>
      <c r="AR310" s="450">
        <f t="shared" si="34"/>
        <v>0</v>
      </c>
      <c r="AS310" s="450">
        <f t="shared" si="34"/>
        <v>0</v>
      </c>
      <c r="AT310" s="450">
        <f t="shared" si="34"/>
        <v>1047366655.1800001</v>
      </c>
      <c r="AU310" s="450">
        <f t="shared" si="34"/>
        <v>990499764</v>
      </c>
      <c r="AV310" s="450">
        <f t="shared" si="34"/>
        <v>971578814</v>
      </c>
      <c r="AW310" s="450">
        <f t="shared" si="34"/>
        <v>2157694470.6199999</v>
      </c>
      <c r="AX310" s="450">
        <f t="shared" si="34"/>
        <v>1751832445.2600002</v>
      </c>
      <c r="AY310" s="450">
        <f t="shared" si="34"/>
        <v>1719859060.8400002</v>
      </c>
      <c r="AZ310" s="450">
        <f t="shared" si="34"/>
        <v>0</v>
      </c>
      <c r="BA310" s="450">
        <f t="shared" si="34"/>
        <v>0</v>
      </c>
      <c r="BB310" s="450">
        <f t="shared" si="34"/>
        <v>0</v>
      </c>
      <c r="BC310" s="450">
        <f t="shared" si="34"/>
        <v>0</v>
      </c>
      <c r="BD310" s="450">
        <f t="shared" si="34"/>
        <v>0</v>
      </c>
      <c r="BE310" s="450">
        <f t="shared" si="34"/>
        <v>0</v>
      </c>
      <c r="BF310" s="450">
        <f>SUM(BF288:BF308)</f>
        <v>10033429290.130001</v>
      </c>
      <c r="BG310" s="450">
        <f>SUM(BG288:BG308)</f>
        <v>7827615812.5600004</v>
      </c>
      <c r="BH310" s="450">
        <f>SUM(BH288:BH308)</f>
        <v>7220946472.1400003</v>
      </c>
      <c r="BI310" s="471"/>
      <c r="BL310" s="328"/>
    </row>
    <row r="311" spans="1:64" s="461" customFormat="1" ht="27.75" customHeight="1" x14ac:dyDescent="0.2">
      <c r="A311" s="451" t="s">
        <v>1527</v>
      </c>
      <c r="B311" s="452"/>
      <c r="C311" s="453"/>
      <c r="D311" s="452"/>
      <c r="E311" s="454"/>
      <c r="F311" s="452"/>
      <c r="G311" s="454"/>
      <c r="H311" s="452"/>
      <c r="I311" s="452"/>
      <c r="J311" s="452"/>
      <c r="K311" s="452"/>
      <c r="L311" s="454"/>
      <c r="M311" s="452"/>
      <c r="N311" s="455"/>
      <c r="O311" s="452"/>
      <c r="P311" s="452"/>
      <c r="Q311" s="452"/>
      <c r="R311" s="454"/>
      <c r="S311" s="452"/>
      <c r="T311" s="455"/>
      <c r="U311" s="454"/>
      <c r="V311" s="454"/>
      <c r="W311" s="454"/>
      <c r="X311" s="454"/>
      <c r="Y311" s="456"/>
      <c r="Z311" s="457"/>
      <c r="AA311" s="458"/>
      <c r="AB311" s="459">
        <f t="shared" ref="AB311:BE311" si="35">+AB309+AB310</f>
        <v>26360359739.82</v>
      </c>
      <c r="AC311" s="459">
        <f t="shared" si="35"/>
        <v>18600324113.620003</v>
      </c>
      <c r="AD311" s="459">
        <f t="shared" si="35"/>
        <v>15200316503.960003</v>
      </c>
      <c r="AE311" s="459">
        <f t="shared" si="35"/>
        <v>4243464205.1799998</v>
      </c>
      <c r="AF311" s="459">
        <f t="shared" si="35"/>
        <v>3986180321.2299995</v>
      </c>
      <c r="AG311" s="459">
        <f t="shared" si="35"/>
        <v>3893546078.2299995</v>
      </c>
      <c r="AH311" s="459">
        <f t="shared" si="35"/>
        <v>8483728388.7800007</v>
      </c>
      <c r="AI311" s="459">
        <f t="shared" si="35"/>
        <v>7450871258.0900002</v>
      </c>
      <c r="AJ311" s="459">
        <f t="shared" si="35"/>
        <v>7105212280.5900002</v>
      </c>
      <c r="AK311" s="459">
        <f t="shared" si="35"/>
        <v>51948685188.419998</v>
      </c>
      <c r="AL311" s="459">
        <f t="shared" si="35"/>
        <v>49852869568.529999</v>
      </c>
      <c r="AM311" s="459">
        <f t="shared" si="35"/>
        <v>49724236661.529999</v>
      </c>
      <c r="AN311" s="459">
        <f t="shared" si="35"/>
        <v>168741095743.02997</v>
      </c>
      <c r="AO311" s="459">
        <f t="shared" si="35"/>
        <v>168485012290.25998</v>
      </c>
      <c r="AP311" s="459">
        <f t="shared" si="35"/>
        <v>168384204067.55997</v>
      </c>
      <c r="AQ311" s="459">
        <f t="shared" si="35"/>
        <v>2867588397.8000002</v>
      </c>
      <c r="AR311" s="459">
        <f t="shared" si="35"/>
        <v>2866923608</v>
      </c>
      <c r="AS311" s="459">
        <f t="shared" si="35"/>
        <v>2866923608</v>
      </c>
      <c r="AT311" s="459">
        <f t="shared" si="35"/>
        <v>42278070234.639999</v>
      </c>
      <c r="AU311" s="459">
        <f t="shared" si="35"/>
        <v>35937218794.090004</v>
      </c>
      <c r="AV311" s="459">
        <f t="shared" si="35"/>
        <v>33956522313.98</v>
      </c>
      <c r="AW311" s="459">
        <f t="shared" si="35"/>
        <v>11325492550.810001</v>
      </c>
      <c r="AX311" s="459">
        <f t="shared" si="35"/>
        <v>7283169069.4800005</v>
      </c>
      <c r="AY311" s="459">
        <f t="shared" si="35"/>
        <v>6413541718.0199995</v>
      </c>
      <c r="AZ311" s="459">
        <f t="shared" si="35"/>
        <v>34855606585.660004</v>
      </c>
      <c r="BA311" s="459">
        <f t="shared" si="35"/>
        <v>105606585.66</v>
      </c>
      <c r="BB311" s="459">
        <f t="shared" si="35"/>
        <v>105606585.66</v>
      </c>
      <c r="BC311" s="459">
        <f t="shared" si="35"/>
        <v>77831109407.360001</v>
      </c>
      <c r="BD311" s="459">
        <f t="shared" si="35"/>
        <v>30357070959.34</v>
      </c>
      <c r="BE311" s="459">
        <f t="shared" si="35"/>
        <v>23511534154.07</v>
      </c>
      <c r="BF311" s="459">
        <f>+BF309+BF310</f>
        <v>428935200441.5</v>
      </c>
      <c r="BG311" s="459">
        <f>+BG309+BG310</f>
        <v>324925246568.29993</v>
      </c>
      <c r="BH311" s="459">
        <f>+BH309+BH310</f>
        <v>311161643971.59998</v>
      </c>
      <c r="BI311" s="460"/>
      <c r="BK311" s="327"/>
      <c r="BL311" s="328"/>
    </row>
    <row r="313" spans="1:64" x14ac:dyDescent="0.2">
      <c r="BG313" s="16"/>
      <c r="BH313" s="16"/>
    </row>
    <row r="314" spans="1:64" s="103" customFormat="1" x14ac:dyDescent="0.2">
      <c r="A314" s="11"/>
      <c r="B314" s="11"/>
      <c r="C314" s="6"/>
      <c r="D314" s="9"/>
      <c r="E314" s="10"/>
      <c r="F314" s="9"/>
      <c r="G314" s="10"/>
      <c r="H314" s="11"/>
      <c r="I314" s="11"/>
      <c r="J314" s="11"/>
      <c r="K314" s="9"/>
      <c r="L314" s="10"/>
      <c r="M314" s="9"/>
      <c r="N314" s="7"/>
      <c r="O314" s="9"/>
      <c r="P314" s="9"/>
      <c r="Q314" s="11"/>
      <c r="R314" s="10"/>
      <c r="S314" s="11"/>
      <c r="T314" s="8"/>
      <c r="U314" s="10"/>
      <c r="V314" s="10"/>
      <c r="W314" s="10"/>
      <c r="X314" s="10"/>
      <c r="Y314" s="38"/>
      <c r="Z314" s="11"/>
      <c r="AA314" s="11"/>
      <c r="AB314" s="16"/>
      <c r="AE314" s="16"/>
      <c r="AH314" s="16"/>
      <c r="AK314" s="16"/>
      <c r="AN314" s="16"/>
      <c r="AO314" s="2"/>
      <c r="AP314" s="2"/>
      <c r="AQ314" s="16"/>
      <c r="AT314" s="190"/>
      <c r="AU314" s="12"/>
      <c r="AV314" s="12"/>
      <c r="AW314" s="16"/>
      <c r="BC314" s="16"/>
      <c r="BF314" s="16"/>
      <c r="BG314" s="16"/>
      <c r="BH314" s="16"/>
      <c r="BI314" s="19"/>
    </row>
    <row r="315" spans="1:64" s="103" customFormat="1" x14ac:dyDescent="0.2">
      <c r="A315" s="11"/>
      <c r="B315" s="11"/>
      <c r="C315" s="6"/>
      <c r="D315" s="9"/>
      <c r="E315" s="10"/>
      <c r="F315" s="9"/>
      <c r="G315" s="10"/>
      <c r="H315" s="11"/>
      <c r="I315" s="11"/>
      <c r="J315" s="11"/>
      <c r="K315" s="9"/>
      <c r="L315" s="10"/>
      <c r="M315" s="9"/>
      <c r="N315" s="7"/>
      <c r="O315" s="9"/>
      <c r="P315" s="9"/>
      <c r="Q315" s="11"/>
      <c r="R315" s="10"/>
      <c r="S315" s="11"/>
      <c r="T315" s="8"/>
      <c r="U315" s="10"/>
      <c r="V315" s="10"/>
      <c r="W315" s="10"/>
      <c r="X315" s="10"/>
      <c r="Y315" s="38"/>
      <c r="Z315" s="11"/>
      <c r="AA315" s="11"/>
      <c r="AB315" s="16"/>
      <c r="AC315" s="16"/>
      <c r="AD315" s="16"/>
      <c r="AE315" s="16"/>
      <c r="AF315" s="16"/>
      <c r="AG315" s="16"/>
      <c r="AH315" s="16"/>
      <c r="AI315" s="16"/>
      <c r="AJ315" s="16"/>
      <c r="AK315" s="16"/>
      <c r="AL315" s="16"/>
      <c r="AM315" s="16"/>
      <c r="AN315" s="16"/>
      <c r="AO315" s="16"/>
      <c r="AP315" s="16"/>
      <c r="AQ315" s="16"/>
      <c r="AR315" s="16"/>
      <c r="AS315" s="16"/>
      <c r="AT315" s="16"/>
      <c r="AU315" s="16"/>
      <c r="AV315" s="16"/>
      <c r="AW315" s="16"/>
      <c r="AX315" s="16"/>
      <c r="AY315" s="16"/>
      <c r="AZ315" s="16"/>
      <c r="BA315" s="16"/>
      <c r="BB315" s="16"/>
      <c r="BC315" s="16"/>
      <c r="BD315" s="16"/>
      <c r="BE315" s="16"/>
      <c r="BF315" s="16"/>
      <c r="BG315" s="16"/>
      <c r="BH315" s="16"/>
      <c r="BI315" s="19"/>
    </row>
    <row r="316" spans="1:64" s="103" customFormat="1" x14ac:dyDescent="0.2">
      <c r="A316" s="303"/>
      <c r="B316" s="11"/>
      <c r="C316" s="6"/>
      <c r="D316" s="296"/>
      <c r="E316" s="297"/>
      <c r="F316" s="296"/>
      <c r="G316" s="297"/>
      <c r="H316" s="295"/>
      <c r="I316" s="11"/>
      <c r="J316" s="295"/>
      <c r="K316" s="296"/>
      <c r="L316" s="297"/>
      <c r="M316" s="9"/>
      <c r="N316" s="7"/>
      <c r="O316" s="296"/>
      <c r="P316" s="296"/>
      <c r="Q316" s="11"/>
      <c r="R316" s="10"/>
      <c r="S316" s="295"/>
      <c r="T316" s="298"/>
      <c r="U316" s="297"/>
      <c r="V316" s="297"/>
      <c r="W316" s="10"/>
      <c r="X316" s="10"/>
      <c r="Y316" s="38"/>
      <c r="Z316" s="295"/>
      <c r="AA316" s="295"/>
      <c r="AB316" s="16"/>
      <c r="AC316" s="16"/>
      <c r="AD316" s="16"/>
      <c r="AE316" s="16"/>
      <c r="AF316" s="16"/>
      <c r="AG316" s="16"/>
      <c r="AH316" s="16"/>
      <c r="AI316" s="16"/>
      <c r="AJ316" s="16"/>
      <c r="AK316" s="16"/>
      <c r="AL316" s="16"/>
      <c r="AM316" s="16"/>
      <c r="AN316" s="16"/>
      <c r="AO316" s="16"/>
      <c r="AP316" s="16"/>
      <c r="AQ316" s="16"/>
      <c r="AR316" s="16"/>
      <c r="AS316" s="16"/>
      <c r="AT316" s="16"/>
      <c r="AU316" s="16"/>
      <c r="AV316" s="16"/>
      <c r="AW316" s="16"/>
      <c r="AX316" s="16"/>
      <c r="AY316" s="16"/>
      <c r="AZ316" s="16"/>
      <c r="BA316" s="16"/>
      <c r="BB316" s="16"/>
      <c r="BC316" s="16"/>
      <c r="BD316" s="16"/>
      <c r="BE316" s="16"/>
      <c r="BF316" s="16"/>
      <c r="BG316" s="16"/>
      <c r="BH316" s="16"/>
      <c r="BI316" s="19"/>
    </row>
    <row r="317" spans="1:64" s="103" customFormat="1" x14ac:dyDescent="0.2">
      <c r="A317" s="11"/>
      <c r="B317" s="11"/>
      <c r="C317" s="6"/>
      <c r="D317" s="9"/>
      <c r="E317" s="10"/>
      <c r="F317" s="9"/>
      <c r="G317" s="10"/>
      <c r="H317" s="11"/>
      <c r="I317" s="11"/>
      <c r="J317" s="11"/>
      <c r="K317" s="9"/>
      <c r="L317" s="10"/>
      <c r="M317" s="9"/>
      <c r="N317" s="7"/>
      <c r="O317" s="9"/>
      <c r="P317" s="9"/>
      <c r="Q317" s="11"/>
      <c r="R317" s="10"/>
      <c r="S317" s="11"/>
      <c r="T317" s="8"/>
      <c r="U317" s="10"/>
      <c r="V317" s="10"/>
      <c r="W317" s="10"/>
      <c r="X317" s="10"/>
      <c r="Y317" s="38"/>
      <c r="Z317" s="11"/>
      <c r="AA317" s="11"/>
      <c r="AB317" s="16"/>
      <c r="AE317" s="16"/>
      <c r="AF317" s="16"/>
      <c r="AG317" s="16"/>
      <c r="AH317" s="16"/>
      <c r="AK317" s="16"/>
      <c r="AN317" s="16"/>
      <c r="AO317" s="2"/>
      <c r="AP317" s="2"/>
      <c r="AQ317" s="16"/>
      <c r="AT317" s="190"/>
      <c r="AU317" s="12"/>
      <c r="AV317" s="12"/>
      <c r="AW317" s="16"/>
      <c r="BC317" s="16"/>
      <c r="BF317" s="16"/>
      <c r="BG317" s="16"/>
      <c r="BH317" s="16"/>
      <c r="BI317" s="19"/>
    </row>
    <row r="318" spans="1:64" s="103" customFormat="1" x14ac:dyDescent="0.2">
      <c r="A318" s="11"/>
      <c r="B318" s="11"/>
      <c r="C318" s="6"/>
      <c r="D318" s="9"/>
      <c r="E318" s="10"/>
      <c r="F318" s="9"/>
      <c r="G318" s="10"/>
      <c r="H318" s="11"/>
      <c r="I318" s="11"/>
      <c r="J318" s="11"/>
      <c r="K318" s="9"/>
      <c r="L318" s="10"/>
      <c r="M318" s="9"/>
      <c r="N318" s="7"/>
      <c r="O318" s="9"/>
      <c r="P318" s="9"/>
      <c r="Q318" s="11"/>
      <c r="R318" s="10"/>
      <c r="S318" s="11"/>
      <c r="T318" s="8"/>
      <c r="U318" s="10"/>
      <c r="V318" s="10"/>
      <c r="W318" s="10"/>
      <c r="X318" s="10"/>
      <c r="Y318" s="38"/>
      <c r="Z318" s="11"/>
      <c r="AA318" s="11"/>
      <c r="AB318" s="16"/>
      <c r="AE318" s="16"/>
      <c r="AF318" s="16"/>
      <c r="AG318" s="16"/>
      <c r="AH318" s="16"/>
      <c r="AK318" s="16"/>
      <c r="AN318" s="16"/>
      <c r="AO318" s="2"/>
      <c r="AP318" s="2"/>
      <c r="AQ318" s="16"/>
      <c r="AT318" s="190"/>
      <c r="AU318" s="190"/>
      <c r="AV318" s="190"/>
      <c r="AW318" s="16"/>
      <c r="BC318" s="16"/>
      <c r="BF318" s="16"/>
      <c r="BG318" s="16"/>
      <c r="BH318" s="16"/>
      <c r="BI318" s="19"/>
    </row>
    <row r="319" spans="1:64" s="103" customFormat="1" x14ac:dyDescent="0.2">
      <c r="A319" s="11"/>
      <c r="B319" s="11"/>
      <c r="C319" s="6"/>
      <c r="D319" s="9"/>
      <c r="E319" s="10"/>
      <c r="F319" s="9"/>
      <c r="G319" s="10"/>
      <c r="H319" s="11"/>
      <c r="I319" s="11"/>
      <c r="J319" s="11"/>
      <c r="K319" s="9"/>
      <c r="L319" s="10"/>
      <c r="M319" s="9"/>
      <c r="N319" s="7"/>
      <c r="O319" s="9"/>
      <c r="P319" s="9"/>
      <c r="Q319" s="11"/>
      <c r="R319" s="10"/>
      <c r="S319" s="11"/>
      <c r="T319" s="8"/>
      <c r="U319" s="10"/>
      <c r="V319" s="10"/>
      <c r="W319" s="10"/>
      <c r="X319" s="10"/>
      <c r="Y319" s="38"/>
      <c r="Z319" s="11"/>
      <c r="AA319" s="11"/>
      <c r="AB319" s="16"/>
      <c r="AE319" s="16"/>
      <c r="AH319" s="16"/>
      <c r="AK319" s="16"/>
      <c r="AN319" s="16"/>
      <c r="AO319" s="2"/>
      <c r="AP319" s="2"/>
      <c r="AQ319" s="16"/>
      <c r="AT319" s="190"/>
      <c r="AU319" s="12"/>
      <c r="AV319" s="12"/>
      <c r="AW319" s="16"/>
      <c r="BC319" s="16"/>
      <c r="BD319" s="16"/>
      <c r="BE319" s="16"/>
      <c r="BF319" s="16"/>
      <c r="BG319" s="2"/>
      <c r="BH319" s="2"/>
      <c r="BI319" s="19"/>
    </row>
    <row r="320" spans="1:64" s="103" customFormat="1" x14ac:dyDescent="0.2">
      <c r="A320" s="11"/>
      <c r="B320" s="11"/>
      <c r="C320" s="6"/>
      <c r="D320" s="9"/>
      <c r="E320" s="10"/>
      <c r="F320" s="9"/>
      <c r="G320" s="10"/>
      <c r="H320" s="11"/>
      <c r="I320" s="11"/>
      <c r="J320" s="11"/>
      <c r="K320" s="9"/>
      <c r="L320" s="10"/>
      <c r="M320" s="9"/>
      <c r="N320" s="7"/>
      <c r="O320" s="9"/>
      <c r="P320" s="9"/>
      <c r="Q320" s="11"/>
      <c r="R320" s="10"/>
      <c r="S320" s="11"/>
      <c r="T320" s="8"/>
      <c r="U320" s="10"/>
      <c r="V320" s="10"/>
      <c r="W320" s="10"/>
      <c r="X320" s="10"/>
      <c r="Y320" s="38"/>
      <c r="Z320" s="11"/>
      <c r="AA320" s="11"/>
      <c r="AB320" s="16"/>
      <c r="AE320" s="16"/>
      <c r="AH320" s="16"/>
      <c r="AK320" s="16"/>
      <c r="AN320" s="16"/>
      <c r="AO320" s="2"/>
      <c r="AP320" s="2"/>
      <c r="AQ320" s="16"/>
      <c r="AT320" s="190"/>
      <c r="AU320" s="12"/>
      <c r="AV320" s="12"/>
      <c r="AW320" s="16"/>
      <c r="BC320" s="16"/>
      <c r="BF320" s="16"/>
      <c r="BG320" s="2"/>
      <c r="BH320" s="2"/>
      <c r="BI320" s="19"/>
    </row>
    <row r="321" spans="1:61" s="103" customFormat="1" x14ac:dyDescent="0.2">
      <c r="A321" s="11"/>
      <c r="B321" s="11"/>
      <c r="C321" s="6"/>
      <c r="D321" s="9"/>
      <c r="E321" s="10"/>
      <c r="F321" s="9"/>
      <c r="G321" s="10"/>
      <c r="H321" s="11"/>
      <c r="I321" s="11"/>
      <c r="J321" s="11"/>
      <c r="K321" s="9"/>
      <c r="L321" s="10"/>
      <c r="M321" s="9"/>
      <c r="N321" s="7"/>
      <c r="O321" s="9"/>
      <c r="P321" s="9"/>
      <c r="Q321" s="11"/>
      <c r="R321" s="10"/>
      <c r="S321" s="11"/>
      <c r="T321" s="8"/>
      <c r="U321" s="10"/>
      <c r="V321" s="10"/>
      <c r="W321" s="10"/>
      <c r="X321" s="10"/>
      <c r="Y321" s="38"/>
      <c r="Z321" s="11"/>
      <c r="AA321" s="11"/>
      <c r="AB321" s="16"/>
      <c r="AE321" s="16"/>
      <c r="AH321" s="16"/>
      <c r="AK321" s="16"/>
      <c r="AN321" s="16"/>
      <c r="AO321" s="2"/>
      <c r="AP321" s="2"/>
      <c r="AQ321" s="16"/>
      <c r="AT321" s="190"/>
      <c r="AU321" s="12"/>
      <c r="AV321" s="12"/>
      <c r="AW321" s="16"/>
      <c r="BC321" s="16"/>
      <c r="BD321" s="16"/>
      <c r="BE321" s="16"/>
      <c r="BF321" s="16"/>
      <c r="BG321" s="2"/>
      <c r="BH321" s="2"/>
      <c r="BI321" s="19"/>
    </row>
    <row r="322" spans="1:61" s="103" customFormat="1" x14ac:dyDescent="0.2">
      <c r="A322" s="11"/>
      <c r="B322" s="11"/>
      <c r="C322" s="6"/>
      <c r="D322" s="9"/>
      <c r="E322" s="10"/>
      <c r="F322" s="9"/>
      <c r="G322" s="10"/>
      <c r="H322" s="11"/>
      <c r="I322" s="11"/>
      <c r="J322" s="11"/>
      <c r="K322" s="9"/>
      <c r="L322" s="10"/>
      <c r="M322" s="9"/>
      <c r="N322" s="7"/>
      <c r="O322" s="9"/>
      <c r="P322" s="9"/>
      <c r="Q322" s="11"/>
      <c r="R322" s="10"/>
      <c r="S322" s="11"/>
      <c r="T322" s="8"/>
      <c r="U322" s="10"/>
      <c r="V322" s="10"/>
      <c r="W322" s="10"/>
      <c r="X322" s="10"/>
      <c r="Y322" s="38"/>
      <c r="Z322" s="11"/>
      <c r="AA322" s="11"/>
      <c r="AB322" s="16"/>
      <c r="AE322" s="16"/>
      <c r="AH322" s="16"/>
      <c r="AK322" s="16"/>
      <c r="AN322" s="16"/>
      <c r="AO322" s="2"/>
      <c r="AP322" s="2"/>
      <c r="AQ322" s="16"/>
      <c r="AT322" s="190"/>
      <c r="AU322" s="12"/>
      <c r="AV322" s="12"/>
      <c r="AW322" s="16"/>
      <c r="BC322" s="16"/>
      <c r="BF322" s="16"/>
      <c r="BG322" s="2"/>
      <c r="BH322" s="2"/>
      <c r="BI322" s="19"/>
    </row>
    <row r="323" spans="1:61" s="103" customFormat="1" x14ac:dyDescent="0.2">
      <c r="A323" s="11"/>
      <c r="B323" s="11"/>
      <c r="C323" s="6"/>
      <c r="D323" s="9"/>
      <c r="E323" s="10"/>
      <c r="F323" s="9"/>
      <c r="G323" s="10"/>
      <c r="H323" s="11"/>
      <c r="I323" s="11"/>
      <c r="J323" s="11"/>
      <c r="K323" s="9"/>
      <c r="L323" s="10"/>
      <c r="M323" s="9"/>
      <c r="N323" s="7"/>
      <c r="O323" s="9"/>
      <c r="P323" s="9"/>
      <c r="Q323" s="11"/>
      <c r="R323" s="10"/>
      <c r="S323" s="11"/>
      <c r="T323" s="8"/>
      <c r="U323" s="10"/>
      <c r="V323" s="10"/>
      <c r="W323" s="10"/>
      <c r="X323" s="10"/>
      <c r="Y323" s="38"/>
      <c r="Z323" s="11"/>
      <c r="AA323" s="11"/>
      <c r="AB323" s="16"/>
      <c r="AE323" s="16"/>
      <c r="AH323" s="16"/>
      <c r="AK323" s="16"/>
      <c r="AN323" s="16"/>
      <c r="AO323" s="2"/>
      <c r="AP323" s="2"/>
      <c r="AQ323" s="16"/>
      <c r="AT323" s="190"/>
      <c r="AU323" s="12"/>
      <c r="AV323" s="12"/>
      <c r="AW323" s="16"/>
      <c r="BC323" s="16"/>
      <c r="BF323" s="16"/>
      <c r="BG323" s="2"/>
      <c r="BH323" s="2"/>
      <c r="BI323" s="19"/>
    </row>
    <row r="324" spans="1:61" s="103" customFormat="1" x14ac:dyDescent="0.2">
      <c r="A324" s="11"/>
      <c r="B324" s="11"/>
      <c r="C324" s="6"/>
      <c r="D324" s="9"/>
      <c r="E324" s="10"/>
      <c r="F324" s="9"/>
      <c r="G324" s="10"/>
      <c r="H324" s="11"/>
      <c r="I324" s="11"/>
      <c r="J324" s="11"/>
      <c r="K324" s="9"/>
      <c r="L324" s="10"/>
      <c r="M324" s="9"/>
      <c r="N324" s="7"/>
      <c r="O324" s="9"/>
      <c r="P324" s="9"/>
      <c r="Q324" s="11"/>
      <c r="R324" s="10"/>
      <c r="S324" s="11"/>
      <c r="T324" s="8"/>
      <c r="U324" s="10"/>
      <c r="V324" s="10"/>
      <c r="W324" s="10"/>
      <c r="X324" s="10"/>
      <c r="Y324" s="38"/>
      <c r="Z324" s="11"/>
      <c r="AA324" s="11"/>
      <c r="AB324" s="16"/>
      <c r="AE324" s="16"/>
      <c r="AH324" s="16"/>
      <c r="AK324" s="16"/>
      <c r="AN324" s="16"/>
      <c r="AO324" s="2"/>
      <c r="AP324" s="2"/>
      <c r="AQ324" s="16"/>
      <c r="AT324" s="190"/>
      <c r="AU324" s="12"/>
      <c r="AV324" s="12"/>
      <c r="AW324" s="16"/>
      <c r="BC324" s="16"/>
      <c r="BF324" s="16"/>
      <c r="BG324" s="2"/>
      <c r="BH324" s="2"/>
      <c r="BI324" s="19"/>
    </row>
    <row r="325" spans="1:61" s="103" customFormat="1" x14ac:dyDescent="0.2">
      <c r="A325" s="11"/>
      <c r="B325" s="11"/>
      <c r="C325" s="6"/>
      <c r="D325" s="9"/>
      <c r="E325" s="10"/>
      <c r="F325" s="9"/>
      <c r="G325" s="10"/>
      <c r="H325" s="11"/>
      <c r="I325" s="11"/>
      <c r="J325" s="11"/>
      <c r="K325" s="9"/>
      <c r="L325" s="10"/>
      <c r="M325" s="9"/>
      <c r="N325" s="7"/>
      <c r="O325" s="9"/>
      <c r="P325" s="9"/>
      <c r="Q325" s="11"/>
      <c r="R325" s="10"/>
      <c r="S325" s="11"/>
      <c r="T325" s="8"/>
      <c r="U325" s="10"/>
      <c r="V325" s="10"/>
      <c r="W325" s="10"/>
      <c r="X325" s="10"/>
      <c r="Y325" s="38"/>
      <c r="Z325" s="11"/>
      <c r="AA325" s="11"/>
      <c r="AB325" s="16"/>
      <c r="AE325" s="16"/>
      <c r="AH325" s="16"/>
      <c r="AK325" s="16"/>
      <c r="AN325" s="16"/>
      <c r="AO325" s="2"/>
      <c r="AP325" s="2"/>
      <c r="AQ325" s="16"/>
      <c r="AT325" s="190"/>
      <c r="AU325" s="12"/>
      <c r="AV325" s="12"/>
      <c r="AW325" s="16"/>
      <c r="BC325" s="16"/>
      <c r="BF325" s="16"/>
      <c r="BG325" s="2"/>
      <c r="BH325" s="2"/>
      <c r="BI325" s="19"/>
    </row>
    <row r="326" spans="1:61" s="103" customFormat="1" x14ac:dyDescent="0.2">
      <c r="A326" s="11"/>
      <c r="B326" s="11"/>
      <c r="C326" s="6"/>
      <c r="D326" s="9"/>
      <c r="E326" s="10"/>
      <c r="F326" s="9"/>
      <c r="G326" s="10"/>
      <c r="H326" s="11"/>
      <c r="I326" s="11"/>
      <c r="J326" s="11"/>
      <c r="K326" s="9"/>
      <c r="L326" s="10"/>
      <c r="M326" s="9"/>
      <c r="N326" s="7"/>
      <c r="O326" s="9"/>
      <c r="P326" s="9"/>
      <c r="Q326" s="11"/>
      <c r="R326" s="10"/>
      <c r="S326" s="11"/>
      <c r="T326" s="8"/>
      <c r="U326" s="10"/>
      <c r="V326" s="10"/>
      <c r="W326" s="10"/>
      <c r="X326" s="10"/>
      <c r="Y326" s="38"/>
      <c r="Z326" s="11"/>
      <c r="AA326" s="11"/>
      <c r="AB326" s="16"/>
      <c r="AE326" s="16"/>
      <c r="AH326" s="16"/>
      <c r="AK326" s="16"/>
      <c r="AN326" s="16"/>
      <c r="AO326" s="2"/>
      <c r="AP326" s="2"/>
      <c r="AQ326" s="16"/>
      <c r="AT326" s="190"/>
      <c r="AU326" s="12"/>
      <c r="AV326" s="12"/>
      <c r="AW326" s="16"/>
      <c r="BC326" s="16"/>
      <c r="BF326" s="16"/>
      <c r="BG326" s="2"/>
      <c r="BH326" s="2"/>
      <c r="BI326" s="19"/>
    </row>
    <row r="327" spans="1:61" s="103" customFormat="1" x14ac:dyDescent="0.2">
      <c r="A327" s="11"/>
      <c r="B327" s="11"/>
      <c r="C327" s="6"/>
      <c r="D327" s="9"/>
      <c r="E327" s="10"/>
      <c r="F327" s="9"/>
      <c r="G327" s="10"/>
      <c r="H327" s="11"/>
      <c r="I327" s="11"/>
      <c r="J327" s="11"/>
      <c r="K327" s="9"/>
      <c r="L327" s="10"/>
      <c r="M327" s="9"/>
      <c r="N327" s="7"/>
      <c r="O327" s="9"/>
      <c r="P327" s="9"/>
      <c r="Q327" s="11"/>
      <c r="R327" s="10"/>
      <c r="S327" s="11"/>
      <c r="T327" s="8"/>
      <c r="U327" s="10"/>
      <c r="V327" s="10"/>
      <c r="W327" s="10"/>
      <c r="X327" s="10"/>
      <c r="Y327" s="38"/>
      <c r="Z327" s="11"/>
      <c r="AA327" s="11"/>
      <c r="AB327" s="16"/>
      <c r="AE327" s="16"/>
      <c r="AH327" s="16"/>
      <c r="AK327" s="16"/>
      <c r="AN327" s="16"/>
      <c r="AO327" s="2"/>
      <c r="AP327" s="2"/>
      <c r="AQ327" s="16"/>
      <c r="AT327" s="190"/>
      <c r="AU327" s="12"/>
      <c r="AV327" s="12"/>
      <c r="AW327" s="16"/>
      <c r="BC327" s="16"/>
      <c r="BF327" s="16"/>
      <c r="BG327" s="2"/>
      <c r="BH327" s="2"/>
      <c r="BI327" s="19"/>
    </row>
    <row r="328" spans="1:61" s="103" customFormat="1" x14ac:dyDescent="0.2">
      <c r="A328" s="11"/>
      <c r="B328" s="11"/>
      <c r="C328" s="6"/>
      <c r="D328" s="9"/>
      <c r="E328" s="10"/>
      <c r="F328" s="9"/>
      <c r="G328" s="10"/>
      <c r="H328" s="11"/>
      <c r="I328" s="11"/>
      <c r="J328" s="11"/>
      <c r="K328" s="9"/>
      <c r="L328" s="10"/>
      <c r="M328" s="9"/>
      <c r="N328" s="7"/>
      <c r="O328" s="9"/>
      <c r="P328" s="9"/>
      <c r="Q328" s="11"/>
      <c r="R328" s="10"/>
      <c r="S328" s="11"/>
      <c r="T328" s="8"/>
      <c r="U328" s="10"/>
      <c r="V328" s="10"/>
      <c r="W328" s="10"/>
      <c r="X328" s="10"/>
      <c r="Y328" s="38"/>
      <c r="Z328" s="11"/>
      <c r="AA328" s="11"/>
      <c r="AB328" s="16"/>
      <c r="AE328" s="16"/>
      <c r="AH328" s="16"/>
      <c r="AK328" s="16"/>
      <c r="AN328" s="16"/>
      <c r="AO328" s="2"/>
      <c r="AP328" s="2"/>
      <c r="AQ328" s="16"/>
      <c r="AT328" s="190"/>
      <c r="AU328" s="12"/>
      <c r="AV328" s="12"/>
      <c r="AW328" s="16"/>
      <c r="BC328" s="16"/>
      <c r="BF328" s="16"/>
      <c r="BG328" s="2"/>
      <c r="BH328" s="2"/>
      <c r="BI328" s="19"/>
    </row>
    <row r="329" spans="1:61" s="103" customFormat="1" x14ac:dyDescent="0.2">
      <c r="A329" s="11"/>
      <c r="B329" s="11"/>
      <c r="C329" s="6"/>
      <c r="D329" s="9"/>
      <c r="E329" s="10"/>
      <c r="F329" s="9"/>
      <c r="G329" s="10"/>
      <c r="H329" s="11"/>
      <c r="I329" s="11"/>
      <c r="J329" s="11"/>
      <c r="K329" s="9"/>
      <c r="L329" s="10"/>
      <c r="M329" s="9"/>
      <c r="N329" s="7"/>
      <c r="O329" s="9"/>
      <c r="P329" s="9"/>
      <c r="Q329" s="11"/>
      <c r="R329" s="10"/>
      <c r="S329" s="11"/>
      <c r="T329" s="8"/>
      <c r="U329" s="10"/>
      <c r="V329" s="10"/>
      <c r="W329" s="10"/>
      <c r="X329" s="10"/>
      <c r="Y329" s="38"/>
      <c r="Z329" s="11"/>
      <c r="AA329" s="11"/>
      <c r="AB329" s="16"/>
      <c r="AE329" s="16"/>
      <c r="AH329" s="16"/>
      <c r="AK329" s="16"/>
      <c r="AN329" s="16"/>
      <c r="AO329" s="2"/>
      <c r="AP329" s="2"/>
      <c r="AQ329" s="16"/>
      <c r="AT329" s="190"/>
      <c r="AU329" s="12"/>
      <c r="AV329" s="12"/>
      <c r="AW329" s="16"/>
      <c r="BC329" s="16"/>
      <c r="BF329" s="16"/>
      <c r="BG329" s="2"/>
      <c r="BH329" s="2"/>
      <c r="BI329" s="19"/>
    </row>
    <row r="330" spans="1:61" s="103" customFormat="1" x14ac:dyDescent="0.2">
      <c r="A330" s="11"/>
      <c r="B330" s="11"/>
      <c r="C330" s="6"/>
      <c r="D330" s="9"/>
      <c r="E330" s="10"/>
      <c r="F330" s="9"/>
      <c r="G330" s="10"/>
      <c r="H330" s="11"/>
      <c r="I330" s="11"/>
      <c r="J330" s="11"/>
      <c r="K330" s="9"/>
      <c r="L330" s="10"/>
      <c r="M330" s="9"/>
      <c r="N330" s="7"/>
      <c r="O330" s="9"/>
      <c r="P330" s="9"/>
      <c r="Q330" s="11"/>
      <c r="R330" s="10"/>
      <c r="S330" s="11"/>
      <c r="T330" s="8"/>
      <c r="U330" s="10"/>
      <c r="V330" s="10"/>
      <c r="W330" s="10"/>
      <c r="X330" s="10"/>
      <c r="Y330" s="38"/>
      <c r="Z330" s="11"/>
      <c r="AA330" s="11"/>
      <c r="AB330" s="16"/>
      <c r="AE330" s="16"/>
      <c r="AH330" s="16"/>
      <c r="AK330" s="16"/>
      <c r="AN330" s="16"/>
      <c r="AO330" s="2"/>
      <c r="AP330" s="2"/>
      <c r="AQ330" s="16"/>
      <c r="AT330" s="190"/>
      <c r="AU330" s="12"/>
      <c r="AV330" s="12"/>
      <c r="AW330" s="16"/>
      <c r="BC330" s="16"/>
      <c r="BF330" s="16"/>
      <c r="BG330" s="2"/>
      <c r="BH330" s="2"/>
      <c r="BI330" s="19"/>
    </row>
    <row r="331" spans="1:61" s="103" customFormat="1" x14ac:dyDescent="0.2">
      <c r="A331" s="11"/>
      <c r="B331" s="11"/>
      <c r="C331" s="6"/>
      <c r="D331" s="9"/>
      <c r="E331" s="10"/>
      <c r="F331" s="9"/>
      <c r="G331" s="10"/>
      <c r="H331" s="11"/>
      <c r="I331" s="11"/>
      <c r="J331" s="11"/>
      <c r="K331" s="9"/>
      <c r="L331" s="10"/>
      <c r="M331" s="9"/>
      <c r="N331" s="7"/>
      <c r="O331" s="9"/>
      <c r="P331" s="9"/>
      <c r="Q331" s="11"/>
      <c r="R331" s="10"/>
      <c r="S331" s="11"/>
      <c r="T331" s="8"/>
      <c r="U331" s="10"/>
      <c r="V331" s="10"/>
      <c r="W331" s="10"/>
      <c r="X331" s="10"/>
      <c r="Y331" s="38"/>
      <c r="Z331" s="11"/>
      <c r="AA331" s="11"/>
      <c r="AB331" s="16"/>
      <c r="AE331" s="16"/>
      <c r="AH331" s="16"/>
      <c r="AK331" s="16"/>
      <c r="AN331" s="16"/>
      <c r="AO331" s="2"/>
      <c r="AP331" s="2"/>
      <c r="AQ331" s="16"/>
      <c r="AT331" s="190"/>
      <c r="AU331" s="12"/>
      <c r="AV331" s="12"/>
      <c r="AW331" s="16"/>
      <c r="BC331" s="16"/>
      <c r="BF331" s="16"/>
      <c r="BG331" s="2"/>
      <c r="BH331" s="2"/>
      <c r="BI331" s="19"/>
    </row>
    <row r="332" spans="1:61" s="103" customFormat="1" x14ac:dyDescent="0.2">
      <c r="A332" s="11"/>
      <c r="B332" s="11"/>
      <c r="C332" s="6"/>
      <c r="D332" s="9"/>
      <c r="E332" s="10"/>
      <c r="F332" s="9"/>
      <c r="G332" s="10"/>
      <c r="H332" s="11"/>
      <c r="I332" s="11"/>
      <c r="J332" s="11"/>
      <c r="K332" s="9"/>
      <c r="L332" s="10"/>
      <c r="M332" s="9"/>
      <c r="N332" s="7"/>
      <c r="O332" s="9"/>
      <c r="P332" s="9"/>
      <c r="Q332" s="11"/>
      <c r="R332" s="10"/>
      <c r="S332" s="11"/>
      <c r="T332" s="8"/>
      <c r="U332" s="10"/>
      <c r="V332" s="10"/>
      <c r="W332" s="10"/>
      <c r="X332" s="10"/>
      <c r="Y332" s="38"/>
      <c r="Z332" s="11"/>
      <c r="AA332" s="11"/>
      <c r="AB332" s="16"/>
      <c r="AE332" s="16"/>
      <c r="AH332" s="16"/>
      <c r="AK332" s="16"/>
      <c r="AN332" s="16"/>
      <c r="AO332" s="2"/>
      <c r="AP332" s="2"/>
      <c r="AQ332" s="16"/>
      <c r="AT332" s="190"/>
      <c r="AU332" s="12"/>
      <c r="AV332" s="12"/>
      <c r="AW332" s="16"/>
      <c r="BC332" s="16"/>
      <c r="BF332" s="16"/>
      <c r="BG332" s="2"/>
      <c r="BH332" s="2"/>
      <c r="BI332" s="19"/>
    </row>
  </sheetData>
  <mergeCells count="49">
    <mergeCell ref="BI5:BI7"/>
    <mergeCell ref="AT6:AV6"/>
    <mergeCell ref="AW6:AY6"/>
    <mergeCell ref="BC6:BE6"/>
    <mergeCell ref="AZ6:BB6"/>
    <mergeCell ref="C1:BG1"/>
    <mergeCell ref="AE6:AG6"/>
    <mergeCell ref="AH6:AJ6"/>
    <mergeCell ref="AK6:AM6"/>
    <mergeCell ref="AN6:AP6"/>
    <mergeCell ref="AQ6:AS6"/>
    <mergeCell ref="D6:D7"/>
    <mergeCell ref="BF6:BH6"/>
    <mergeCell ref="AB5:BH5"/>
    <mergeCell ref="C2:BG2"/>
    <mergeCell ref="C3:BG3"/>
    <mergeCell ref="V6:V7"/>
    <mergeCell ref="W6:W7"/>
    <mergeCell ref="O6:O7"/>
    <mergeCell ref="U6:U7"/>
    <mergeCell ref="Y6:Y7"/>
    <mergeCell ref="AB6:AD6"/>
    <mergeCell ref="I6:I7"/>
    <mergeCell ref="H6:H7"/>
    <mergeCell ref="G6:G7"/>
    <mergeCell ref="F6:F7"/>
    <mergeCell ref="N6:N7"/>
    <mergeCell ref="M6:M7"/>
    <mergeCell ref="L6:L7"/>
    <mergeCell ref="K6:K7"/>
    <mergeCell ref="J6:J7"/>
    <mergeCell ref="Q6:Q7"/>
    <mergeCell ref="AA6:AA7"/>
    <mergeCell ref="Z6:Z7"/>
    <mergeCell ref="T6:T7"/>
    <mergeCell ref="R6:R7"/>
    <mergeCell ref="X6:X7"/>
    <mergeCell ref="Y5:AA5"/>
    <mergeCell ref="P5:S5"/>
    <mergeCell ref="G5:K5"/>
    <mergeCell ref="L5:O5"/>
    <mergeCell ref="T5:X5"/>
    <mergeCell ref="A6:A7"/>
    <mergeCell ref="B6:B7"/>
    <mergeCell ref="C6:C7"/>
    <mergeCell ref="E6:E7"/>
    <mergeCell ref="A5:B5"/>
    <mergeCell ref="C5:D5"/>
    <mergeCell ref="E5:F5"/>
  </mergeCells>
  <conditionalFormatting sqref="R205">
    <cfRule type="duplicateValues" dxfId="641" priority="77"/>
  </conditionalFormatting>
  <conditionalFormatting sqref="R220">
    <cfRule type="duplicateValues" dxfId="640" priority="73"/>
  </conditionalFormatting>
  <conditionalFormatting sqref="R220">
    <cfRule type="duplicateValues" dxfId="639" priority="74"/>
  </conditionalFormatting>
  <conditionalFormatting sqref="R82">
    <cfRule type="duplicateValues" dxfId="638" priority="72"/>
  </conditionalFormatting>
  <conditionalFormatting sqref="R98">
    <cfRule type="duplicateValues" dxfId="637" priority="71"/>
  </conditionalFormatting>
  <conditionalFormatting sqref="R99">
    <cfRule type="duplicateValues" dxfId="636" priority="70"/>
  </conditionalFormatting>
  <conditionalFormatting sqref="R198">
    <cfRule type="duplicateValues" dxfId="635" priority="68"/>
  </conditionalFormatting>
  <conditionalFormatting sqref="R198">
    <cfRule type="duplicateValues" dxfId="634" priority="69"/>
  </conditionalFormatting>
  <conditionalFormatting sqref="R101">
    <cfRule type="duplicateValues" dxfId="633" priority="67"/>
  </conditionalFormatting>
  <conditionalFormatting sqref="R102">
    <cfRule type="duplicateValues" dxfId="632" priority="64"/>
  </conditionalFormatting>
  <conditionalFormatting sqref="R102">
    <cfRule type="duplicateValues" dxfId="631" priority="65"/>
  </conditionalFormatting>
  <conditionalFormatting sqref="R102">
    <cfRule type="duplicateValues" dxfId="630" priority="66"/>
  </conditionalFormatting>
  <conditionalFormatting sqref="R106">
    <cfRule type="duplicateValues" dxfId="629" priority="62"/>
  </conditionalFormatting>
  <conditionalFormatting sqref="R106">
    <cfRule type="duplicateValues" dxfId="628" priority="63"/>
  </conditionalFormatting>
  <conditionalFormatting sqref="R107">
    <cfRule type="duplicateValues" dxfId="627" priority="60"/>
  </conditionalFormatting>
  <conditionalFormatting sqref="R107">
    <cfRule type="duplicateValues" dxfId="626" priority="61"/>
  </conditionalFormatting>
  <conditionalFormatting sqref="R108">
    <cfRule type="duplicateValues" dxfId="625" priority="58"/>
  </conditionalFormatting>
  <conditionalFormatting sqref="R108">
    <cfRule type="duplicateValues" dxfId="624" priority="59"/>
  </conditionalFormatting>
  <conditionalFormatting sqref="R113">
    <cfRule type="duplicateValues" dxfId="623" priority="56"/>
  </conditionalFormatting>
  <conditionalFormatting sqref="R113">
    <cfRule type="duplicateValues" dxfId="622" priority="57"/>
  </conditionalFormatting>
  <conditionalFormatting sqref="R114">
    <cfRule type="duplicateValues" dxfId="621" priority="54"/>
  </conditionalFormatting>
  <conditionalFormatting sqref="R114">
    <cfRule type="duplicateValues" dxfId="620" priority="55"/>
  </conditionalFormatting>
  <conditionalFormatting sqref="R115">
    <cfRule type="duplicateValues" dxfId="619" priority="52"/>
  </conditionalFormatting>
  <conditionalFormatting sqref="R115">
    <cfRule type="duplicateValues" dxfId="618" priority="53"/>
  </conditionalFormatting>
  <conditionalFormatting sqref="R116">
    <cfRule type="duplicateValues" dxfId="617" priority="50"/>
  </conditionalFormatting>
  <conditionalFormatting sqref="R116">
    <cfRule type="duplicateValues" dxfId="616" priority="51"/>
  </conditionalFormatting>
  <conditionalFormatting sqref="R221">
    <cfRule type="duplicateValues" dxfId="615" priority="48"/>
  </conditionalFormatting>
  <conditionalFormatting sqref="R221">
    <cfRule type="duplicateValues" dxfId="614" priority="49"/>
  </conditionalFormatting>
  <conditionalFormatting sqref="R100">
    <cfRule type="duplicateValues" dxfId="613" priority="78"/>
  </conditionalFormatting>
  <conditionalFormatting sqref="P82">
    <cfRule type="duplicateValues" dxfId="612" priority="47"/>
  </conditionalFormatting>
  <conditionalFormatting sqref="P98">
    <cfRule type="duplicateValues" dxfId="611" priority="46"/>
  </conditionalFormatting>
  <conditionalFormatting sqref="P99">
    <cfRule type="duplicateValues" dxfId="610" priority="45"/>
  </conditionalFormatting>
  <conditionalFormatting sqref="P100">
    <cfRule type="duplicateValues" dxfId="609" priority="44"/>
  </conditionalFormatting>
  <conditionalFormatting sqref="P101">
    <cfRule type="duplicateValues" dxfId="608" priority="43"/>
  </conditionalFormatting>
  <conditionalFormatting sqref="P102">
    <cfRule type="duplicateValues" dxfId="607" priority="40"/>
  </conditionalFormatting>
  <conditionalFormatting sqref="P102">
    <cfRule type="duplicateValues" dxfId="606" priority="41"/>
  </conditionalFormatting>
  <conditionalFormatting sqref="P102">
    <cfRule type="duplicateValues" dxfId="605" priority="42"/>
  </conditionalFormatting>
  <conditionalFormatting sqref="P106">
    <cfRule type="duplicateValues" dxfId="604" priority="38"/>
  </conditionalFormatting>
  <conditionalFormatting sqref="P106">
    <cfRule type="duplicateValues" dxfId="603" priority="39"/>
  </conditionalFormatting>
  <conditionalFormatting sqref="P107">
    <cfRule type="duplicateValues" dxfId="602" priority="36"/>
  </conditionalFormatting>
  <conditionalFormatting sqref="P107">
    <cfRule type="duplicateValues" dxfId="601" priority="37"/>
  </conditionalFormatting>
  <conditionalFormatting sqref="P108">
    <cfRule type="duplicateValues" dxfId="600" priority="34"/>
  </conditionalFormatting>
  <conditionalFormatting sqref="P108">
    <cfRule type="duplicateValues" dxfId="599" priority="35"/>
  </conditionalFormatting>
  <conditionalFormatting sqref="P113">
    <cfRule type="duplicateValues" dxfId="598" priority="32"/>
  </conditionalFormatting>
  <conditionalFormatting sqref="P113">
    <cfRule type="duplicateValues" dxfId="597" priority="33"/>
  </conditionalFormatting>
  <conditionalFormatting sqref="P114">
    <cfRule type="duplicateValues" dxfId="596" priority="30"/>
  </conditionalFormatting>
  <conditionalFormatting sqref="P114">
    <cfRule type="duplicateValues" dxfId="595" priority="31"/>
  </conditionalFormatting>
  <conditionalFormatting sqref="P115">
    <cfRule type="duplicateValues" dxfId="594" priority="28"/>
  </conditionalFormatting>
  <conditionalFormatting sqref="P115">
    <cfRule type="duplicateValues" dxfId="593" priority="29"/>
  </conditionalFormatting>
  <conditionalFormatting sqref="P116">
    <cfRule type="duplicateValues" dxfId="592" priority="26"/>
  </conditionalFormatting>
  <conditionalFormatting sqref="P116">
    <cfRule type="duplicateValues" dxfId="591" priority="27"/>
  </conditionalFormatting>
  <conditionalFormatting sqref="P198">
    <cfRule type="duplicateValues" dxfId="590" priority="24"/>
  </conditionalFormatting>
  <conditionalFormatting sqref="P198">
    <cfRule type="duplicateValues" dxfId="589" priority="25"/>
  </conditionalFormatting>
  <conditionalFormatting sqref="P205">
    <cfRule type="duplicateValues" dxfId="588" priority="23"/>
  </conditionalFormatting>
  <conditionalFormatting sqref="P220">
    <cfRule type="duplicateValues" dxfId="587" priority="19"/>
  </conditionalFormatting>
  <conditionalFormatting sqref="P220">
    <cfRule type="duplicateValues" dxfId="586" priority="20"/>
  </conditionalFormatting>
  <conditionalFormatting sqref="P221">
    <cfRule type="duplicateValues" dxfId="585" priority="17"/>
  </conditionalFormatting>
  <conditionalFormatting sqref="P221">
    <cfRule type="duplicateValues" dxfId="584" priority="18"/>
  </conditionalFormatting>
  <conditionalFormatting sqref="P34">
    <cfRule type="duplicateValues" dxfId="583" priority="15"/>
  </conditionalFormatting>
  <conditionalFormatting sqref="P34">
    <cfRule type="duplicateValues" dxfId="582" priority="16"/>
  </conditionalFormatting>
  <conditionalFormatting sqref="P35">
    <cfRule type="duplicateValues" dxfId="581" priority="13"/>
  </conditionalFormatting>
  <conditionalFormatting sqref="P35">
    <cfRule type="duplicateValues" dxfId="580" priority="14"/>
  </conditionalFormatting>
  <conditionalFormatting sqref="R34">
    <cfRule type="duplicateValues" dxfId="579" priority="11"/>
  </conditionalFormatting>
  <conditionalFormatting sqref="R34">
    <cfRule type="duplicateValues" dxfId="578" priority="12"/>
  </conditionalFormatting>
  <conditionalFormatting sqref="R35">
    <cfRule type="duplicateValues" dxfId="577" priority="9"/>
  </conditionalFormatting>
  <conditionalFormatting sqref="R35">
    <cfRule type="duplicateValues" dxfId="576" priority="10"/>
  </conditionalFormatting>
  <conditionalFormatting sqref="R213 O213">
    <cfRule type="duplicateValues" dxfId="575" priority="7"/>
  </conditionalFormatting>
  <conditionalFormatting sqref="R213">
    <cfRule type="duplicateValues" dxfId="574" priority="8"/>
  </conditionalFormatting>
  <conditionalFormatting sqref="L213">
    <cfRule type="duplicateValues" dxfId="573" priority="5"/>
  </conditionalFormatting>
  <conditionalFormatting sqref="L213">
    <cfRule type="duplicateValues" dxfId="572" priority="6"/>
  </conditionalFormatting>
  <conditionalFormatting sqref="L220">
    <cfRule type="duplicateValues" dxfId="571" priority="1"/>
  </conditionalFormatting>
  <conditionalFormatting sqref="L220">
    <cfRule type="duplicateValues" dxfId="570" priority="2"/>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J203"/>
  <sheetViews>
    <sheetView showGridLines="0" zoomScale="70" zoomScaleNormal="70" workbookViewId="0">
      <selection sqref="A1:J4"/>
    </sheetView>
  </sheetViews>
  <sheetFormatPr baseColWidth="10" defaultColWidth="11.42578125" defaultRowHeight="15" x14ac:dyDescent="0.2"/>
  <cols>
    <col min="1" max="1" width="17.5703125" style="7" customWidth="1"/>
    <col min="2" max="2" width="11" style="7" customWidth="1"/>
    <col min="3" max="3" width="13.140625" style="7" customWidth="1"/>
    <col min="4" max="4" width="49" style="8" customWidth="1"/>
    <col min="5" max="5" width="28.42578125" style="8" customWidth="1"/>
    <col min="6" max="6" width="16" style="8" customWidth="1"/>
    <col min="7" max="7" width="27.28515625" style="2" customWidth="1"/>
    <col min="8" max="8" width="21.42578125" style="1" customWidth="1"/>
    <col min="9" max="9" width="25.7109375" style="2" customWidth="1"/>
    <col min="10" max="10" width="22.5703125" style="8" bestFit="1" customWidth="1"/>
    <col min="11" max="16384" width="11.42578125" style="1"/>
  </cols>
  <sheetData>
    <row r="1" spans="1:10" ht="21" customHeight="1" x14ac:dyDescent="0.2">
      <c r="A1" s="647" t="s">
        <v>1506</v>
      </c>
      <c r="B1" s="648"/>
      <c r="C1" s="648"/>
      <c r="D1" s="648"/>
      <c r="E1" s="648"/>
      <c r="F1" s="648"/>
      <c r="G1" s="648"/>
      <c r="H1" s="648"/>
      <c r="I1" s="648"/>
      <c r="J1" s="649"/>
    </row>
    <row r="2" spans="1:10" ht="21" customHeight="1" x14ac:dyDescent="0.2">
      <c r="A2" s="650"/>
      <c r="B2" s="651"/>
      <c r="C2" s="651"/>
      <c r="D2" s="651"/>
      <c r="E2" s="651"/>
      <c r="F2" s="651"/>
      <c r="G2" s="651"/>
      <c r="H2" s="651"/>
      <c r="I2" s="651"/>
      <c r="J2" s="652"/>
    </row>
    <row r="3" spans="1:10" ht="21" customHeight="1" x14ac:dyDescent="0.2">
      <c r="A3" s="650"/>
      <c r="B3" s="651"/>
      <c r="C3" s="651"/>
      <c r="D3" s="651"/>
      <c r="E3" s="651"/>
      <c r="F3" s="651"/>
      <c r="G3" s="651"/>
      <c r="H3" s="651"/>
      <c r="I3" s="651"/>
      <c r="J3" s="652"/>
    </row>
    <row r="4" spans="1:10" ht="24.75" customHeight="1" x14ac:dyDescent="0.2">
      <c r="A4" s="653"/>
      <c r="B4" s="654"/>
      <c r="C4" s="654"/>
      <c r="D4" s="654"/>
      <c r="E4" s="654"/>
      <c r="F4" s="654"/>
      <c r="G4" s="654"/>
      <c r="H4" s="654"/>
      <c r="I4" s="654"/>
      <c r="J4" s="655"/>
    </row>
    <row r="5" spans="1:10" s="3" customFormat="1" ht="56.25" customHeight="1" x14ac:dyDescent="0.25">
      <c r="A5" s="201" t="s">
        <v>5</v>
      </c>
      <c r="B5" s="130" t="s">
        <v>6</v>
      </c>
      <c r="C5" s="619" t="s">
        <v>7</v>
      </c>
      <c r="D5" s="621"/>
      <c r="E5" s="131" t="s">
        <v>1329</v>
      </c>
      <c r="F5" s="131" t="s">
        <v>1483</v>
      </c>
      <c r="G5" s="131" t="s">
        <v>1421</v>
      </c>
      <c r="H5" s="250" t="s">
        <v>1484</v>
      </c>
      <c r="I5" s="131" t="s">
        <v>1451</v>
      </c>
      <c r="J5" s="131" t="s">
        <v>1539</v>
      </c>
    </row>
    <row r="6" spans="1:10" s="4" customFormat="1" ht="24" customHeight="1" x14ac:dyDescent="0.25">
      <c r="A6" s="251" t="s">
        <v>1294</v>
      </c>
      <c r="B6" s="252"/>
      <c r="C6" s="252"/>
      <c r="D6" s="104"/>
      <c r="E6" s="247">
        <f t="shared" ref="E6:I7" si="0">E7</f>
        <v>9759340000</v>
      </c>
      <c r="F6" s="248">
        <f>E6/E6</f>
        <v>1</v>
      </c>
      <c r="G6" s="247">
        <f t="shared" si="0"/>
        <v>358972330</v>
      </c>
      <c r="H6" s="249">
        <f>G6/E6</f>
        <v>3.6782439181338084E-2</v>
      </c>
      <c r="I6" s="247">
        <f t="shared" si="0"/>
        <v>358972330</v>
      </c>
      <c r="J6" s="249">
        <f>I6/E6</f>
        <v>3.6782439181338084E-2</v>
      </c>
    </row>
    <row r="7" spans="1:10" s="4" customFormat="1" ht="24" customHeight="1" x14ac:dyDescent="0.25">
      <c r="A7" s="143">
        <v>4</v>
      </c>
      <c r="B7" s="144" t="s">
        <v>27</v>
      </c>
      <c r="C7" s="144"/>
      <c r="D7" s="144"/>
      <c r="E7" s="145">
        <f t="shared" si="0"/>
        <v>9759340000</v>
      </c>
      <c r="F7" s="210">
        <f>E7/E7</f>
        <v>1</v>
      </c>
      <c r="G7" s="145">
        <f t="shared" si="0"/>
        <v>358972330</v>
      </c>
      <c r="H7" s="155">
        <f>G7/E7</f>
        <v>3.6782439181338084E-2</v>
      </c>
      <c r="I7" s="145">
        <f t="shared" si="0"/>
        <v>358972330</v>
      </c>
      <c r="J7" s="249">
        <f t="shared" ref="J7:J10" si="1">I7/E7</f>
        <v>3.6782439181338084E-2</v>
      </c>
    </row>
    <row r="8" spans="1:10" ht="24" customHeight="1" x14ac:dyDescent="0.2">
      <c r="A8" s="42"/>
      <c r="B8" s="95">
        <v>45</v>
      </c>
      <c r="C8" s="96" t="s">
        <v>28</v>
      </c>
      <c r="D8" s="97"/>
      <c r="E8" s="98">
        <f>SUM(E9:E10)</f>
        <v>9759340000</v>
      </c>
      <c r="F8" s="203">
        <f>E8/E8</f>
        <v>1</v>
      </c>
      <c r="G8" s="98">
        <f>SUM(G9:G10)</f>
        <v>358972330</v>
      </c>
      <c r="H8" s="155">
        <f>G8/E8</f>
        <v>3.6782439181338084E-2</v>
      </c>
      <c r="I8" s="98">
        <f>SUM(I9:I10)</f>
        <v>358972330</v>
      </c>
      <c r="J8" s="249">
        <f t="shared" si="1"/>
        <v>3.6782439181338084E-2</v>
      </c>
    </row>
    <row r="9" spans="1:10" ht="70.5" customHeight="1" x14ac:dyDescent="0.2">
      <c r="A9" s="44"/>
      <c r="B9" s="45"/>
      <c r="C9" s="46">
        <v>4502</v>
      </c>
      <c r="D9" s="39" t="s">
        <v>47</v>
      </c>
      <c r="E9" s="47">
        <f>'SGTO POAI 2022'!BF11</f>
        <v>68015000</v>
      </c>
      <c r="F9" s="211">
        <f>E9/E9</f>
        <v>1</v>
      </c>
      <c r="G9" s="47">
        <f>'SGTO POAI 2022'!BG11</f>
        <v>67936833</v>
      </c>
      <c r="H9" s="155">
        <f>G9/E9</f>
        <v>0.99885073880761599</v>
      </c>
      <c r="I9" s="47">
        <f>'SGTO POAI 2022'!BH11</f>
        <v>67936833</v>
      </c>
      <c r="J9" s="249">
        <f t="shared" si="1"/>
        <v>0.99885073880761599</v>
      </c>
    </row>
    <row r="10" spans="1:10" ht="59.25" customHeight="1" x14ac:dyDescent="0.2">
      <c r="A10" s="48"/>
      <c r="B10" s="49"/>
      <c r="C10" s="50">
        <v>4599</v>
      </c>
      <c r="D10" s="51" t="s">
        <v>29</v>
      </c>
      <c r="E10" s="52">
        <f>'SGTO POAI 2022'!BF8+'SGTO POAI 2022'!BF9+'SGTO POAI 2022'!BF10+'SGTO POAI 2022'!BF12</f>
        <v>9691325000</v>
      </c>
      <c r="F10" s="212">
        <f>E10/E10</f>
        <v>1</v>
      </c>
      <c r="G10" s="52">
        <f>'SGTO POAI 2022'!BG8+'SGTO POAI 2022'!BG9+'SGTO POAI 2022'!BG10+'SGTO POAI 2022'!BG12</f>
        <v>291035497</v>
      </c>
      <c r="H10" s="155">
        <f>G10/E10</f>
        <v>3.0030516673416691E-2</v>
      </c>
      <c r="I10" s="52">
        <f>'SGTO POAI 2022'!BH8+'SGTO POAI 2022'!BH9+'SGTO POAI 2022'!BH10+'SGTO POAI 2022'!BH12</f>
        <v>291035497</v>
      </c>
      <c r="J10" s="249">
        <f t="shared" si="1"/>
        <v>3.0030516673416691E-2</v>
      </c>
    </row>
    <row r="11" spans="1:10" s="28" customFormat="1" ht="15.75" x14ac:dyDescent="0.2">
      <c r="A11" s="32"/>
      <c r="B11" s="32"/>
      <c r="C11" s="32"/>
      <c r="D11" s="53"/>
      <c r="E11" s="53"/>
      <c r="F11" s="213"/>
      <c r="G11" s="54"/>
      <c r="I11" s="54"/>
      <c r="J11" s="255"/>
    </row>
    <row r="12" spans="1:10" s="4" customFormat="1" ht="24" customHeight="1" x14ac:dyDescent="0.25">
      <c r="A12" s="116" t="s">
        <v>55</v>
      </c>
      <c r="B12" s="117"/>
      <c r="C12" s="117"/>
      <c r="D12" s="118"/>
      <c r="E12" s="119">
        <f t="shared" ref="E12:I13" si="2">E13</f>
        <v>1278787082</v>
      </c>
      <c r="F12" s="203">
        <f>E12/E12</f>
        <v>1</v>
      </c>
      <c r="G12" s="119">
        <f t="shared" si="2"/>
        <v>1212130248.53</v>
      </c>
      <c r="H12" s="155">
        <f>G12/E12</f>
        <v>0.94787495556668433</v>
      </c>
      <c r="I12" s="119">
        <f t="shared" si="2"/>
        <v>1190104251.8299999</v>
      </c>
      <c r="J12" s="249">
        <f t="shared" ref="J12:J16" si="3">I12/E12</f>
        <v>0.93065082419248268</v>
      </c>
    </row>
    <row r="13" spans="1:10" ht="24" customHeight="1" x14ac:dyDescent="0.2">
      <c r="A13" s="146">
        <v>4</v>
      </c>
      <c r="B13" s="147" t="s">
        <v>27</v>
      </c>
      <c r="C13" s="147"/>
      <c r="D13" s="147"/>
      <c r="E13" s="148">
        <f t="shared" si="2"/>
        <v>1278787082</v>
      </c>
      <c r="F13" s="210">
        <f>E13/E13</f>
        <v>1</v>
      </c>
      <c r="G13" s="148">
        <f t="shared" si="2"/>
        <v>1212130248.53</v>
      </c>
      <c r="H13" s="155">
        <f>G13/E13</f>
        <v>0.94787495556668433</v>
      </c>
      <c r="I13" s="148">
        <f t="shared" si="2"/>
        <v>1190104251.8299999</v>
      </c>
      <c r="J13" s="249">
        <f t="shared" si="3"/>
        <v>0.93065082419248268</v>
      </c>
    </row>
    <row r="14" spans="1:10" ht="24" customHeight="1" x14ac:dyDescent="0.2">
      <c r="A14" s="42"/>
      <c r="B14" s="95">
        <v>45</v>
      </c>
      <c r="C14" s="96" t="s">
        <v>28</v>
      </c>
      <c r="D14" s="97"/>
      <c r="E14" s="98">
        <f>SUM(E15:E16)</f>
        <v>1278787082</v>
      </c>
      <c r="F14" s="203">
        <f>E14/E14</f>
        <v>1</v>
      </c>
      <c r="G14" s="98">
        <f>SUM(G15:G16)</f>
        <v>1212130248.53</v>
      </c>
      <c r="H14" s="155">
        <f>G14/E14</f>
        <v>0.94787495556668433</v>
      </c>
      <c r="I14" s="98">
        <f>SUM(I15:I16)</f>
        <v>1190104251.8299999</v>
      </c>
      <c r="J14" s="249">
        <f t="shared" si="3"/>
        <v>0.93065082419248268</v>
      </c>
    </row>
    <row r="15" spans="1:10" s="16" customFormat="1" ht="56.25" customHeight="1" x14ac:dyDescent="0.2">
      <c r="A15" s="55"/>
      <c r="B15" s="56"/>
      <c r="C15" s="46">
        <v>4502</v>
      </c>
      <c r="D15" s="39" t="s">
        <v>47</v>
      </c>
      <c r="E15" s="47">
        <f>'SGTO POAI 2022'!BF13+'SGTO POAI 2022'!BF14</f>
        <v>184271249</v>
      </c>
      <c r="F15" s="211">
        <f>E15/E15</f>
        <v>1</v>
      </c>
      <c r="G15" s="47">
        <f>'SGTO POAI 2022'!BG13+'SGTO POAI 2022'!BG14</f>
        <v>168589273</v>
      </c>
      <c r="H15" s="155">
        <f>G15/E15</f>
        <v>0.91489732616942321</v>
      </c>
      <c r="I15" s="47">
        <f>'SGTO POAI 2022'!BH13+'SGTO POAI 2022'!BH14</f>
        <v>168589273</v>
      </c>
      <c r="J15" s="249">
        <f t="shared" si="3"/>
        <v>0.91489732616942321</v>
      </c>
    </row>
    <row r="16" spans="1:10" s="16" customFormat="1" ht="56.25" customHeight="1" x14ac:dyDescent="0.2">
      <c r="A16" s="57"/>
      <c r="B16" s="58"/>
      <c r="C16" s="46">
        <v>4599</v>
      </c>
      <c r="D16" s="39" t="s">
        <v>29</v>
      </c>
      <c r="E16" s="47">
        <f>'SGTO POAI 2022'!BF15+'SGTO POAI 2022'!BF16+'SGTO POAI 2022'!BF17+'SGTO POAI 2022'!BF18+'SGTO POAI 2022'!BF19+'SGTO POAI 2022'!BF20+'SGTO POAI 2022'!BF21+'SGTO POAI 2022'!BF22+'SGTO POAI 2022'!BF23+'SGTO POAI 2022'!BF24</f>
        <v>1094515833</v>
      </c>
      <c r="F16" s="212">
        <f>E16/E16</f>
        <v>1</v>
      </c>
      <c r="G16" s="47">
        <f>'SGTO POAI 2022'!BG15+'SGTO POAI 2022'!BG16+'SGTO POAI 2022'!BG17+'SGTO POAI 2022'!BG18+'SGTO POAI 2022'!BG19+'SGTO POAI 2022'!BG20+'SGTO POAI 2022'!BG21+'SGTO POAI 2022'!BG22+'SGTO POAI 2022'!BG23+'SGTO POAI 2022'!BG24</f>
        <v>1043540975.53</v>
      </c>
      <c r="H16" s="155">
        <f>G16/E16</f>
        <v>0.95342702596610129</v>
      </c>
      <c r="I16" s="47">
        <f>'SGTO POAI 2022'!BH15+'SGTO POAI 2022'!BH16+'SGTO POAI 2022'!BH17+'SGTO POAI 2022'!BH18+'SGTO POAI 2022'!BH19+'SGTO POAI 2022'!BH20+'SGTO POAI 2022'!BH21+'SGTO POAI 2022'!BH22+'SGTO POAI 2022'!BH23+'SGTO POAI 2022'!BH24</f>
        <v>1021514978.8299999</v>
      </c>
      <c r="J16" s="249">
        <f t="shared" si="3"/>
        <v>0.93330306244185679</v>
      </c>
    </row>
    <row r="17" spans="1:10" ht="18" customHeight="1" x14ac:dyDescent="0.2">
      <c r="A17" s="59"/>
      <c r="B17" s="59"/>
      <c r="C17" s="59"/>
      <c r="D17" s="60"/>
      <c r="E17" s="60"/>
      <c r="F17" s="205"/>
      <c r="G17" s="60"/>
      <c r="I17" s="60"/>
      <c r="J17" s="205"/>
    </row>
    <row r="18" spans="1:10" ht="24" customHeight="1" x14ac:dyDescent="0.2">
      <c r="A18" s="116" t="s">
        <v>1209</v>
      </c>
      <c r="B18" s="117"/>
      <c r="C18" s="117"/>
      <c r="D18" s="118"/>
      <c r="E18" s="119">
        <f>E19</f>
        <v>3898048606.2399998</v>
      </c>
      <c r="F18" s="204">
        <f>E18/E18</f>
        <v>1</v>
      </c>
      <c r="G18" s="119">
        <f t="shared" ref="G18:I20" si="4">G19</f>
        <v>3727294869.73</v>
      </c>
      <c r="H18" s="155">
        <f>G18/E18</f>
        <v>0.95619507251996372</v>
      </c>
      <c r="I18" s="119">
        <f t="shared" si="4"/>
        <v>3424623024.1800003</v>
      </c>
      <c r="J18" s="249">
        <f t="shared" ref="J18:J21" si="5">I18/E18</f>
        <v>0.87854805573687833</v>
      </c>
    </row>
    <row r="19" spans="1:10" ht="24" customHeight="1" x14ac:dyDescent="0.2">
      <c r="A19" s="146">
        <v>4</v>
      </c>
      <c r="B19" s="147" t="s">
        <v>27</v>
      </c>
      <c r="C19" s="147"/>
      <c r="D19" s="147"/>
      <c r="E19" s="148">
        <f>E20</f>
        <v>3898048606.2399998</v>
      </c>
      <c r="F19" s="214">
        <f>E19/E19</f>
        <v>1</v>
      </c>
      <c r="G19" s="148">
        <f t="shared" si="4"/>
        <v>3727294869.73</v>
      </c>
      <c r="H19" s="155">
        <f>G19/E19</f>
        <v>0.95619507251996372</v>
      </c>
      <c r="I19" s="148">
        <f t="shared" si="4"/>
        <v>3424623024.1800003</v>
      </c>
      <c r="J19" s="249">
        <f t="shared" si="5"/>
        <v>0.87854805573687833</v>
      </c>
    </row>
    <row r="20" spans="1:10" ht="24" customHeight="1" x14ac:dyDescent="0.2">
      <c r="A20" s="42"/>
      <c r="B20" s="95">
        <v>45</v>
      </c>
      <c r="C20" s="96" t="s">
        <v>28</v>
      </c>
      <c r="D20" s="97"/>
      <c r="E20" s="98">
        <f>E21</f>
        <v>3898048606.2399998</v>
      </c>
      <c r="F20" s="203">
        <f>E20/E20</f>
        <v>1</v>
      </c>
      <c r="G20" s="98">
        <f t="shared" si="4"/>
        <v>3727294869.73</v>
      </c>
      <c r="H20" s="155">
        <f>G20/E20</f>
        <v>0.95619507251996372</v>
      </c>
      <c r="I20" s="98">
        <f t="shared" si="4"/>
        <v>3424623024.1800003</v>
      </c>
      <c r="J20" s="249">
        <f t="shared" si="5"/>
        <v>0.87854805573687833</v>
      </c>
    </row>
    <row r="21" spans="1:10" ht="70.5" customHeight="1" x14ac:dyDescent="0.2">
      <c r="A21" s="49"/>
      <c r="B21" s="61"/>
      <c r="C21" s="24">
        <v>4599</v>
      </c>
      <c r="D21" s="39" t="s">
        <v>29</v>
      </c>
      <c r="E21" s="47">
        <f>'SGTO POAI 2022'!BF25+'SGTO POAI 2022'!BF26</f>
        <v>3898048606.2399998</v>
      </c>
      <c r="F21" s="211">
        <f>E21/E21</f>
        <v>1</v>
      </c>
      <c r="G21" s="47">
        <f>'SGTO POAI 2022'!BG25+'SGTO POAI 2022'!BG26</f>
        <v>3727294869.73</v>
      </c>
      <c r="H21" s="155">
        <f>G21/E21</f>
        <v>0.95619507251996372</v>
      </c>
      <c r="I21" s="47">
        <f>'SGTO POAI 2022'!BH25+'SGTO POAI 2022'!BH26</f>
        <v>3424623024.1800003</v>
      </c>
      <c r="J21" s="249">
        <f t="shared" si="5"/>
        <v>0.87854805573687833</v>
      </c>
    </row>
    <row r="22" spans="1:10" s="63" customFormat="1" x14ac:dyDescent="0.2">
      <c r="A22" s="59"/>
      <c r="B22" s="59"/>
      <c r="C22" s="59"/>
      <c r="D22" s="60"/>
      <c r="E22" s="62"/>
      <c r="F22" s="205"/>
      <c r="G22" s="62"/>
      <c r="I22" s="62"/>
      <c r="J22" s="205"/>
    </row>
    <row r="23" spans="1:10" ht="24" customHeight="1" x14ac:dyDescent="0.2">
      <c r="A23" s="96" t="s">
        <v>111</v>
      </c>
      <c r="B23" s="105"/>
      <c r="C23" s="105"/>
      <c r="D23" s="106"/>
      <c r="E23" s="107">
        <f>E24+E41+E49+E38</f>
        <v>99269447044.62001</v>
      </c>
      <c r="F23" s="203">
        <f t="shared" ref="F23:F52" si="6">E23/E23</f>
        <v>1</v>
      </c>
      <c r="G23" s="107">
        <f>G24+G41+G49+G38</f>
        <v>21244189256.639999</v>
      </c>
      <c r="H23" s="155">
        <f t="shared" ref="H23:H52" si="7">G23/E23</f>
        <v>0.2140053147177407</v>
      </c>
      <c r="I23" s="107">
        <f>I24+I41+I49+I38</f>
        <v>12813040463.540001</v>
      </c>
      <c r="J23" s="249">
        <f t="shared" ref="J23:J52" si="8">I23/E23</f>
        <v>0.12907335383646035</v>
      </c>
    </row>
    <row r="24" spans="1:10" ht="24" customHeight="1" x14ac:dyDescent="0.2">
      <c r="A24" s="143">
        <v>1</v>
      </c>
      <c r="B24" s="144" t="s">
        <v>112</v>
      </c>
      <c r="C24" s="144"/>
      <c r="D24" s="144"/>
      <c r="E24" s="145">
        <f>E25+E30+E32+E36+E34+E27</f>
        <v>35321546436.010002</v>
      </c>
      <c r="F24" s="210">
        <f t="shared" si="6"/>
        <v>1</v>
      </c>
      <c r="G24" s="145">
        <f>G25+G30+G32+G36+G34+G27</f>
        <v>6045263550.0900002</v>
      </c>
      <c r="H24" s="155">
        <f t="shared" si="7"/>
        <v>0.17114945861846265</v>
      </c>
      <c r="I24" s="145">
        <f>I25+I30+I32+I36+I34+I27</f>
        <v>2584131861.0900002</v>
      </c>
      <c r="J24" s="249">
        <f t="shared" si="8"/>
        <v>7.3160213009685809E-2</v>
      </c>
    </row>
    <row r="25" spans="1:10" ht="24" customHeight="1" x14ac:dyDescent="0.2">
      <c r="A25" s="42"/>
      <c r="B25" s="95">
        <v>12</v>
      </c>
      <c r="C25" s="96" t="s">
        <v>113</v>
      </c>
      <c r="D25" s="97"/>
      <c r="E25" s="98">
        <f>E26</f>
        <v>64250000</v>
      </c>
      <c r="F25" s="203">
        <f t="shared" si="6"/>
        <v>1</v>
      </c>
      <c r="G25" s="98">
        <f>G26</f>
        <v>59013333</v>
      </c>
      <c r="H25" s="155">
        <f t="shared" si="7"/>
        <v>0.91849545525291831</v>
      </c>
      <c r="I25" s="98">
        <f>I26</f>
        <v>59013333</v>
      </c>
      <c r="J25" s="249">
        <f t="shared" si="8"/>
        <v>0.91849545525291831</v>
      </c>
    </row>
    <row r="26" spans="1:10" ht="61.5" customHeight="1" x14ac:dyDescent="0.2">
      <c r="A26" s="64"/>
      <c r="B26" s="61"/>
      <c r="C26" s="21">
        <v>1202</v>
      </c>
      <c r="D26" s="39" t="s">
        <v>114</v>
      </c>
      <c r="E26" s="47">
        <f>'SGTO POAI 2022'!BF27</f>
        <v>64250000</v>
      </c>
      <c r="F26" s="211">
        <f t="shared" si="6"/>
        <v>1</v>
      </c>
      <c r="G26" s="47">
        <f>'SGTO POAI 2022'!BG27</f>
        <v>59013333</v>
      </c>
      <c r="H26" s="155">
        <f t="shared" si="7"/>
        <v>0.91849545525291831</v>
      </c>
      <c r="I26" s="47">
        <f>'SGTO POAI 2022'!BH27</f>
        <v>59013333</v>
      </c>
      <c r="J26" s="249">
        <f t="shared" si="8"/>
        <v>0.91849545525291831</v>
      </c>
    </row>
    <row r="27" spans="1:10" s="103" customFormat="1" ht="25.5" customHeight="1" x14ac:dyDescent="0.2">
      <c r="A27" s="64"/>
      <c r="B27" s="95">
        <v>19</v>
      </c>
      <c r="C27" s="108" t="s">
        <v>122</v>
      </c>
      <c r="D27" s="299"/>
      <c r="E27" s="300">
        <f>SUM(E28:E29)</f>
        <v>22129011948</v>
      </c>
      <c r="F27" s="301">
        <f t="shared" si="6"/>
        <v>1</v>
      </c>
      <c r="G27" s="300">
        <f>SUM(G28:G29)</f>
        <v>516811948</v>
      </c>
      <c r="H27" s="155">
        <f t="shared" si="7"/>
        <v>2.335449721905496E-2</v>
      </c>
      <c r="I27" s="98">
        <f>SUM(I28:I29)</f>
        <v>147543584</v>
      </c>
      <c r="J27" s="249">
        <f t="shared" si="8"/>
        <v>6.6674275537790045E-3</v>
      </c>
    </row>
    <row r="28" spans="1:10" s="103" customFormat="1" ht="45" customHeight="1" x14ac:dyDescent="0.2">
      <c r="A28" s="64"/>
      <c r="B28" s="142"/>
      <c r="C28" s="26">
        <v>1903</v>
      </c>
      <c r="D28" s="27" t="s">
        <v>805</v>
      </c>
      <c r="E28" s="78">
        <f>'SGTO POAI 2022'!BF53+'SGTO POAI 2022'!BF54</f>
        <v>21612200000</v>
      </c>
      <c r="F28" s="216">
        <f t="shared" ref="F28" si="9">E28/E28</f>
        <v>1</v>
      </c>
      <c r="G28" s="78">
        <f>'SGTO POAI 2022'!BG53+'SGTO POAI 2022'!BG54</f>
        <v>0</v>
      </c>
      <c r="H28" s="155">
        <f t="shared" ref="H28" si="10">G28/E28</f>
        <v>0</v>
      </c>
      <c r="I28" s="47">
        <f>'SGTO POAI 2022'!BH53+'SGTO POAI 2022'!BH54</f>
        <v>0</v>
      </c>
      <c r="J28" s="249">
        <f t="shared" si="8"/>
        <v>0</v>
      </c>
    </row>
    <row r="29" spans="1:10" s="103" customFormat="1" ht="61.5" customHeight="1" x14ac:dyDescent="0.2">
      <c r="A29" s="64"/>
      <c r="B29" s="142"/>
      <c r="C29" s="57">
        <v>1906</v>
      </c>
      <c r="D29" s="302" t="s">
        <v>1215</v>
      </c>
      <c r="E29" s="135">
        <f>'SGTO POAI 2022'!BF28</f>
        <v>516811948</v>
      </c>
      <c r="F29" s="220">
        <f t="shared" si="6"/>
        <v>1</v>
      </c>
      <c r="G29" s="135">
        <f>'SGTO POAI 2022'!BG28</f>
        <v>516811948</v>
      </c>
      <c r="H29" s="155">
        <f t="shared" si="7"/>
        <v>1</v>
      </c>
      <c r="I29" s="47">
        <f>'SGTO POAI 2022'!BH28</f>
        <v>147543584</v>
      </c>
      <c r="J29" s="249">
        <f t="shared" si="8"/>
        <v>0.28548795083197265</v>
      </c>
    </row>
    <row r="30" spans="1:10" ht="24" customHeight="1" x14ac:dyDescent="0.2">
      <c r="A30" s="65"/>
      <c r="B30" s="95">
        <v>22</v>
      </c>
      <c r="C30" s="108" t="s">
        <v>124</v>
      </c>
      <c r="D30" s="97"/>
      <c r="E30" s="98">
        <f>E31</f>
        <v>3923276899.8800001</v>
      </c>
      <c r="F30" s="203">
        <f t="shared" si="6"/>
        <v>1</v>
      </c>
      <c r="G30" s="98">
        <f>G31</f>
        <v>3404684462</v>
      </c>
      <c r="H30" s="155">
        <f t="shared" si="7"/>
        <v>0.86781650872109939</v>
      </c>
      <c r="I30" s="98">
        <f>I31</f>
        <v>1123778167</v>
      </c>
      <c r="J30" s="249">
        <f t="shared" si="8"/>
        <v>0.28643865719352429</v>
      </c>
    </row>
    <row r="31" spans="1:10" ht="64.5" customHeight="1" x14ac:dyDescent="0.2">
      <c r="A31" s="64"/>
      <c r="B31" s="61"/>
      <c r="C31" s="21">
        <v>2201</v>
      </c>
      <c r="D31" s="39" t="s">
        <v>125</v>
      </c>
      <c r="E31" s="47">
        <f>'SGTO POAI 2022'!BF29</f>
        <v>3923276899.8800001</v>
      </c>
      <c r="F31" s="211">
        <f t="shared" si="6"/>
        <v>1</v>
      </c>
      <c r="G31" s="47">
        <f>'SGTO POAI 2022'!BG29</f>
        <v>3404684462</v>
      </c>
      <c r="H31" s="155">
        <f t="shared" si="7"/>
        <v>0.86781650872109939</v>
      </c>
      <c r="I31" s="47">
        <f>'SGTO POAI 2022'!BH29</f>
        <v>1123778167</v>
      </c>
      <c r="J31" s="249">
        <f t="shared" si="8"/>
        <v>0.28643865719352429</v>
      </c>
    </row>
    <row r="32" spans="1:10" ht="24" customHeight="1" x14ac:dyDescent="0.2">
      <c r="A32" s="65"/>
      <c r="B32" s="95">
        <v>33</v>
      </c>
      <c r="C32" s="108" t="s">
        <v>132</v>
      </c>
      <c r="D32" s="97"/>
      <c r="E32" s="98">
        <f>E33</f>
        <v>67500000</v>
      </c>
      <c r="F32" s="203">
        <f t="shared" si="6"/>
        <v>1</v>
      </c>
      <c r="G32" s="98">
        <f>G33</f>
        <v>62221898</v>
      </c>
      <c r="H32" s="155">
        <f t="shared" si="7"/>
        <v>0.92180589629629628</v>
      </c>
      <c r="I32" s="98">
        <f>I33</f>
        <v>26500000</v>
      </c>
      <c r="J32" s="249">
        <f t="shared" si="8"/>
        <v>0.3925925925925926</v>
      </c>
    </row>
    <row r="33" spans="1:10" ht="63" customHeight="1" x14ac:dyDescent="0.2">
      <c r="A33" s="64"/>
      <c r="B33" s="61"/>
      <c r="C33" s="21">
        <v>3301</v>
      </c>
      <c r="D33" s="39" t="s">
        <v>133</v>
      </c>
      <c r="E33" s="47">
        <f>'SGTO POAI 2022'!BF30</f>
        <v>67500000</v>
      </c>
      <c r="F33" s="211">
        <f t="shared" si="6"/>
        <v>1</v>
      </c>
      <c r="G33" s="47">
        <f>'SGTO POAI 2022'!BG30</f>
        <v>62221898</v>
      </c>
      <c r="H33" s="155">
        <f t="shared" si="7"/>
        <v>0.92180589629629628</v>
      </c>
      <c r="I33" s="47">
        <f>'SGTO POAI 2022'!BH30</f>
        <v>26500000</v>
      </c>
      <c r="J33" s="249">
        <f t="shared" si="8"/>
        <v>0.3925925925925926</v>
      </c>
    </row>
    <row r="34" spans="1:10" ht="26.25" customHeight="1" x14ac:dyDescent="0.2">
      <c r="A34" s="64"/>
      <c r="B34" s="95">
        <v>41</v>
      </c>
      <c r="C34" s="108" t="s">
        <v>1145</v>
      </c>
      <c r="D34" s="97"/>
      <c r="E34" s="98">
        <f>E35</f>
        <v>3229932867.1700001</v>
      </c>
      <c r="F34" s="203">
        <f t="shared" si="6"/>
        <v>1</v>
      </c>
      <c r="G34" s="98">
        <f>G35</f>
        <v>0</v>
      </c>
      <c r="H34" s="155">
        <f t="shared" si="7"/>
        <v>0</v>
      </c>
      <c r="I34" s="98">
        <f>I35</f>
        <v>0</v>
      </c>
      <c r="J34" s="249">
        <f t="shared" si="8"/>
        <v>0</v>
      </c>
    </row>
    <row r="35" spans="1:10" ht="57" customHeight="1" x14ac:dyDescent="0.2">
      <c r="A35" s="64"/>
      <c r="B35" s="61"/>
      <c r="C35" s="21">
        <f>'SGTO POAI 2022'!G31</f>
        <v>4104</v>
      </c>
      <c r="D35" s="39" t="s">
        <v>1146</v>
      </c>
      <c r="E35" s="47">
        <f>'SGTO POAI 2022'!BF31+'SGTO POAI 2022'!BF32</f>
        <v>3229932867.1700001</v>
      </c>
      <c r="F35" s="211">
        <f t="shared" si="6"/>
        <v>1</v>
      </c>
      <c r="G35" s="47">
        <f>'SGTO POAI 2022'!BG31+'SGTO POAI 2022'!BG32</f>
        <v>0</v>
      </c>
      <c r="H35" s="155">
        <f t="shared" si="7"/>
        <v>0</v>
      </c>
      <c r="I35" s="47">
        <f>'SGTO POAI 2022'!BH31+'SGTO POAI 2022'!BH32</f>
        <v>0</v>
      </c>
      <c r="J35" s="249">
        <f t="shared" si="8"/>
        <v>0</v>
      </c>
    </row>
    <row r="36" spans="1:10" ht="24" customHeight="1" x14ac:dyDescent="0.2">
      <c r="A36" s="65"/>
      <c r="B36" s="95">
        <v>43</v>
      </c>
      <c r="C36" s="108" t="s">
        <v>141</v>
      </c>
      <c r="D36" s="97"/>
      <c r="E36" s="98">
        <f>E37</f>
        <v>5907574720.96</v>
      </c>
      <c r="F36" s="203">
        <f t="shared" si="6"/>
        <v>1</v>
      </c>
      <c r="G36" s="98">
        <f>G37</f>
        <v>2002531909.0900002</v>
      </c>
      <c r="H36" s="155">
        <f t="shared" si="7"/>
        <v>0.33897699202771697</v>
      </c>
      <c r="I36" s="98">
        <f>I37</f>
        <v>1227296777.0900002</v>
      </c>
      <c r="J36" s="249">
        <f t="shared" si="8"/>
        <v>0.20774968325589971</v>
      </c>
    </row>
    <row r="37" spans="1:10" ht="65.25" customHeight="1" x14ac:dyDescent="0.2">
      <c r="A37" s="49"/>
      <c r="B37" s="61"/>
      <c r="C37" s="21">
        <v>4301</v>
      </c>
      <c r="D37" s="39" t="s">
        <v>142</v>
      </c>
      <c r="E37" s="47">
        <f>'SGTO POAI 2022'!BF33</f>
        <v>5907574720.96</v>
      </c>
      <c r="F37" s="211">
        <f t="shared" si="6"/>
        <v>1</v>
      </c>
      <c r="G37" s="47">
        <f>'SGTO POAI 2022'!BG33</f>
        <v>2002531909.0900002</v>
      </c>
      <c r="H37" s="155">
        <f t="shared" si="7"/>
        <v>0.33897699202771697</v>
      </c>
      <c r="I37" s="47">
        <f>'SGTO POAI 2022'!BH33</f>
        <v>1227296777.0900002</v>
      </c>
      <c r="J37" s="249">
        <f t="shared" si="8"/>
        <v>0.20774968325589971</v>
      </c>
    </row>
    <row r="38" spans="1:10" ht="27" customHeight="1" x14ac:dyDescent="0.2">
      <c r="A38" s="143">
        <v>2</v>
      </c>
      <c r="B38" s="144" t="s">
        <v>333</v>
      </c>
      <c r="C38" s="144"/>
      <c r="D38" s="144"/>
      <c r="E38" s="145">
        <f t="shared" ref="E38:I39" si="11">E39</f>
        <v>43400000</v>
      </c>
      <c r="F38" s="210">
        <f t="shared" si="6"/>
        <v>1</v>
      </c>
      <c r="G38" s="145">
        <f t="shared" si="11"/>
        <v>37800000</v>
      </c>
      <c r="H38" s="155">
        <f t="shared" si="7"/>
        <v>0.87096774193548387</v>
      </c>
      <c r="I38" s="145">
        <f t="shared" si="11"/>
        <v>37647566</v>
      </c>
      <c r="J38" s="249">
        <f t="shared" si="8"/>
        <v>0.86745543778801848</v>
      </c>
    </row>
    <row r="39" spans="1:10" ht="27" customHeight="1" x14ac:dyDescent="0.2">
      <c r="A39" s="23"/>
      <c r="B39" s="95">
        <v>17</v>
      </c>
      <c r="C39" s="108" t="s">
        <v>1228</v>
      </c>
      <c r="D39" s="97"/>
      <c r="E39" s="98">
        <f t="shared" si="11"/>
        <v>43400000</v>
      </c>
      <c r="F39" s="203">
        <f t="shared" si="6"/>
        <v>1</v>
      </c>
      <c r="G39" s="98">
        <f t="shared" si="11"/>
        <v>37800000</v>
      </c>
      <c r="H39" s="155">
        <f t="shared" si="7"/>
        <v>0.87096774193548387</v>
      </c>
      <c r="I39" s="98">
        <f t="shared" si="11"/>
        <v>37647566</v>
      </c>
      <c r="J39" s="249">
        <f t="shared" si="8"/>
        <v>0.86745543778801848</v>
      </c>
    </row>
    <row r="40" spans="1:10" ht="65.25" customHeight="1" x14ac:dyDescent="0.2">
      <c r="A40" s="41"/>
      <c r="B40" s="41"/>
      <c r="C40" s="21">
        <v>1709</v>
      </c>
      <c r="D40" s="39" t="s">
        <v>450</v>
      </c>
      <c r="E40" s="47">
        <f>'SGTO POAI 2022'!BF34+'SGTO POAI 2022'!BF35</f>
        <v>43400000</v>
      </c>
      <c r="F40" s="211">
        <f t="shared" si="6"/>
        <v>1</v>
      </c>
      <c r="G40" s="47">
        <f>'SGTO POAI 2022'!BG34+'SGTO POAI 2022'!BG35</f>
        <v>37800000</v>
      </c>
      <c r="H40" s="155">
        <f t="shared" si="7"/>
        <v>0.87096774193548387</v>
      </c>
      <c r="I40" s="47">
        <f>'SGTO POAI 2022'!BH34+'SGTO POAI 2022'!BH35</f>
        <v>37647566</v>
      </c>
      <c r="J40" s="249">
        <f t="shared" si="8"/>
        <v>0.86745543778801848</v>
      </c>
    </row>
    <row r="41" spans="1:10" ht="24" customHeight="1" x14ac:dyDescent="0.2">
      <c r="A41" s="143">
        <v>3</v>
      </c>
      <c r="B41" s="144" t="s">
        <v>150</v>
      </c>
      <c r="C41" s="144"/>
      <c r="D41" s="144"/>
      <c r="E41" s="145">
        <f>E42+E44+E46</f>
        <v>62976689903.780006</v>
      </c>
      <c r="F41" s="210">
        <f t="shared" si="6"/>
        <v>1</v>
      </c>
      <c r="G41" s="145">
        <f>G42+G44+G46</f>
        <v>15064185706.550001</v>
      </c>
      <c r="H41" s="155">
        <f t="shared" si="7"/>
        <v>0.23920256414819627</v>
      </c>
      <c r="I41" s="145">
        <f>I42+I44+I46</f>
        <v>10094321036.450001</v>
      </c>
      <c r="J41" s="249">
        <f t="shared" si="8"/>
        <v>0.16028662433469873</v>
      </c>
    </row>
    <row r="42" spans="1:10" ht="24" customHeight="1" x14ac:dyDescent="0.2">
      <c r="A42" s="23"/>
      <c r="B42" s="95">
        <v>24</v>
      </c>
      <c r="C42" s="108" t="s">
        <v>151</v>
      </c>
      <c r="D42" s="97"/>
      <c r="E42" s="98">
        <f>E43</f>
        <v>54689931138.440002</v>
      </c>
      <c r="F42" s="203">
        <f t="shared" si="6"/>
        <v>1</v>
      </c>
      <c r="G42" s="98">
        <f>G43</f>
        <v>9558529274.6800003</v>
      </c>
      <c r="H42" s="155">
        <f t="shared" si="7"/>
        <v>0.17477676558933497</v>
      </c>
      <c r="I42" s="98">
        <f>I43</f>
        <v>4830092218.5799999</v>
      </c>
      <c r="J42" s="249">
        <f t="shared" si="8"/>
        <v>8.8317760107491983E-2</v>
      </c>
    </row>
    <row r="43" spans="1:10" ht="59.25" customHeight="1" x14ac:dyDescent="0.2">
      <c r="A43" s="41"/>
      <c r="B43" s="41"/>
      <c r="C43" s="21">
        <v>2402</v>
      </c>
      <c r="D43" s="39" t="s">
        <v>152</v>
      </c>
      <c r="E43" s="47">
        <f>'SGTO POAI 2022'!BF36+'SGTO POAI 2022'!BF37+'SGTO POAI 2022'!BF38+'SGTO POAI 2022'!BF39+'SGTO POAI 2022'!BF40</f>
        <v>54689931138.440002</v>
      </c>
      <c r="F43" s="211">
        <f t="shared" si="6"/>
        <v>1</v>
      </c>
      <c r="G43" s="47">
        <f>'SGTO POAI 2022'!BG36+'SGTO POAI 2022'!BG37+'SGTO POAI 2022'!BG38+'SGTO POAI 2022'!BG39+'SGTO POAI 2022'!BG40</f>
        <v>9558529274.6800003</v>
      </c>
      <c r="H43" s="155">
        <f t="shared" si="7"/>
        <v>0.17477676558933497</v>
      </c>
      <c r="I43" s="47">
        <f>'SGTO POAI 2022'!BH36+'SGTO POAI 2022'!BH37+'SGTO POAI 2022'!BH38+'SGTO POAI 2022'!BH39+'SGTO POAI 2022'!BH40</f>
        <v>4830092218.5799999</v>
      </c>
      <c r="J43" s="249">
        <f t="shared" si="8"/>
        <v>8.8317760107491983E-2</v>
      </c>
    </row>
    <row r="44" spans="1:10" ht="24" customHeight="1" x14ac:dyDescent="0.2">
      <c r="A44" s="23"/>
      <c r="B44" s="95">
        <v>32</v>
      </c>
      <c r="C44" s="108" t="s">
        <v>170</v>
      </c>
      <c r="D44" s="97"/>
      <c r="E44" s="98">
        <f>E45</f>
        <v>3695751239.54</v>
      </c>
      <c r="F44" s="203">
        <f t="shared" si="6"/>
        <v>1</v>
      </c>
      <c r="G44" s="98">
        <f>G45</f>
        <v>1572168263.01</v>
      </c>
      <c r="H44" s="155">
        <f t="shared" si="7"/>
        <v>0.42539883263508921</v>
      </c>
      <c r="I44" s="98">
        <f>I45</f>
        <v>1330740649.01</v>
      </c>
      <c r="J44" s="249">
        <f t="shared" si="8"/>
        <v>0.3600731117323886</v>
      </c>
    </row>
    <row r="45" spans="1:10" ht="54.75" customHeight="1" x14ac:dyDescent="0.2">
      <c r="A45" s="41"/>
      <c r="B45" s="41"/>
      <c r="C45" s="21">
        <v>3205</v>
      </c>
      <c r="D45" s="39" t="s">
        <v>171</v>
      </c>
      <c r="E45" s="47">
        <f>'SGTO POAI 2022'!BF41+'SGTO POAI 2022'!BF42</f>
        <v>3695751239.54</v>
      </c>
      <c r="F45" s="211">
        <f t="shared" si="6"/>
        <v>1</v>
      </c>
      <c r="G45" s="47">
        <f>'SGTO POAI 2022'!BG41+'SGTO POAI 2022'!BG42</f>
        <v>1572168263.01</v>
      </c>
      <c r="H45" s="155">
        <f t="shared" si="7"/>
        <v>0.42539883263508921</v>
      </c>
      <c r="I45" s="47">
        <f>'SGTO POAI 2022'!BH41+'SGTO POAI 2022'!BH42</f>
        <v>1330740649.01</v>
      </c>
      <c r="J45" s="249">
        <f t="shared" si="8"/>
        <v>0.3600731117323886</v>
      </c>
    </row>
    <row r="46" spans="1:10" ht="24" customHeight="1" x14ac:dyDescent="0.2">
      <c r="A46" s="23"/>
      <c r="B46" s="95">
        <v>40</v>
      </c>
      <c r="C46" s="108" t="s">
        <v>182</v>
      </c>
      <c r="D46" s="97"/>
      <c r="E46" s="98">
        <f>SUM(E47:E48)</f>
        <v>4591007525.8000002</v>
      </c>
      <c r="F46" s="203">
        <f t="shared" si="6"/>
        <v>1</v>
      </c>
      <c r="G46" s="98">
        <f>SUM(G47:G48)</f>
        <v>3933488168.8600001</v>
      </c>
      <c r="H46" s="155">
        <f t="shared" si="7"/>
        <v>0.85678103265025141</v>
      </c>
      <c r="I46" s="98">
        <f>SUM(I47:I48)</f>
        <v>3933488168.8600001</v>
      </c>
      <c r="J46" s="249">
        <f t="shared" si="8"/>
        <v>0.85678103265025141</v>
      </c>
    </row>
    <row r="47" spans="1:10" ht="48.75" customHeight="1" x14ac:dyDescent="0.2">
      <c r="A47" s="41"/>
      <c r="B47" s="41"/>
      <c r="C47" s="21">
        <v>4001</v>
      </c>
      <c r="D47" s="39" t="s">
        <v>183</v>
      </c>
      <c r="E47" s="47">
        <f>'SGTO POAI 2022'!BF43</f>
        <v>380000000</v>
      </c>
      <c r="F47" s="211">
        <f t="shared" si="6"/>
        <v>1</v>
      </c>
      <c r="G47" s="47">
        <f>'SGTO POAI 2022'!BG43</f>
        <v>0</v>
      </c>
      <c r="H47" s="155">
        <f t="shared" si="7"/>
        <v>0</v>
      </c>
      <c r="I47" s="47">
        <f>'SGTO POAI 2022'!BH43</f>
        <v>0</v>
      </c>
      <c r="J47" s="249">
        <f t="shared" si="8"/>
        <v>0</v>
      </c>
    </row>
    <row r="48" spans="1:10" ht="59.25" customHeight="1" x14ac:dyDescent="0.2">
      <c r="A48" s="41"/>
      <c r="B48" s="41"/>
      <c r="C48" s="21">
        <v>4003</v>
      </c>
      <c r="D48" s="39" t="s">
        <v>190</v>
      </c>
      <c r="E48" s="47">
        <f>'SGTO POAI 2022'!BF44+'SGTO POAI 2022'!BF45+'SGTO POAI 2022'!BF46+'SGTO POAI 2022'!BF47+'SGTO POAI 2022'!BF48+'SGTO POAI 2022'!BF49</f>
        <v>4211007525.8000002</v>
      </c>
      <c r="F48" s="211">
        <f t="shared" si="6"/>
        <v>1</v>
      </c>
      <c r="G48" s="47">
        <f>'SGTO POAI 2022'!BG44+'SGTO POAI 2022'!BG45+'SGTO POAI 2022'!BG46+'SGTO POAI 2022'!BG47+'SGTO POAI 2022'!BG48+'SGTO POAI 2022'!BG49</f>
        <v>3933488168.8600001</v>
      </c>
      <c r="H48" s="155">
        <f t="shared" si="7"/>
        <v>0.93409668464383055</v>
      </c>
      <c r="I48" s="47">
        <f>'SGTO POAI 2022'!BH44+'SGTO POAI 2022'!BH45+'SGTO POAI 2022'!BH46+'SGTO POAI 2022'!BH47+'SGTO POAI 2022'!BH48+'SGTO POAI 2022'!BH49</f>
        <v>3933488168.8600001</v>
      </c>
      <c r="J48" s="249">
        <f t="shared" si="8"/>
        <v>0.93409668464383055</v>
      </c>
    </row>
    <row r="49" spans="1:10" ht="24" customHeight="1" x14ac:dyDescent="0.2">
      <c r="A49" s="143">
        <v>4</v>
      </c>
      <c r="B49" s="144" t="s">
        <v>27</v>
      </c>
      <c r="C49" s="144"/>
      <c r="D49" s="144"/>
      <c r="E49" s="145">
        <f>E50</f>
        <v>927810704.82999992</v>
      </c>
      <c r="F49" s="210">
        <f t="shared" si="6"/>
        <v>1</v>
      </c>
      <c r="G49" s="145">
        <f>G50</f>
        <v>96940000</v>
      </c>
      <c r="H49" s="155">
        <f t="shared" si="7"/>
        <v>0.10448251943564504</v>
      </c>
      <c r="I49" s="145">
        <f>I50</f>
        <v>96940000</v>
      </c>
      <c r="J49" s="249">
        <f t="shared" si="8"/>
        <v>0.10448251943564504</v>
      </c>
    </row>
    <row r="50" spans="1:10" ht="24" customHeight="1" x14ac:dyDescent="0.2">
      <c r="A50" s="23"/>
      <c r="B50" s="95">
        <v>45</v>
      </c>
      <c r="C50" s="108" t="s">
        <v>28</v>
      </c>
      <c r="D50" s="97"/>
      <c r="E50" s="98">
        <f>SUM(E51:E52)</f>
        <v>927810704.82999992</v>
      </c>
      <c r="F50" s="203">
        <f t="shared" si="6"/>
        <v>1</v>
      </c>
      <c r="G50" s="98">
        <f>SUM(G51:G52)</f>
        <v>96940000</v>
      </c>
      <c r="H50" s="155">
        <f t="shared" si="7"/>
        <v>0.10448251943564504</v>
      </c>
      <c r="I50" s="98">
        <f>SUM(I51:I52)</f>
        <v>96940000</v>
      </c>
      <c r="J50" s="249">
        <f t="shared" si="8"/>
        <v>0.10448251943564504</v>
      </c>
    </row>
    <row r="51" spans="1:10" ht="66" customHeight="1" x14ac:dyDescent="0.2">
      <c r="A51" s="41"/>
      <c r="B51" s="41"/>
      <c r="C51" s="21">
        <v>4599</v>
      </c>
      <c r="D51" s="39" t="s">
        <v>29</v>
      </c>
      <c r="E51" s="47">
        <f>'SGTO POAI 2022'!BF50+'SGTO POAI 2022'!BF51</f>
        <v>889810704.82999992</v>
      </c>
      <c r="F51" s="211">
        <f t="shared" si="6"/>
        <v>1</v>
      </c>
      <c r="G51" s="47">
        <f>'SGTO POAI 2022'!BG50+'SGTO POAI 2022'!BG51</f>
        <v>63186667</v>
      </c>
      <c r="H51" s="155">
        <f t="shared" si="7"/>
        <v>7.1011358547402439E-2</v>
      </c>
      <c r="I51" s="47">
        <f>'SGTO POAI 2022'!BH50+'SGTO POAI 2022'!BH51</f>
        <v>63186667</v>
      </c>
      <c r="J51" s="249">
        <f t="shared" si="8"/>
        <v>7.1011358547402439E-2</v>
      </c>
    </row>
    <row r="52" spans="1:10" ht="53.25" customHeight="1" x14ac:dyDescent="0.2">
      <c r="A52" s="41"/>
      <c r="B52" s="41"/>
      <c r="C52" s="21">
        <v>4502</v>
      </c>
      <c r="D52" s="39" t="s">
        <v>47</v>
      </c>
      <c r="E52" s="47">
        <f>'SGTO POAI 2022'!BF52</f>
        <v>38000000</v>
      </c>
      <c r="F52" s="211">
        <f t="shared" si="6"/>
        <v>1</v>
      </c>
      <c r="G52" s="47">
        <f>'SGTO POAI 2022'!BG52</f>
        <v>33753333</v>
      </c>
      <c r="H52" s="155">
        <f t="shared" si="7"/>
        <v>0.88824560526315788</v>
      </c>
      <c r="I52" s="47">
        <f>'SGTO POAI 2022'!BH52</f>
        <v>33753333</v>
      </c>
      <c r="J52" s="249">
        <f t="shared" si="8"/>
        <v>0.88824560526315788</v>
      </c>
    </row>
    <row r="53" spans="1:10" s="63" customFormat="1" x14ac:dyDescent="0.2">
      <c r="A53" s="59"/>
      <c r="B53" s="59"/>
      <c r="C53" s="59"/>
      <c r="D53" s="60"/>
      <c r="E53" s="62"/>
      <c r="F53" s="205"/>
      <c r="G53" s="62"/>
      <c r="I53" s="62"/>
      <c r="J53" s="205"/>
    </row>
    <row r="54" spans="1:10" ht="24" customHeight="1" x14ac:dyDescent="0.2">
      <c r="A54" s="108" t="s">
        <v>217</v>
      </c>
      <c r="B54" s="105"/>
      <c r="C54" s="105"/>
      <c r="D54" s="106"/>
      <c r="E54" s="107">
        <f>E55+E67+E72</f>
        <v>6612694612.1799994</v>
      </c>
      <c r="F54" s="203">
        <f t="shared" ref="F54:F74" si="12">E54/E54</f>
        <v>1</v>
      </c>
      <c r="G54" s="107">
        <f>G55+G67+G72</f>
        <v>4549683616.4499998</v>
      </c>
      <c r="H54" s="155">
        <f t="shared" ref="H54:H74" si="13">G54/E54</f>
        <v>0.68802264179414618</v>
      </c>
      <c r="I54" s="107">
        <f>I55+I67+I72</f>
        <v>3983280360.1799998</v>
      </c>
      <c r="J54" s="249">
        <f t="shared" ref="J54:J74" si="14">I54/E54</f>
        <v>0.60236871559789695</v>
      </c>
    </row>
    <row r="55" spans="1:10" ht="24" customHeight="1" x14ac:dyDescent="0.2">
      <c r="A55" s="143">
        <v>1</v>
      </c>
      <c r="B55" s="144" t="s">
        <v>112</v>
      </c>
      <c r="C55" s="144"/>
      <c r="D55" s="144"/>
      <c r="E55" s="145">
        <f>E56+E60+E62+E65</f>
        <v>5458804728.1499996</v>
      </c>
      <c r="F55" s="210">
        <f t="shared" si="12"/>
        <v>1</v>
      </c>
      <c r="G55" s="145">
        <f>G56+G60+G62+G65</f>
        <v>3531576152.1700001</v>
      </c>
      <c r="H55" s="155">
        <f t="shared" si="13"/>
        <v>0.64695044575570637</v>
      </c>
      <c r="I55" s="145">
        <f>I56+I60+I62+I65</f>
        <v>3087126434.02</v>
      </c>
      <c r="J55" s="249">
        <f t="shared" si="14"/>
        <v>0.56553157472372773</v>
      </c>
    </row>
    <row r="56" spans="1:10" ht="24" customHeight="1" x14ac:dyDescent="0.2">
      <c r="A56" s="23"/>
      <c r="B56" s="95">
        <v>12</v>
      </c>
      <c r="C56" s="108" t="s">
        <v>113</v>
      </c>
      <c r="D56" s="97"/>
      <c r="E56" s="98">
        <f>SUM(E57:E59)</f>
        <v>185375872</v>
      </c>
      <c r="F56" s="203">
        <f t="shared" si="12"/>
        <v>1</v>
      </c>
      <c r="G56" s="98">
        <f>SUM(G57:G59)</f>
        <v>181608205</v>
      </c>
      <c r="H56" s="155">
        <f t="shared" si="13"/>
        <v>0.9796755264892294</v>
      </c>
      <c r="I56" s="98">
        <f>SUM(I57:I59)</f>
        <v>181608205</v>
      </c>
      <c r="J56" s="249">
        <f t="shared" si="14"/>
        <v>0.9796755264892294</v>
      </c>
    </row>
    <row r="57" spans="1:10" ht="34.5" customHeight="1" x14ac:dyDescent="0.2">
      <c r="A57" s="67"/>
      <c r="B57" s="45"/>
      <c r="C57" s="37">
        <v>1202</v>
      </c>
      <c r="D57" s="39" t="s">
        <v>114</v>
      </c>
      <c r="E57" s="47">
        <f>'SGTO POAI 2022'!BF55</f>
        <v>95900000</v>
      </c>
      <c r="F57" s="211">
        <f t="shared" si="12"/>
        <v>1</v>
      </c>
      <c r="G57" s="47">
        <f>'SGTO POAI 2022'!BG55</f>
        <v>95710166</v>
      </c>
      <c r="H57" s="155">
        <f t="shared" si="13"/>
        <v>0.99802050052137647</v>
      </c>
      <c r="I57" s="47">
        <f>'SGTO POAI 2022'!BH55</f>
        <v>95710166</v>
      </c>
      <c r="J57" s="249">
        <f t="shared" si="14"/>
        <v>0.99802050052137647</v>
      </c>
    </row>
    <row r="58" spans="1:10" ht="36.75" customHeight="1" x14ac:dyDescent="0.2">
      <c r="A58" s="67"/>
      <c r="B58" s="64"/>
      <c r="C58" s="37">
        <v>1203</v>
      </c>
      <c r="D58" s="39" t="s">
        <v>220</v>
      </c>
      <c r="E58" s="47">
        <f>'SGTO POAI 2022'!BF56</f>
        <v>40875872</v>
      </c>
      <c r="F58" s="211">
        <f t="shared" si="12"/>
        <v>1</v>
      </c>
      <c r="G58" s="47">
        <f>'SGTO POAI 2022'!BG56</f>
        <v>39433372</v>
      </c>
      <c r="H58" s="155">
        <f t="shared" si="13"/>
        <v>0.96471023297068748</v>
      </c>
      <c r="I58" s="47">
        <f>'SGTO POAI 2022'!BH56</f>
        <v>39433372</v>
      </c>
      <c r="J58" s="249">
        <f t="shared" si="14"/>
        <v>0.96471023297068748</v>
      </c>
    </row>
    <row r="59" spans="1:10" ht="60" customHeight="1" x14ac:dyDescent="0.2">
      <c r="A59" s="67"/>
      <c r="B59" s="49"/>
      <c r="C59" s="37">
        <v>1206</v>
      </c>
      <c r="D59" s="39" t="s">
        <v>224</v>
      </c>
      <c r="E59" s="47">
        <f>'SGTO POAI 2022'!BF57</f>
        <v>48600000</v>
      </c>
      <c r="F59" s="211">
        <f t="shared" si="12"/>
        <v>1</v>
      </c>
      <c r="G59" s="47">
        <f>'SGTO POAI 2022'!BG57</f>
        <v>46464667</v>
      </c>
      <c r="H59" s="155">
        <f t="shared" si="13"/>
        <v>0.95606310699588481</v>
      </c>
      <c r="I59" s="47">
        <f>'SGTO POAI 2022'!BH57</f>
        <v>46464667</v>
      </c>
      <c r="J59" s="249">
        <f t="shared" si="14"/>
        <v>0.95606310699588481</v>
      </c>
    </row>
    <row r="60" spans="1:10" ht="24" customHeight="1" x14ac:dyDescent="0.2">
      <c r="A60" s="68"/>
      <c r="B60" s="95">
        <v>22</v>
      </c>
      <c r="C60" s="108" t="s">
        <v>124</v>
      </c>
      <c r="D60" s="97"/>
      <c r="E60" s="98">
        <f>E61</f>
        <v>51943002</v>
      </c>
      <c r="F60" s="203">
        <f t="shared" si="12"/>
        <v>1</v>
      </c>
      <c r="G60" s="98">
        <f>G61</f>
        <v>51943002</v>
      </c>
      <c r="H60" s="155">
        <f t="shared" si="13"/>
        <v>1</v>
      </c>
      <c r="I60" s="98">
        <f>I61</f>
        <v>51943002</v>
      </c>
      <c r="J60" s="249">
        <f t="shared" si="14"/>
        <v>1</v>
      </c>
    </row>
    <row r="61" spans="1:10" ht="62.25" customHeight="1" x14ac:dyDescent="0.2">
      <c r="A61" s="69"/>
      <c r="B61" s="61"/>
      <c r="C61" s="21">
        <v>2201</v>
      </c>
      <c r="D61" s="39" t="s">
        <v>229</v>
      </c>
      <c r="E61" s="47">
        <f>'SGTO POAI 2022'!BF58</f>
        <v>51943002</v>
      </c>
      <c r="F61" s="211">
        <f t="shared" si="12"/>
        <v>1</v>
      </c>
      <c r="G61" s="47">
        <f>'SGTO POAI 2022'!BG58</f>
        <v>51943002</v>
      </c>
      <c r="H61" s="155">
        <f t="shared" si="13"/>
        <v>1</v>
      </c>
      <c r="I61" s="47">
        <f>'SGTO POAI 2022'!BH58</f>
        <v>51943002</v>
      </c>
      <c r="J61" s="249">
        <f t="shared" si="14"/>
        <v>1</v>
      </c>
    </row>
    <row r="62" spans="1:10" ht="24" customHeight="1" x14ac:dyDescent="0.2">
      <c r="A62" s="70"/>
      <c r="B62" s="95">
        <v>41</v>
      </c>
      <c r="C62" s="108" t="s">
        <v>235</v>
      </c>
      <c r="D62" s="97"/>
      <c r="E62" s="98">
        <f>SUM(E63:E64)</f>
        <v>370879945</v>
      </c>
      <c r="F62" s="203">
        <f t="shared" si="12"/>
        <v>1</v>
      </c>
      <c r="G62" s="98">
        <f>SUM(G63:G64)</f>
        <v>366030108.89999998</v>
      </c>
      <c r="H62" s="155">
        <f t="shared" si="13"/>
        <v>0.98692343394302429</v>
      </c>
      <c r="I62" s="98">
        <f>SUM(I63:I64)</f>
        <v>347950756.89999998</v>
      </c>
      <c r="J62" s="249">
        <f t="shared" si="14"/>
        <v>0.93817625242583547</v>
      </c>
    </row>
    <row r="63" spans="1:10" ht="44.25" customHeight="1" x14ac:dyDescent="0.2">
      <c r="A63" s="67"/>
      <c r="B63" s="45"/>
      <c r="C63" s="37">
        <v>4101</v>
      </c>
      <c r="D63" s="39" t="s">
        <v>236</v>
      </c>
      <c r="E63" s="47">
        <f>'SGTO POAI 2022'!BF59+'SGTO POAI 2022'!BF60+'SGTO POAI 2022'!BF61+'SGTO POAI 2022'!BF62+'SGTO POAI 2022'!BF63</f>
        <v>345144445</v>
      </c>
      <c r="F63" s="211">
        <f t="shared" si="12"/>
        <v>1</v>
      </c>
      <c r="G63" s="47">
        <f>'SGTO POAI 2022'!BG59+'SGTO POAI 2022'!BG60+'SGTO POAI 2022'!BG61+'SGTO POAI 2022'!BG62+'SGTO POAI 2022'!BG63</f>
        <v>340294608.89999998</v>
      </c>
      <c r="H63" s="155">
        <f t="shared" si="13"/>
        <v>0.9859483872035083</v>
      </c>
      <c r="I63" s="47">
        <f>'SGTO POAI 2022'!BH59+'SGTO POAI 2022'!BH60+'SGTO POAI 2022'!BH61+'SGTO POAI 2022'!BH62+'SGTO POAI 2022'!BH63</f>
        <v>322215256.89999998</v>
      </c>
      <c r="J63" s="249">
        <f t="shared" si="14"/>
        <v>0.93356639971418331</v>
      </c>
    </row>
    <row r="64" spans="1:10" ht="57" customHeight="1" x14ac:dyDescent="0.2">
      <c r="A64" s="67"/>
      <c r="B64" s="49"/>
      <c r="C64" s="37">
        <v>4103</v>
      </c>
      <c r="D64" s="39" t="s">
        <v>252</v>
      </c>
      <c r="E64" s="47">
        <f>'SGTO POAI 2022'!BF64</f>
        <v>25735500</v>
      </c>
      <c r="F64" s="211">
        <f t="shared" si="12"/>
        <v>1</v>
      </c>
      <c r="G64" s="47">
        <f>'SGTO POAI 2022'!BG64</f>
        <v>25735500</v>
      </c>
      <c r="H64" s="155">
        <f t="shared" si="13"/>
        <v>1</v>
      </c>
      <c r="I64" s="47">
        <f>'SGTO POAI 2022'!BH64</f>
        <v>25735500</v>
      </c>
      <c r="J64" s="249">
        <f t="shared" si="14"/>
        <v>1</v>
      </c>
    </row>
    <row r="65" spans="1:10" ht="24" customHeight="1" x14ac:dyDescent="0.2">
      <c r="A65" s="68"/>
      <c r="B65" s="95">
        <v>45</v>
      </c>
      <c r="C65" s="108" t="s">
        <v>28</v>
      </c>
      <c r="D65" s="97"/>
      <c r="E65" s="98">
        <f>E66</f>
        <v>4850605909.1499996</v>
      </c>
      <c r="F65" s="203">
        <f t="shared" si="12"/>
        <v>1</v>
      </c>
      <c r="G65" s="98">
        <f>G66</f>
        <v>2931994836.27</v>
      </c>
      <c r="H65" s="155">
        <f t="shared" si="13"/>
        <v>0.6044595028301919</v>
      </c>
      <c r="I65" s="98">
        <f>I66</f>
        <v>2505624470.1199999</v>
      </c>
      <c r="J65" s="249">
        <f t="shared" si="14"/>
        <v>0.51655906850595401</v>
      </c>
    </row>
    <row r="66" spans="1:10" ht="53.25" customHeight="1" x14ac:dyDescent="0.2">
      <c r="A66" s="71"/>
      <c r="B66" s="61"/>
      <c r="C66" s="21">
        <v>4501</v>
      </c>
      <c r="D66" s="39" t="s">
        <v>260</v>
      </c>
      <c r="E66" s="47">
        <f>'SGTO POAI 2022'!BF65+'SGTO POAI 2022'!BF66</f>
        <v>4850605909.1499996</v>
      </c>
      <c r="F66" s="211">
        <f t="shared" si="12"/>
        <v>1</v>
      </c>
      <c r="G66" s="47">
        <f>'SGTO POAI 2022'!BG65+'SGTO POAI 2022'!BG66</f>
        <v>2931994836.27</v>
      </c>
      <c r="H66" s="155">
        <f t="shared" si="13"/>
        <v>0.6044595028301919</v>
      </c>
      <c r="I66" s="47">
        <f>'SGTO POAI 2022'!BH65+'SGTO POAI 2022'!BH66</f>
        <v>2505624470.1199999</v>
      </c>
      <c r="J66" s="249">
        <f t="shared" si="14"/>
        <v>0.51655906850595401</v>
      </c>
    </row>
    <row r="67" spans="1:10" ht="24" customHeight="1" x14ac:dyDescent="0.2">
      <c r="A67" s="143">
        <v>3</v>
      </c>
      <c r="B67" s="144" t="s">
        <v>150</v>
      </c>
      <c r="C67" s="144"/>
      <c r="D67" s="144"/>
      <c r="E67" s="145">
        <f>E68+E70</f>
        <v>686653101.88</v>
      </c>
      <c r="F67" s="210">
        <f t="shared" si="12"/>
        <v>1</v>
      </c>
      <c r="G67" s="145">
        <f>G68+G70</f>
        <v>574492286.27999997</v>
      </c>
      <c r="H67" s="155">
        <f t="shared" si="13"/>
        <v>0.83665577961722903</v>
      </c>
      <c r="I67" s="145">
        <f>I68+I70</f>
        <v>452538748.15999997</v>
      </c>
      <c r="J67" s="249">
        <f t="shared" si="14"/>
        <v>0.65905003111612825</v>
      </c>
    </row>
    <row r="68" spans="1:10" ht="24" customHeight="1" x14ac:dyDescent="0.2">
      <c r="A68" s="23"/>
      <c r="B68" s="95">
        <v>32</v>
      </c>
      <c r="C68" s="108" t="s">
        <v>170</v>
      </c>
      <c r="D68" s="97"/>
      <c r="E68" s="98">
        <f>E69</f>
        <v>231212500</v>
      </c>
      <c r="F68" s="203">
        <f t="shared" si="12"/>
        <v>1</v>
      </c>
      <c r="G68" s="98">
        <f>G69</f>
        <v>230130205.12</v>
      </c>
      <c r="H68" s="155">
        <f t="shared" si="13"/>
        <v>0.99531904685084072</v>
      </c>
      <c r="I68" s="98">
        <f>I69</f>
        <v>113176667</v>
      </c>
      <c r="J68" s="249">
        <f t="shared" si="14"/>
        <v>0.48949199113369735</v>
      </c>
    </row>
    <row r="69" spans="1:10" s="16" customFormat="1" ht="46.5" customHeight="1" x14ac:dyDescent="0.2">
      <c r="A69" s="55"/>
      <c r="B69" s="37"/>
      <c r="C69" s="21">
        <v>3205</v>
      </c>
      <c r="D69" s="39" t="s">
        <v>171</v>
      </c>
      <c r="E69" s="47">
        <f>'SGTO POAI 2022'!BF67</f>
        <v>231212500</v>
      </c>
      <c r="F69" s="211">
        <f t="shared" si="12"/>
        <v>1</v>
      </c>
      <c r="G69" s="47">
        <f>'SGTO POAI 2022'!BG67</f>
        <v>230130205.12</v>
      </c>
      <c r="H69" s="155">
        <f t="shared" si="13"/>
        <v>0.99531904685084072</v>
      </c>
      <c r="I69" s="47">
        <f>'SGTO POAI 2022'!BH67</f>
        <v>113176667</v>
      </c>
      <c r="J69" s="249">
        <f t="shared" si="14"/>
        <v>0.48949199113369735</v>
      </c>
    </row>
    <row r="70" spans="1:10" ht="24" customHeight="1" x14ac:dyDescent="0.2">
      <c r="A70" s="65"/>
      <c r="B70" s="95">
        <v>45</v>
      </c>
      <c r="C70" s="108" t="s">
        <v>28</v>
      </c>
      <c r="D70" s="97"/>
      <c r="E70" s="98">
        <f>E71</f>
        <v>455440601.88</v>
      </c>
      <c r="F70" s="203">
        <f t="shared" si="12"/>
        <v>1</v>
      </c>
      <c r="G70" s="98">
        <f>G71</f>
        <v>344362081.15999997</v>
      </c>
      <c r="H70" s="155">
        <f t="shared" si="13"/>
        <v>0.75610755768923055</v>
      </c>
      <c r="I70" s="98">
        <f>I71</f>
        <v>339362081.15999997</v>
      </c>
      <c r="J70" s="249">
        <f t="shared" si="14"/>
        <v>0.74512917767796094</v>
      </c>
    </row>
    <row r="71" spans="1:10" s="16" customFormat="1" ht="44.25" customHeight="1" x14ac:dyDescent="0.2">
      <c r="A71" s="57"/>
      <c r="B71" s="37"/>
      <c r="C71" s="21">
        <v>4503</v>
      </c>
      <c r="D71" s="39" t="s">
        <v>1130</v>
      </c>
      <c r="E71" s="47">
        <f>'SGTO POAI 2022'!BF68+'SGTO POAI 2022'!BF69+'SGTO POAI 2022'!BF70</f>
        <v>455440601.88</v>
      </c>
      <c r="F71" s="211">
        <f t="shared" si="12"/>
        <v>1</v>
      </c>
      <c r="G71" s="47">
        <f>'SGTO POAI 2022'!BG68+'SGTO POAI 2022'!BG69+'SGTO POAI 2022'!BG70</f>
        <v>344362081.15999997</v>
      </c>
      <c r="H71" s="155">
        <f t="shared" si="13"/>
        <v>0.75610755768923055</v>
      </c>
      <c r="I71" s="47">
        <f>'SGTO POAI 2022'!BH68+'SGTO POAI 2022'!BH69+'SGTO POAI 2022'!BH70</f>
        <v>339362081.15999997</v>
      </c>
      <c r="J71" s="249">
        <f t="shared" si="14"/>
        <v>0.74512917767796094</v>
      </c>
    </row>
    <row r="72" spans="1:10" ht="24" customHeight="1" x14ac:dyDescent="0.2">
      <c r="A72" s="143">
        <v>4</v>
      </c>
      <c r="B72" s="144" t="s">
        <v>27</v>
      </c>
      <c r="C72" s="144"/>
      <c r="D72" s="144"/>
      <c r="E72" s="145">
        <f t="shared" ref="E72:I73" si="15">E73</f>
        <v>467236782.15000004</v>
      </c>
      <c r="F72" s="210">
        <f t="shared" si="12"/>
        <v>1</v>
      </c>
      <c r="G72" s="145">
        <f t="shared" si="15"/>
        <v>443615178</v>
      </c>
      <c r="H72" s="155">
        <f t="shared" si="13"/>
        <v>0.9494440398264351</v>
      </c>
      <c r="I72" s="145">
        <f t="shared" si="15"/>
        <v>443615178</v>
      </c>
      <c r="J72" s="249">
        <f t="shared" si="14"/>
        <v>0.9494440398264351</v>
      </c>
    </row>
    <row r="73" spans="1:10" ht="24" customHeight="1" x14ac:dyDescent="0.2">
      <c r="A73" s="23"/>
      <c r="B73" s="95">
        <v>45</v>
      </c>
      <c r="C73" s="108" t="s">
        <v>28</v>
      </c>
      <c r="D73" s="97"/>
      <c r="E73" s="98">
        <f t="shared" si="15"/>
        <v>467236782.15000004</v>
      </c>
      <c r="F73" s="203">
        <f t="shared" si="12"/>
        <v>1</v>
      </c>
      <c r="G73" s="98">
        <f t="shared" si="15"/>
        <v>443615178</v>
      </c>
      <c r="H73" s="155">
        <f t="shared" si="13"/>
        <v>0.9494440398264351</v>
      </c>
      <c r="I73" s="98">
        <f t="shared" si="15"/>
        <v>443615178</v>
      </c>
      <c r="J73" s="249">
        <f t="shared" si="14"/>
        <v>0.9494440398264351</v>
      </c>
    </row>
    <row r="74" spans="1:10" s="16" customFormat="1" ht="54.75" customHeight="1" x14ac:dyDescent="0.2">
      <c r="A74" s="57"/>
      <c r="B74" s="37"/>
      <c r="C74" s="21">
        <v>4502</v>
      </c>
      <c r="D74" s="39" t="s">
        <v>47</v>
      </c>
      <c r="E74" s="36">
        <f>'SGTO POAI 2022'!BF71+'SGTO POAI 2022'!BF72+'SGTO POAI 2022'!BF73+'SGTO POAI 2022'!BF74+'SGTO POAI 2022'!BF75</f>
        <v>467236782.15000004</v>
      </c>
      <c r="F74" s="211">
        <f t="shared" si="12"/>
        <v>1</v>
      </c>
      <c r="G74" s="36">
        <f>'SGTO POAI 2022'!BG71+'SGTO POAI 2022'!BG72+'SGTO POAI 2022'!BG73+'SGTO POAI 2022'!BG74+'SGTO POAI 2022'!BG75</f>
        <v>443615178</v>
      </c>
      <c r="H74" s="155">
        <f t="shared" si="13"/>
        <v>0.9494440398264351</v>
      </c>
      <c r="I74" s="36">
        <f>'SGTO POAI 2022'!BH71+'SGTO POAI 2022'!BH72+'SGTO POAI 2022'!BH73+'SGTO POAI 2022'!BH74+'SGTO POAI 2022'!BH75</f>
        <v>443615178</v>
      </c>
      <c r="J74" s="249">
        <f t="shared" si="14"/>
        <v>0.9494440398264351</v>
      </c>
    </row>
    <row r="75" spans="1:10" s="63" customFormat="1" x14ac:dyDescent="0.2">
      <c r="A75" s="59"/>
      <c r="B75" s="59"/>
      <c r="C75" s="59"/>
      <c r="D75" s="60"/>
      <c r="E75" s="62"/>
      <c r="F75" s="205"/>
      <c r="G75" s="62"/>
      <c r="I75" s="62"/>
      <c r="J75" s="205"/>
    </row>
    <row r="76" spans="1:10" ht="24" customHeight="1" x14ac:dyDescent="0.2">
      <c r="A76" s="96" t="s">
        <v>300</v>
      </c>
      <c r="B76" s="105"/>
      <c r="C76" s="105"/>
      <c r="D76" s="106"/>
      <c r="E76" s="107">
        <f t="shared" ref="E76:I77" si="16">E77</f>
        <v>3921066964.4700003</v>
      </c>
      <c r="F76" s="203">
        <f>E76/E76</f>
        <v>1</v>
      </c>
      <c r="G76" s="107">
        <f t="shared" si="16"/>
        <v>3451106037.3400002</v>
      </c>
      <c r="H76" s="155">
        <f>G76/E76</f>
        <v>0.88014463119644182</v>
      </c>
      <c r="I76" s="107">
        <f t="shared" si="16"/>
        <v>3437118732.5</v>
      </c>
      <c r="J76" s="249">
        <f t="shared" ref="J76:J80" si="17">I76/E76</f>
        <v>0.87657741212909523</v>
      </c>
    </row>
    <row r="77" spans="1:10" ht="24" customHeight="1" x14ac:dyDescent="0.2">
      <c r="A77" s="143">
        <v>1</v>
      </c>
      <c r="B77" s="144" t="s">
        <v>112</v>
      </c>
      <c r="C77" s="144"/>
      <c r="D77" s="144"/>
      <c r="E77" s="145">
        <f t="shared" si="16"/>
        <v>3921066964.4700003</v>
      </c>
      <c r="F77" s="210">
        <f>E77/E77</f>
        <v>1</v>
      </c>
      <c r="G77" s="145">
        <f t="shared" si="16"/>
        <v>3451106037.3400002</v>
      </c>
      <c r="H77" s="155">
        <f>G77/E77</f>
        <v>0.88014463119644182</v>
      </c>
      <c r="I77" s="145">
        <f t="shared" si="16"/>
        <v>3437118732.5</v>
      </c>
      <c r="J77" s="249">
        <f t="shared" si="17"/>
        <v>0.87657741212909523</v>
      </c>
    </row>
    <row r="78" spans="1:10" ht="24" customHeight="1" x14ac:dyDescent="0.2">
      <c r="A78" s="23"/>
      <c r="B78" s="95">
        <v>33</v>
      </c>
      <c r="C78" s="108" t="s">
        <v>132</v>
      </c>
      <c r="D78" s="97"/>
      <c r="E78" s="98">
        <f>SUM(E79:E80)</f>
        <v>3921066964.4700003</v>
      </c>
      <c r="F78" s="203">
        <f>E78/E78</f>
        <v>1</v>
      </c>
      <c r="G78" s="98">
        <f>SUM(G79:G80)</f>
        <v>3451106037.3400002</v>
      </c>
      <c r="H78" s="155">
        <f>G78/E78</f>
        <v>0.88014463119644182</v>
      </c>
      <c r="I78" s="98">
        <f>SUM(I79:I80)</f>
        <v>3437118732.5</v>
      </c>
      <c r="J78" s="249">
        <f t="shared" si="17"/>
        <v>0.87657741212909523</v>
      </c>
    </row>
    <row r="79" spans="1:10" s="16" customFormat="1" ht="46.5" customHeight="1" x14ac:dyDescent="0.2">
      <c r="A79" s="72"/>
      <c r="B79" s="73"/>
      <c r="C79" s="37">
        <v>3301</v>
      </c>
      <c r="D79" s="39" t="s">
        <v>133</v>
      </c>
      <c r="E79" s="47">
        <f>'SGTO POAI 2022'!BF76+'SGTO POAI 2022'!BF77+'SGTO POAI 2022'!BF78+'SGTO POAI 2022'!BF79+'SGTO POAI 2022'!BF80+'SGTO POAI 2022'!BF81+'SGTO POAI 2022'!BF82+'SGTO POAI 2022'!BF83</f>
        <v>3640173109.1700001</v>
      </c>
      <c r="F79" s="211">
        <f>E79/E79</f>
        <v>1</v>
      </c>
      <c r="G79" s="47">
        <f>'SGTO POAI 2022'!BG76+'SGTO POAI 2022'!BG77+'SGTO POAI 2022'!BG78+'SGTO POAI 2022'!BG79+'SGTO POAI 2022'!BG80+'SGTO POAI 2022'!BG81+'SGTO POAI 2022'!BG82+'SGTO POAI 2022'!BG83</f>
        <v>3182888448.3400002</v>
      </c>
      <c r="H79" s="155">
        <f>G79/E79</f>
        <v>0.874378320174376</v>
      </c>
      <c r="I79" s="47">
        <f>'SGTO POAI 2022'!BH76+'SGTO POAI 2022'!BH77+'SGTO POAI 2022'!BH78+'SGTO POAI 2022'!BH79+'SGTO POAI 2022'!BH80+'SGTO POAI 2022'!BH81+'SGTO POAI 2022'!BH82+'SGTO POAI 2022'!BH83</f>
        <v>3168901143.5</v>
      </c>
      <c r="J79" s="249">
        <f t="shared" si="17"/>
        <v>0.87053583674830914</v>
      </c>
    </row>
    <row r="80" spans="1:10" s="16" customFormat="1" ht="51" customHeight="1" x14ac:dyDescent="0.2">
      <c r="A80" s="74"/>
      <c r="B80" s="57"/>
      <c r="C80" s="37">
        <v>3302</v>
      </c>
      <c r="D80" s="39" t="s">
        <v>324</v>
      </c>
      <c r="E80" s="36">
        <f>'SGTO POAI 2022'!BF84+'SGTO POAI 2022'!BF85</f>
        <v>280893855.30000001</v>
      </c>
      <c r="F80" s="211">
        <f>E80/E80</f>
        <v>1</v>
      </c>
      <c r="G80" s="36">
        <f>'SGTO POAI 2022'!BG84+'SGTO POAI 2022'!BG85</f>
        <v>268217589</v>
      </c>
      <c r="H80" s="155">
        <f>G80/E80</f>
        <v>0.95487168529741773</v>
      </c>
      <c r="I80" s="36">
        <f>'SGTO POAI 2022'!BH84+'SGTO POAI 2022'!BH85</f>
        <v>268217589</v>
      </c>
      <c r="J80" s="249">
        <f t="shared" si="17"/>
        <v>0.95487168529741773</v>
      </c>
    </row>
    <row r="81" spans="1:10" s="63" customFormat="1" x14ac:dyDescent="0.2">
      <c r="A81" s="59"/>
      <c r="B81" s="59"/>
      <c r="C81" s="59"/>
      <c r="D81" s="60"/>
      <c r="E81" s="62"/>
      <c r="F81" s="205"/>
      <c r="G81" s="62"/>
      <c r="I81" s="62"/>
      <c r="J81" s="205"/>
    </row>
    <row r="82" spans="1:10" ht="24" customHeight="1" x14ac:dyDescent="0.2">
      <c r="A82" s="96" t="s">
        <v>332</v>
      </c>
      <c r="B82" s="105"/>
      <c r="C82" s="105"/>
      <c r="D82" s="106"/>
      <c r="E82" s="107">
        <f>E83</f>
        <v>3366376735.1100001</v>
      </c>
      <c r="F82" s="203">
        <f t="shared" ref="F82:F87" si="18">E82/E82</f>
        <v>1</v>
      </c>
      <c r="G82" s="107">
        <f>G83</f>
        <v>2611899246.9899998</v>
      </c>
      <c r="H82" s="155">
        <f t="shared" ref="H82:H87" si="19">G82/E82</f>
        <v>0.77587847484475114</v>
      </c>
      <c r="I82" s="107">
        <f>I83</f>
        <v>2309275832.9499998</v>
      </c>
      <c r="J82" s="249">
        <f t="shared" ref="J82:J87" si="20">I82/E82</f>
        <v>0.68598259038126985</v>
      </c>
    </row>
    <row r="83" spans="1:10" ht="24" customHeight="1" x14ac:dyDescent="0.2">
      <c r="A83" s="143">
        <v>2</v>
      </c>
      <c r="B83" s="144" t="s">
        <v>333</v>
      </c>
      <c r="C83" s="144"/>
      <c r="D83" s="144"/>
      <c r="E83" s="145">
        <f>E84+E86</f>
        <v>3366376735.1100001</v>
      </c>
      <c r="F83" s="210">
        <f t="shared" si="18"/>
        <v>1</v>
      </c>
      <c r="G83" s="145">
        <f>G84+G86</f>
        <v>2611899246.9899998</v>
      </c>
      <c r="H83" s="155">
        <f t="shared" si="19"/>
        <v>0.77587847484475114</v>
      </c>
      <c r="I83" s="145">
        <f>I84+I86</f>
        <v>2309275832.9499998</v>
      </c>
      <c r="J83" s="249">
        <f t="shared" si="20"/>
        <v>0.68598259038126985</v>
      </c>
    </row>
    <row r="84" spans="1:10" ht="24" customHeight="1" x14ac:dyDescent="0.2">
      <c r="A84" s="23"/>
      <c r="B84" s="95">
        <v>35</v>
      </c>
      <c r="C84" s="108" t="s">
        <v>334</v>
      </c>
      <c r="D84" s="97"/>
      <c r="E84" s="98">
        <f>E85</f>
        <v>2799506735.1100001</v>
      </c>
      <c r="F84" s="203">
        <f t="shared" si="18"/>
        <v>1</v>
      </c>
      <c r="G84" s="98">
        <f>G85</f>
        <v>2346090388.9899998</v>
      </c>
      <c r="H84" s="155">
        <f t="shared" si="19"/>
        <v>0.83803705830263542</v>
      </c>
      <c r="I84" s="98">
        <f>I85</f>
        <v>2097994036.9499998</v>
      </c>
      <c r="J84" s="249">
        <f t="shared" si="20"/>
        <v>0.7494156061987699</v>
      </c>
    </row>
    <row r="85" spans="1:10" s="16" customFormat="1" ht="53.25" customHeight="1" x14ac:dyDescent="0.2">
      <c r="A85" s="55"/>
      <c r="B85" s="37"/>
      <c r="C85" s="24">
        <v>3502</v>
      </c>
      <c r="D85" s="39" t="s">
        <v>335</v>
      </c>
      <c r="E85" s="47">
        <f>'SGTO POAI 2022'!BF86+'SGTO POAI 2022'!BF87+'SGTO POAI 2022'!BF88+'SGTO POAI 2022'!BF89+'SGTO POAI 2022'!BF90+'SGTO POAI 2022'!BF91+'SGTO POAI 2022'!BF96</f>
        <v>2799506735.1100001</v>
      </c>
      <c r="F85" s="211">
        <f t="shared" si="18"/>
        <v>1</v>
      </c>
      <c r="G85" s="47">
        <f>'SGTO POAI 2022'!BG86+'SGTO POAI 2022'!BG87+'SGTO POAI 2022'!BG88+'SGTO POAI 2022'!BG89+'SGTO POAI 2022'!BG90+'SGTO POAI 2022'!BG91+'SGTO POAI 2022'!AU96</f>
        <v>2346090388.9899998</v>
      </c>
      <c r="H85" s="155">
        <f t="shared" si="19"/>
        <v>0.83803705830263542</v>
      </c>
      <c r="I85" s="47">
        <f>'SGTO POAI 2022'!BH86+'SGTO POAI 2022'!BH87+'SGTO POAI 2022'!BH88+'SGTO POAI 2022'!BH89+'SGTO POAI 2022'!BH90+'SGTO POAI 2022'!BH91+'SGTO POAI 2022'!AV96</f>
        <v>2097994036.9499998</v>
      </c>
      <c r="J85" s="249">
        <f t="shared" si="20"/>
        <v>0.7494156061987699</v>
      </c>
    </row>
    <row r="86" spans="1:10" ht="24" customHeight="1" x14ac:dyDescent="0.2">
      <c r="A86" s="65"/>
      <c r="B86" s="95">
        <v>36</v>
      </c>
      <c r="C86" s="108" t="s">
        <v>358</v>
      </c>
      <c r="D86" s="97"/>
      <c r="E86" s="98">
        <f>E87</f>
        <v>566870000</v>
      </c>
      <c r="F86" s="203">
        <f t="shared" si="18"/>
        <v>1</v>
      </c>
      <c r="G86" s="98">
        <f>G87</f>
        <v>265808858</v>
      </c>
      <c r="H86" s="155">
        <f t="shared" si="19"/>
        <v>0.46890620071621358</v>
      </c>
      <c r="I86" s="98">
        <f>I87</f>
        <v>211281796</v>
      </c>
      <c r="J86" s="249">
        <f t="shared" si="20"/>
        <v>0.37271648878931679</v>
      </c>
    </row>
    <row r="87" spans="1:10" s="16" customFormat="1" ht="53.25" customHeight="1" x14ac:dyDescent="0.2">
      <c r="A87" s="57"/>
      <c r="B87" s="37"/>
      <c r="C87" s="24">
        <v>3602</v>
      </c>
      <c r="D87" s="39" t="s">
        <v>359</v>
      </c>
      <c r="E87" s="47">
        <f>'SGTO POAI 2022'!BF92+'SGTO POAI 2022'!BF93+'SGTO POAI 2022'!BF94+'SGTO POAI 2022'!BF95</f>
        <v>566870000</v>
      </c>
      <c r="F87" s="211">
        <f t="shared" si="18"/>
        <v>1</v>
      </c>
      <c r="G87" s="47">
        <f>'SGTO POAI 2022'!BG92+'SGTO POAI 2022'!BG93+'SGTO POAI 2022'!BG94+'SGTO POAI 2022'!BG95</f>
        <v>265808858</v>
      </c>
      <c r="H87" s="155">
        <f t="shared" si="19"/>
        <v>0.46890620071621358</v>
      </c>
      <c r="I87" s="47">
        <f>'SGTO POAI 2022'!BH92+'SGTO POAI 2022'!BH93+'SGTO POAI 2022'!BH94+'SGTO POAI 2022'!BH95</f>
        <v>211281796</v>
      </c>
      <c r="J87" s="249">
        <f t="shared" si="20"/>
        <v>0.37271648878931679</v>
      </c>
    </row>
    <row r="88" spans="1:10" s="63" customFormat="1" x14ac:dyDescent="0.2">
      <c r="A88" s="59"/>
      <c r="B88" s="59"/>
      <c r="C88" s="59"/>
      <c r="D88" s="60"/>
      <c r="E88" s="62"/>
      <c r="F88" s="205"/>
      <c r="G88" s="62"/>
      <c r="I88" s="62"/>
      <c r="J88" s="205"/>
    </row>
    <row r="89" spans="1:10" ht="24" customHeight="1" x14ac:dyDescent="0.2">
      <c r="A89" s="96" t="s">
        <v>374</v>
      </c>
      <c r="B89" s="105"/>
      <c r="C89" s="105"/>
      <c r="D89" s="106"/>
      <c r="E89" s="107">
        <f>E90+E101</f>
        <v>4664234480.8400002</v>
      </c>
      <c r="F89" s="203">
        <f t="shared" ref="F89:F107" si="21">E89/E89</f>
        <v>1</v>
      </c>
      <c r="G89" s="107">
        <f>G90+G101</f>
        <v>3043611763.2299995</v>
      </c>
      <c r="H89" s="155">
        <f t="shared" ref="H89:H107" si="22">G89/E89</f>
        <v>0.65254261459896923</v>
      </c>
      <c r="I89" s="107">
        <f>I90+I101</f>
        <v>3015547168.5899997</v>
      </c>
      <c r="J89" s="249">
        <f t="shared" ref="J89:J107" si="23">I89/E89</f>
        <v>0.64652563694587628</v>
      </c>
    </row>
    <row r="90" spans="1:10" ht="24" customHeight="1" x14ac:dyDescent="0.2">
      <c r="A90" s="143">
        <v>2</v>
      </c>
      <c r="B90" s="144" t="s">
        <v>333</v>
      </c>
      <c r="C90" s="144"/>
      <c r="D90" s="144"/>
      <c r="E90" s="145">
        <f>E91+E99</f>
        <v>2142638000.0000002</v>
      </c>
      <c r="F90" s="210">
        <f t="shared" si="21"/>
        <v>1</v>
      </c>
      <c r="G90" s="145">
        <f>G91+G99</f>
        <v>1993005795.8999996</v>
      </c>
      <c r="H90" s="155">
        <f t="shared" si="22"/>
        <v>0.9301644962424821</v>
      </c>
      <c r="I90" s="145">
        <f>I91+I99</f>
        <v>1988523868.2599998</v>
      </c>
      <c r="J90" s="249">
        <f t="shared" si="23"/>
        <v>0.92807271609109865</v>
      </c>
    </row>
    <row r="91" spans="1:10" ht="24" customHeight="1" x14ac:dyDescent="0.2">
      <c r="A91" s="23"/>
      <c r="B91" s="95">
        <v>17</v>
      </c>
      <c r="C91" s="108" t="s">
        <v>375</v>
      </c>
      <c r="D91" s="97"/>
      <c r="E91" s="98">
        <f>SUM(E92:E98)</f>
        <v>2097080000.0000002</v>
      </c>
      <c r="F91" s="203">
        <f t="shared" si="21"/>
        <v>1</v>
      </c>
      <c r="G91" s="98">
        <f>SUM(G92:G98)</f>
        <v>1947447795.8999996</v>
      </c>
      <c r="H91" s="155">
        <f t="shared" si="22"/>
        <v>0.92864735532263876</v>
      </c>
      <c r="I91" s="98">
        <f>SUM(I92:I98)</f>
        <v>1942965868.2599998</v>
      </c>
      <c r="J91" s="249">
        <f t="shared" si="23"/>
        <v>0.92651013230778012</v>
      </c>
    </row>
    <row r="92" spans="1:10" ht="57.75" customHeight="1" x14ac:dyDescent="0.2">
      <c r="A92" s="64"/>
      <c r="B92" s="75"/>
      <c r="C92" s="37">
        <v>1702</v>
      </c>
      <c r="D92" s="39" t="s">
        <v>376</v>
      </c>
      <c r="E92" s="47">
        <f>'SGTO POAI 2022'!BF97+'SGTO POAI 2022'!BF98+'SGTO POAI 2022'!BF99+'SGTO POAI 2022'!BF100+'SGTO POAI 2022'!BF101+'SGTO POAI 2022'!BF102+'SGTO POAI 2022'!BF103+'SGTO POAI 2022'!BF104+'SGTO POAI 2022'!BF105+'SGTO POAI 2022'!BF106+'SGTO POAI 2022'!BF107</f>
        <v>1617357500.0000002</v>
      </c>
      <c r="F92" s="211">
        <f t="shared" si="21"/>
        <v>1</v>
      </c>
      <c r="G92" s="47">
        <f>'SGTO POAI 2022'!BG97+'SGTO POAI 2022'!BG98+'SGTO POAI 2022'!BG99+'SGTO POAI 2022'!BG100+'SGTO POAI 2022'!BG101+'SGTO POAI 2022'!BG102+'SGTO POAI 2022'!BG103+'SGTO POAI 2022'!BG104+'SGTO POAI 2022'!BG105+'SGTO POAI 2022'!BG106+'SGTO POAI 2022'!BG107</f>
        <v>1575038626.7799997</v>
      </c>
      <c r="H92" s="155">
        <f t="shared" si="22"/>
        <v>0.973834558395407</v>
      </c>
      <c r="I92" s="47">
        <f>'SGTO POAI 2022'!BH97+'SGTO POAI 2022'!BH98+'SGTO POAI 2022'!BH99+'SGTO POAI 2022'!BH100+'SGTO POAI 2022'!BH101+'SGTO POAI 2022'!BH102+'SGTO POAI 2022'!BH103+'SGTO POAI 2022'!BH104+'SGTO POAI 2022'!BH105+'SGTO POAI 2022'!BH106+'SGTO POAI 2022'!BH107</f>
        <v>1575038626.7799997</v>
      </c>
      <c r="J92" s="249">
        <f t="shared" si="23"/>
        <v>0.973834558395407</v>
      </c>
    </row>
    <row r="93" spans="1:10" ht="54" customHeight="1" x14ac:dyDescent="0.2">
      <c r="A93" s="64"/>
      <c r="B93" s="69"/>
      <c r="C93" s="37">
        <v>1703</v>
      </c>
      <c r="D93" s="39" t="s">
        <v>417</v>
      </c>
      <c r="E93" s="47">
        <f>'SGTO POAI 2022'!BF108</f>
        <v>50795000</v>
      </c>
      <c r="F93" s="211">
        <f t="shared" si="21"/>
        <v>1</v>
      </c>
      <c r="G93" s="47">
        <f>'SGTO POAI 2022'!BG108</f>
        <v>45168500</v>
      </c>
      <c r="H93" s="155">
        <f t="shared" si="22"/>
        <v>0.88923122354562456</v>
      </c>
      <c r="I93" s="47">
        <f>'SGTO POAI 2022'!BH108</f>
        <v>45168500</v>
      </c>
      <c r="J93" s="249">
        <f t="shared" si="23"/>
        <v>0.88923122354562456</v>
      </c>
    </row>
    <row r="94" spans="1:10" ht="62.25" customHeight="1" x14ac:dyDescent="0.2">
      <c r="A94" s="64"/>
      <c r="B94" s="69"/>
      <c r="C94" s="37">
        <v>1704</v>
      </c>
      <c r="D94" s="39" t="s">
        <v>423</v>
      </c>
      <c r="E94" s="47">
        <f>'SGTO POAI 2022'!BF109+'SGTO POAI 2022'!BF110</f>
        <v>85117500</v>
      </c>
      <c r="F94" s="211">
        <f t="shared" si="21"/>
        <v>1</v>
      </c>
      <c r="G94" s="47">
        <f>'SGTO POAI 2022'!BG109+'SGTO POAI 2022'!BG110</f>
        <v>80774833.289999992</v>
      </c>
      <c r="H94" s="155">
        <f t="shared" si="22"/>
        <v>0.94898033060181508</v>
      </c>
      <c r="I94" s="47">
        <f>'SGTO POAI 2022'!BH109+'SGTO POAI 2022'!BH110</f>
        <v>80774833.289999992</v>
      </c>
      <c r="J94" s="249">
        <f t="shared" si="23"/>
        <v>0.94898033060181508</v>
      </c>
    </row>
    <row r="95" spans="1:10" ht="42" customHeight="1" x14ac:dyDescent="0.2">
      <c r="A95" s="64"/>
      <c r="B95" s="69"/>
      <c r="C95" s="37">
        <v>1706</v>
      </c>
      <c r="D95" s="39" t="s">
        <v>431</v>
      </c>
      <c r="E95" s="47">
        <f>'SGTO POAI 2022'!BF111</f>
        <v>145000000</v>
      </c>
      <c r="F95" s="211">
        <f t="shared" si="21"/>
        <v>1</v>
      </c>
      <c r="G95" s="47">
        <f>'SGTO POAI 2022'!BG111</f>
        <v>144967800</v>
      </c>
      <c r="H95" s="155">
        <f t="shared" si="22"/>
        <v>0.99977793103448276</v>
      </c>
      <c r="I95" s="47">
        <f>'SGTO POAI 2022'!BH111</f>
        <v>144967800</v>
      </c>
      <c r="J95" s="249">
        <f t="shared" si="23"/>
        <v>0.99977793103448276</v>
      </c>
    </row>
    <row r="96" spans="1:10" ht="57" customHeight="1" x14ac:dyDescent="0.2">
      <c r="A96" s="64"/>
      <c r="B96" s="69"/>
      <c r="C96" s="37">
        <v>1707</v>
      </c>
      <c r="D96" s="39" t="s">
        <v>437</v>
      </c>
      <c r="E96" s="47">
        <f>'SGTO POAI 2022'!BF112</f>
        <v>43000000</v>
      </c>
      <c r="F96" s="211">
        <f t="shared" si="21"/>
        <v>1</v>
      </c>
      <c r="G96" s="47">
        <f>'SGTO POAI 2022'!BG112</f>
        <v>43000000</v>
      </c>
      <c r="H96" s="155">
        <f t="shared" si="22"/>
        <v>1</v>
      </c>
      <c r="I96" s="47">
        <f>'SGTO POAI 2022'!BH112</f>
        <v>43000000</v>
      </c>
      <c r="J96" s="249">
        <f t="shared" si="23"/>
        <v>1</v>
      </c>
    </row>
    <row r="97" spans="1:10" ht="60.75" customHeight="1" x14ac:dyDescent="0.2">
      <c r="A97" s="64"/>
      <c r="B97" s="69"/>
      <c r="C97" s="37">
        <v>1708</v>
      </c>
      <c r="D97" s="39" t="s">
        <v>442</v>
      </c>
      <c r="E97" s="47">
        <f>'SGTO POAI 2022'!BF113+'SGTO POAI 2022'!BF114</f>
        <v>47810000</v>
      </c>
      <c r="F97" s="211">
        <f t="shared" si="21"/>
        <v>1</v>
      </c>
      <c r="G97" s="47">
        <f>'SGTO POAI 2022'!BG113+'SGTO POAI 2022'!BG114</f>
        <v>34204398.829999998</v>
      </c>
      <c r="H97" s="155">
        <f t="shared" si="22"/>
        <v>0.71542352708638357</v>
      </c>
      <c r="I97" s="47">
        <f>'SGTO POAI 2022'!BH113+'SGTO POAI 2022'!BH114</f>
        <v>29722471.190000001</v>
      </c>
      <c r="J97" s="249">
        <f t="shared" si="23"/>
        <v>0.62167896235097264</v>
      </c>
    </row>
    <row r="98" spans="1:10" ht="42" customHeight="1" x14ac:dyDescent="0.2">
      <c r="A98" s="64"/>
      <c r="B98" s="71"/>
      <c r="C98" s="37">
        <v>1709</v>
      </c>
      <c r="D98" s="39" t="s">
        <v>450</v>
      </c>
      <c r="E98" s="47">
        <f>'SGTO POAI 2022'!BF115+'SGTO POAI 2022'!BF116+'SGTO POAI 2022'!BF117</f>
        <v>108000000</v>
      </c>
      <c r="F98" s="211">
        <f t="shared" si="21"/>
        <v>1</v>
      </c>
      <c r="G98" s="47">
        <f>'SGTO POAI 2022'!BG115+'SGTO POAI 2022'!BG116+'SGTO POAI 2022'!BG117</f>
        <v>24293637</v>
      </c>
      <c r="H98" s="155">
        <f t="shared" si="22"/>
        <v>0.22494108333333335</v>
      </c>
      <c r="I98" s="47">
        <f>'SGTO POAI 2022'!BH115+'SGTO POAI 2022'!BH116+'SGTO POAI 2022'!BH117</f>
        <v>24293637</v>
      </c>
      <c r="J98" s="249">
        <f t="shared" si="23"/>
        <v>0.22494108333333335</v>
      </c>
    </row>
    <row r="99" spans="1:10" ht="24" customHeight="1" x14ac:dyDescent="0.2">
      <c r="A99" s="65"/>
      <c r="B99" s="95">
        <v>35</v>
      </c>
      <c r="C99" s="108" t="s">
        <v>334</v>
      </c>
      <c r="D99" s="97"/>
      <c r="E99" s="98">
        <f>E100</f>
        <v>45558000</v>
      </c>
      <c r="F99" s="203">
        <f t="shared" si="21"/>
        <v>1</v>
      </c>
      <c r="G99" s="98">
        <f>G100</f>
        <v>45558000</v>
      </c>
      <c r="H99" s="155">
        <f t="shared" si="22"/>
        <v>1</v>
      </c>
      <c r="I99" s="98">
        <f>I100</f>
        <v>45558000</v>
      </c>
      <c r="J99" s="249">
        <f t="shared" si="23"/>
        <v>1</v>
      </c>
    </row>
    <row r="100" spans="1:10" ht="73.5" customHeight="1" x14ac:dyDescent="0.2">
      <c r="A100" s="49"/>
      <c r="B100" s="61"/>
      <c r="C100" s="21">
        <v>3502</v>
      </c>
      <c r="D100" s="39" t="s">
        <v>335</v>
      </c>
      <c r="E100" s="47">
        <f>'SGTO POAI 2022'!BF118+'SGTO POAI 2022'!BF119</f>
        <v>45558000</v>
      </c>
      <c r="F100" s="211">
        <f t="shared" si="21"/>
        <v>1</v>
      </c>
      <c r="G100" s="47">
        <f>'SGTO POAI 2022'!BG118+'SGTO POAI 2022'!BG119</f>
        <v>45558000</v>
      </c>
      <c r="H100" s="155">
        <f t="shared" si="22"/>
        <v>1</v>
      </c>
      <c r="I100" s="47">
        <f>'SGTO POAI 2022'!BH118+'SGTO POAI 2022'!BH119</f>
        <v>45558000</v>
      </c>
      <c r="J100" s="249">
        <f t="shared" si="23"/>
        <v>1</v>
      </c>
    </row>
    <row r="101" spans="1:10" ht="24" customHeight="1" x14ac:dyDescent="0.2">
      <c r="A101" s="143">
        <v>3</v>
      </c>
      <c r="B101" s="144" t="s">
        <v>150</v>
      </c>
      <c r="C101" s="144"/>
      <c r="D101" s="144"/>
      <c r="E101" s="145">
        <f>E102</f>
        <v>2521596480.8400002</v>
      </c>
      <c r="F101" s="210">
        <f t="shared" si="21"/>
        <v>1</v>
      </c>
      <c r="G101" s="145">
        <f>G102</f>
        <v>1050605967.3299999</v>
      </c>
      <c r="H101" s="155">
        <f t="shared" si="22"/>
        <v>0.41664317638166259</v>
      </c>
      <c r="I101" s="145">
        <f>I102</f>
        <v>1027023300.3299999</v>
      </c>
      <c r="J101" s="249">
        <f t="shared" si="23"/>
        <v>0.40729090008401164</v>
      </c>
    </row>
    <row r="102" spans="1:10" ht="24" customHeight="1" x14ac:dyDescent="0.2">
      <c r="A102" s="23"/>
      <c r="B102" s="95">
        <v>32</v>
      </c>
      <c r="C102" s="108" t="s">
        <v>170</v>
      </c>
      <c r="D102" s="97"/>
      <c r="E102" s="98">
        <f>SUM(E103:E107)</f>
        <v>2521596480.8400002</v>
      </c>
      <c r="F102" s="203">
        <f t="shared" si="21"/>
        <v>1</v>
      </c>
      <c r="G102" s="98">
        <f>SUM(G103:G107)</f>
        <v>1050605967.3299999</v>
      </c>
      <c r="H102" s="155">
        <f t="shared" si="22"/>
        <v>0.41664317638166259</v>
      </c>
      <c r="I102" s="98">
        <f>SUM(I103:I107)</f>
        <v>1027023300.3299999</v>
      </c>
      <c r="J102" s="249">
        <f t="shared" si="23"/>
        <v>0.40729090008401164</v>
      </c>
    </row>
    <row r="103" spans="1:10" s="16" customFormat="1" ht="52.5" customHeight="1" x14ac:dyDescent="0.2">
      <c r="A103" s="72"/>
      <c r="B103" s="73"/>
      <c r="C103" s="37" t="s">
        <v>465</v>
      </c>
      <c r="D103" s="39" t="s">
        <v>466</v>
      </c>
      <c r="E103" s="47">
        <f>'SGTO POAI 2022'!BF120+'SGTO POAI 2022'!BF121</f>
        <v>112775000</v>
      </c>
      <c r="F103" s="211">
        <f t="shared" si="21"/>
        <v>1</v>
      </c>
      <c r="G103" s="47">
        <f>'SGTO POAI 2022'!BG120+'SGTO POAI 2022'!BG121</f>
        <v>53930000</v>
      </c>
      <c r="H103" s="155">
        <f t="shared" si="22"/>
        <v>0.47820882287741079</v>
      </c>
      <c r="I103" s="47">
        <f>'SGTO POAI 2022'!BH120+'SGTO POAI 2022'!BH121</f>
        <v>53930000</v>
      </c>
      <c r="J103" s="249">
        <f t="shared" si="23"/>
        <v>0.47820882287741079</v>
      </c>
    </row>
    <row r="104" spans="1:10" s="16" customFormat="1" ht="52.5" customHeight="1" x14ac:dyDescent="0.2">
      <c r="A104" s="72"/>
      <c r="B104" s="55"/>
      <c r="C104" s="37">
        <v>3202</v>
      </c>
      <c r="D104" s="39" t="s">
        <v>475</v>
      </c>
      <c r="E104" s="47">
        <f>'SGTO POAI 2022'!BF122+'SGTO POAI 2022'!BF123+'SGTO POAI 2022'!BF124+'SGTO POAI 2022'!BF125+'SGTO POAI 2022'!BF126</f>
        <v>1906851480.8400002</v>
      </c>
      <c r="F104" s="211">
        <f t="shared" si="21"/>
        <v>1</v>
      </c>
      <c r="G104" s="47">
        <f>'SGTO POAI 2022'!BG122+'SGTO POAI 2022'!BG123+'SGTO POAI 2022'!BG124+'SGTO POAI 2022'!BG125+'SGTO POAI 2022'!BG126</f>
        <v>589232333.32999992</v>
      </c>
      <c r="H104" s="155">
        <f t="shared" si="22"/>
        <v>0.30900798475948066</v>
      </c>
      <c r="I104" s="47">
        <f>'SGTO POAI 2022'!BH122+'SGTO POAI 2022'!BH123+'SGTO POAI 2022'!BH124+'SGTO POAI 2022'!BH125+'SGTO POAI 2022'!BH126</f>
        <v>565649666.32999992</v>
      </c>
      <c r="J104" s="249">
        <f t="shared" si="23"/>
        <v>0.29664065188801264</v>
      </c>
    </row>
    <row r="105" spans="1:10" s="16" customFormat="1" ht="52.5" customHeight="1" x14ac:dyDescent="0.2">
      <c r="A105" s="72"/>
      <c r="B105" s="55"/>
      <c r="C105" s="37" t="s">
        <v>498</v>
      </c>
      <c r="D105" s="39" t="s">
        <v>499</v>
      </c>
      <c r="E105" s="47">
        <f>'SGTO POAI 2022'!BF127</f>
        <v>136200000</v>
      </c>
      <c r="F105" s="211">
        <f t="shared" si="21"/>
        <v>1</v>
      </c>
      <c r="G105" s="47">
        <f>'SGTO POAI 2022'!BG127</f>
        <v>134756534</v>
      </c>
      <c r="H105" s="155">
        <f t="shared" si="22"/>
        <v>0.98940186490455218</v>
      </c>
      <c r="I105" s="47">
        <f>'SGTO POAI 2022'!BH127</f>
        <v>134756534</v>
      </c>
      <c r="J105" s="249">
        <f t="shared" si="23"/>
        <v>0.98940186490455218</v>
      </c>
    </row>
    <row r="106" spans="1:10" s="16" customFormat="1" ht="52.5" customHeight="1" x14ac:dyDescent="0.2">
      <c r="A106" s="72"/>
      <c r="B106" s="55"/>
      <c r="C106" s="37">
        <v>3205</v>
      </c>
      <c r="D106" s="39" t="s">
        <v>171</v>
      </c>
      <c r="E106" s="47">
        <f>'SGTO POAI 2022'!BF128+'SGTO POAI 2022'!BF129+'SGTO POAI 2022'!BF130</f>
        <v>167770000</v>
      </c>
      <c r="F106" s="211">
        <f t="shared" si="21"/>
        <v>1</v>
      </c>
      <c r="G106" s="47">
        <f>'SGTO POAI 2022'!BG128+'SGTO POAI 2022'!BG129+'SGTO POAI 2022'!BG130</f>
        <v>93080000</v>
      </c>
      <c r="H106" s="155">
        <f t="shared" si="22"/>
        <v>0.55480717649162548</v>
      </c>
      <c r="I106" s="47">
        <f>'SGTO POAI 2022'!BH128+'SGTO POAI 2022'!BH129+'SGTO POAI 2022'!BH130</f>
        <v>93080000</v>
      </c>
      <c r="J106" s="249">
        <f t="shared" si="23"/>
        <v>0.55480717649162548</v>
      </c>
    </row>
    <row r="107" spans="1:10" s="16" customFormat="1" ht="52.5" customHeight="1" x14ac:dyDescent="0.2">
      <c r="A107" s="74"/>
      <c r="B107" s="57"/>
      <c r="C107" s="37" t="s">
        <v>514</v>
      </c>
      <c r="D107" s="39" t="s">
        <v>515</v>
      </c>
      <c r="E107" s="47">
        <f>'SGTO POAI 2022'!BF131+'SGTO POAI 2022'!BF132+'SGTO POAI 2022'!BF133</f>
        <v>198000000</v>
      </c>
      <c r="F107" s="211">
        <f t="shared" si="21"/>
        <v>1</v>
      </c>
      <c r="G107" s="47">
        <f>'SGTO POAI 2022'!BG131+'SGTO POAI 2022'!BG132+'SGTO POAI 2022'!BG133</f>
        <v>179607100</v>
      </c>
      <c r="H107" s="155">
        <f t="shared" si="22"/>
        <v>0.90710656565656567</v>
      </c>
      <c r="I107" s="47">
        <f>'SGTO POAI 2022'!BH131+'SGTO POAI 2022'!BH132+'SGTO POAI 2022'!BH133</f>
        <v>179607100</v>
      </c>
      <c r="J107" s="249">
        <f t="shared" si="23"/>
        <v>0.90710656565656567</v>
      </c>
    </row>
    <row r="108" spans="1:10" s="63" customFormat="1" x14ac:dyDescent="0.2">
      <c r="A108" s="59"/>
      <c r="B108" s="59"/>
      <c r="C108" s="59"/>
      <c r="D108" s="60"/>
      <c r="E108" s="62"/>
      <c r="F108" s="205"/>
      <c r="G108" s="62"/>
      <c r="I108" s="62"/>
      <c r="J108" s="205"/>
    </row>
    <row r="109" spans="1:10" ht="24" customHeight="1" x14ac:dyDescent="0.2">
      <c r="A109" s="96" t="s">
        <v>1493</v>
      </c>
      <c r="B109" s="105"/>
      <c r="C109" s="105"/>
      <c r="D109" s="106"/>
      <c r="E109" s="107">
        <f t="shared" ref="E109:I110" si="24">E110</f>
        <v>2672052800</v>
      </c>
      <c r="F109" s="203">
        <f>E109/E109</f>
        <v>1</v>
      </c>
      <c r="G109" s="107">
        <f t="shared" si="24"/>
        <v>2265396855.1300001</v>
      </c>
      <c r="H109" s="155">
        <f>G109/E109</f>
        <v>0.84781141118543768</v>
      </c>
      <c r="I109" s="107">
        <f t="shared" si="24"/>
        <v>2254546850.98</v>
      </c>
      <c r="J109" s="249">
        <f t="shared" ref="J109:J113" si="25">I109/E109</f>
        <v>0.84375086112819331</v>
      </c>
    </row>
    <row r="110" spans="1:10" ht="24" customHeight="1" x14ac:dyDescent="0.2">
      <c r="A110" s="143">
        <v>4</v>
      </c>
      <c r="B110" s="144" t="s">
        <v>27</v>
      </c>
      <c r="C110" s="144"/>
      <c r="D110" s="144"/>
      <c r="E110" s="145">
        <f t="shared" si="24"/>
        <v>2672052800</v>
      </c>
      <c r="F110" s="210">
        <f>E110/E110</f>
        <v>1</v>
      </c>
      <c r="G110" s="145">
        <f t="shared" si="24"/>
        <v>2265396855.1300001</v>
      </c>
      <c r="H110" s="155">
        <f>G110/E110</f>
        <v>0.84781141118543768</v>
      </c>
      <c r="I110" s="145">
        <f t="shared" si="24"/>
        <v>2254546850.98</v>
      </c>
      <c r="J110" s="249">
        <f t="shared" si="25"/>
        <v>0.84375086112819331</v>
      </c>
    </row>
    <row r="111" spans="1:10" ht="24" customHeight="1" x14ac:dyDescent="0.2">
      <c r="A111" s="23"/>
      <c r="B111" s="95">
        <v>45</v>
      </c>
      <c r="C111" s="108" t="s">
        <v>28</v>
      </c>
      <c r="D111" s="97"/>
      <c r="E111" s="98">
        <f>SUM(E112:E113)</f>
        <v>2672052800</v>
      </c>
      <c r="F111" s="203">
        <f>E111/E111</f>
        <v>1</v>
      </c>
      <c r="G111" s="98">
        <f>SUM(G112:G113)</f>
        <v>2265396855.1300001</v>
      </c>
      <c r="H111" s="155">
        <f>G111/E111</f>
        <v>0.84781141118543768</v>
      </c>
      <c r="I111" s="98">
        <f>SUM(I112:I113)</f>
        <v>2254546850.98</v>
      </c>
      <c r="J111" s="249">
        <f t="shared" si="25"/>
        <v>0.84375086112819331</v>
      </c>
    </row>
    <row r="112" spans="1:10" s="30" customFormat="1" ht="74.25" customHeight="1" x14ac:dyDescent="0.25">
      <c r="A112" s="72"/>
      <c r="B112" s="73"/>
      <c r="C112" s="37">
        <v>4502</v>
      </c>
      <c r="D112" s="39" t="s">
        <v>47</v>
      </c>
      <c r="E112" s="47">
        <f>'SGTO POAI 2022'!BF136</f>
        <v>271452800</v>
      </c>
      <c r="F112" s="211">
        <f>E112/E112</f>
        <v>1</v>
      </c>
      <c r="G112" s="47">
        <f>'SGTO POAI 2022'!BG136</f>
        <v>269574997</v>
      </c>
      <c r="H112" s="155">
        <f>G112/E112</f>
        <v>0.99308239590823888</v>
      </c>
      <c r="I112" s="47">
        <f>'SGTO POAI 2022'!BH136</f>
        <v>269574997</v>
      </c>
      <c r="J112" s="249">
        <f t="shared" si="25"/>
        <v>0.99308239590823888</v>
      </c>
    </row>
    <row r="113" spans="1:10" s="16" customFormat="1" ht="54.75" customHeight="1" x14ac:dyDescent="0.2">
      <c r="A113" s="74"/>
      <c r="B113" s="57"/>
      <c r="C113" s="37">
        <v>4599</v>
      </c>
      <c r="D113" s="39" t="s">
        <v>528</v>
      </c>
      <c r="E113" s="36">
        <f>'SGTO POAI 2022'!BF134+'SGTO POAI 2022'!BF135+'SGTO POAI 2022'!BF137</f>
        <v>2400600000</v>
      </c>
      <c r="F113" s="211">
        <f>E113/E113</f>
        <v>1</v>
      </c>
      <c r="G113" s="36">
        <f>'SGTO POAI 2022'!BG134+'SGTO POAI 2022'!BG135+'SGTO POAI 2022'!BG137</f>
        <v>1995821858.1300001</v>
      </c>
      <c r="H113" s="155">
        <f>G113/E113</f>
        <v>0.83138459473881532</v>
      </c>
      <c r="I113" s="36">
        <f>'SGTO POAI 2022'!BH134+'SGTO POAI 2022'!BH135+'SGTO POAI 2022'!BH137</f>
        <v>1984971853.98</v>
      </c>
      <c r="J113" s="249">
        <f t="shared" si="25"/>
        <v>0.82686488960259941</v>
      </c>
    </row>
    <row r="114" spans="1:10" s="63" customFormat="1" x14ac:dyDescent="0.2">
      <c r="A114" s="59"/>
      <c r="B114" s="99"/>
      <c r="C114" s="100"/>
      <c r="D114" s="101"/>
      <c r="E114" s="102"/>
      <c r="F114" s="206"/>
      <c r="G114" s="102"/>
      <c r="H114" s="102"/>
      <c r="I114" s="102"/>
      <c r="J114" s="206"/>
    </row>
    <row r="115" spans="1:10" ht="24" customHeight="1" x14ac:dyDescent="0.2">
      <c r="A115" s="96" t="s">
        <v>542</v>
      </c>
      <c r="B115" s="105"/>
      <c r="C115" s="105"/>
      <c r="D115" s="106"/>
      <c r="E115" s="107">
        <f>E116+E120</f>
        <v>196347005987.70999</v>
      </c>
      <c r="F115" s="203">
        <f t="shared" ref="F115:F178" si="26">E115/E115</f>
        <v>1</v>
      </c>
      <c r="G115" s="107">
        <f>G116+G120</f>
        <v>193873956157.17996</v>
      </c>
      <c r="H115" s="155">
        <v>0.95166658976278562</v>
      </c>
      <c r="I115" s="107">
        <f>I116+I120</f>
        <v>191120032866.86996</v>
      </c>
      <c r="J115" s="249">
        <f t="shared" ref="J115:J122" si="27">I115/E115</f>
        <v>0.97337890081620493</v>
      </c>
    </row>
    <row r="116" spans="1:10" ht="24" customHeight="1" x14ac:dyDescent="0.2">
      <c r="A116" s="143">
        <v>1</v>
      </c>
      <c r="B116" s="144" t="s">
        <v>112</v>
      </c>
      <c r="C116" s="144"/>
      <c r="D116" s="144"/>
      <c r="E116" s="145">
        <f>E117</f>
        <v>196329491309.70999</v>
      </c>
      <c r="F116" s="210">
        <f t="shared" si="26"/>
        <v>1</v>
      </c>
      <c r="G116" s="145">
        <f>G117</f>
        <v>193856442157.17996</v>
      </c>
      <c r="H116" s="155">
        <v>0.95166658976278562</v>
      </c>
      <c r="I116" s="145">
        <f>I117</f>
        <v>191102518866.86996</v>
      </c>
      <c r="J116" s="249">
        <f t="shared" si="27"/>
        <v>0.97337652938450048</v>
      </c>
    </row>
    <row r="117" spans="1:10" ht="24" customHeight="1" x14ac:dyDescent="0.2">
      <c r="A117" s="23"/>
      <c r="B117" s="95">
        <v>22</v>
      </c>
      <c r="C117" s="108" t="s">
        <v>124</v>
      </c>
      <c r="D117" s="97"/>
      <c r="E117" s="98">
        <f>SUM(E118:E119)</f>
        <v>196329491309.70999</v>
      </c>
      <c r="F117" s="203">
        <f t="shared" si="26"/>
        <v>1</v>
      </c>
      <c r="G117" s="98">
        <f>SUM(G118:G119)</f>
        <v>193856442157.17996</v>
      </c>
      <c r="H117" s="155">
        <v>0.95166658976278562</v>
      </c>
      <c r="I117" s="98">
        <f>SUM(I118:I119)</f>
        <v>191102518866.86996</v>
      </c>
      <c r="J117" s="249">
        <f t="shared" si="27"/>
        <v>0.97337652938450048</v>
      </c>
    </row>
    <row r="118" spans="1:10" s="16" customFormat="1" ht="55.5" customHeight="1" x14ac:dyDescent="0.2">
      <c r="A118" s="55"/>
      <c r="B118" s="56"/>
      <c r="C118" s="46">
        <v>2201</v>
      </c>
      <c r="D118" s="39" t="s">
        <v>229</v>
      </c>
      <c r="E118" s="36">
        <f>'SGTO POAI 2022'!BF138+'SGTO POAI 2022'!BF139+'SGTO POAI 2022'!BF140+'SGTO POAI 2022'!BF141+'SGTO POAI 2022'!BF142+'SGTO POAI 2022'!BF143+'SGTO POAI 2022'!BF144+'SGTO POAI 2022'!BF145+'SGTO POAI 2022'!BF146+'SGTO POAI 2022'!BF147+'SGTO POAI 2022'!BF148+'SGTO POAI 2022'!BF149+'SGTO POAI 2022'!BF150+'SGTO POAI 2022'!BF151+'SGTO POAI 2022'!BF152+'SGTO POAI 2022'!BF153+'SGTO POAI 2022'!BF154+'SGTO POAI 2022'!BF155+'SGTO POAI 2022'!BF156+'SGTO POAI 2022'!BF157+'SGTO POAI 2022'!BF158+'SGTO POAI 2022'!BF159+'SGTO POAI 2022'!BF160+'SGTO POAI 2022'!BF161+'SGTO POAI 2022'!BF162+'SGTO POAI 2022'!BF163+'SGTO POAI 2022'!BF164+'SGTO POAI 2022'!BF165+'SGTO POAI 2022'!BF166+'SGTO POAI 2022'!BF167+'SGTO POAI 2022'!BF168+'SGTO POAI 2022'!BF169+'SGTO POAI 2022'!BF170+'SGTO POAI 2022'!BF171</f>
        <v>196159312601.70999</v>
      </c>
      <c r="F118" s="211">
        <f t="shared" si="26"/>
        <v>1</v>
      </c>
      <c r="G118" s="36">
        <f>'SGTO POAI 2022'!BG138+'SGTO POAI 2022'!BG139+'SGTO POAI 2022'!BG140+'SGTO POAI 2022'!BG141+'SGTO POAI 2022'!BG142+'SGTO POAI 2022'!BG143+'SGTO POAI 2022'!BG144+'SGTO POAI 2022'!BG145+'SGTO POAI 2022'!BG146+'SGTO POAI 2022'!BG147+'SGTO POAI 2022'!BG148+'SGTO POAI 2022'!BG149+'SGTO POAI 2022'!BG150+'SGTO POAI 2022'!BG151+'SGTO POAI 2022'!BG152+'SGTO POAI 2022'!BG153+'SGTO POAI 2022'!BG154+'SGTO POAI 2022'!BG155+'SGTO POAI 2022'!BG156+'SGTO POAI 2022'!BG157+'SGTO POAI 2022'!BG158+'SGTO POAI 2022'!BG159+'SGTO POAI 2022'!BG160+'SGTO POAI 2022'!BG161+'SGTO POAI 2022'!BG162+'SGTO POAI 2022'!BG163+'SGTO POAI 2022'!BG164+'SGTO POAI 2022'!BG165+'SGTO POAI 2022'!BG166+'SGTO POAI 2022'!BG167+'SGTO POAI 2022'!BG168+'SGTO POAI 2022'!BG169+'SGTO POAI 2022'!BG170+'SGTO POAI 2022'!BG171</f>
        <v>193699874545.17996</v>
      </c>
      <c r="H118" s="155">
        <v>0.95166658976278562</v>
      </c>
      <c r="I118" s="36">
        <f>'SGTO POAI 2022'!BH138+'SGTO POAI 2022'!BH139+'SGTO POAI 2022'!BH140+'SGTO POAI 2022'!BH141+'SGTO POAI 2022'!BH142+'SGTO POAI 2022'!BH143+'SGTO POAI 2022'!BH144+'SGTO POAI 2022'!BH145+'SGTO POAI 2022'!BH146+'SGTO POAI 2022'!BH147+'SGTO POAI 2022'!BH148+'SGTO POAI 2022'!BH149+'SGTO POAI 2022'!BH150+'SGTO POAI 2022'!BH151+'SGTO POAI 2022'!BH152+'SGTO POAI 2022'!BH153+'SGTO POAI 2022'!BH154+'SGTO POAI 2022'!BH155+'SGTO POAI 2022'!BH156+'SGTO POAI 2022'!BH157+'SGTO POAI 2022'!BH158+'SGTO POAI 2022'!BH159+'SGTO POAI 2022'!BH160+'SGTO POAI 2022'!BH161+'SGTO POAI 2022'!BH162+'SGTO POAI 2022'!BH163+'SGTO POAI 2022'!BH164+'SGTO POAI 2022'!BH165+'SGTO POAI 2022'!BH166+'SGTO POAI 2022'!BH167+'SGTO POAI 2022'!BH168+'SGTO POAI 2022'!BH169+'SGTO POAI 2022'!BH170+'SGTO POAI 2022'!BH171</f>
        <v>190945951254.86996</v>
      </c>
      <c r="J118" s="249">
        <f t="shared" si="27"/>
        <v>0.97342282006551761</v>
      </c>
    </row>
    <row r="119" spans="1:10" s="16" customFormat="1" ht="55.5" customHeight="1" x14ac:dyDescent="0.2">
      <c r="A119" s="57"/>
      <c r="B119" s="58"/>
      <c r="C119" s="37">
        <v>2202</v>
      </c>
      <c r="D119" s="39" t="s">
        <v>1136</v>
      </c>
      <c r="E119" s="47">
        <f>'SGTO POAI 2022'!BF172</f>
        <v>170178708</v>
      </c>
      <c r="F119" s="211">
        <f t="shared" si="26"/>
        <v>1</v>
      </c>
      <c r="G119" s="47">
        <f>'SGTO POAI 2022'!BG172</f>
        <v>156567612</v>
      </c>
      <c r="H119" s="155">
        <v>0.95166658976278562</v>
      </c>
      <c r="I119" s="47">
        <f>'SGTO POAI 2022'!BH172</f>
        <v>156567612</v>
      </c>
      <c r="J119" s="249">
        <f t="shared" si="27"/>
        <v>0.92001880752320675</v>
      </c>
    </row>
    <row r="120" spans="1:10" ht="24" customHeight="1" x14ac:dyDescent="0.2">
      <c r="A120" s="143">
        <v>2</v>
      </c>
      <c r="B120" s="144" t="s">
        <v>333</v>
      </c>
      <c r="C120" s="144"/>
      <c r="D120" s="144"/>
      <c r="E120" s="145">
        <f t="shared" ref="E120:I121" si="28">E121</f>
        <v>17514678</v>
      </c>
      <c r="F120" s="210">
        <f t="shared" si="26"/>
        <v>1</v>
      </c>
      <c r="G120" s="145">
        <f t="shared" si="28"/>
        <v>17514000</v>
      </c>
      <c r="H120" s="155">
        <v>0.95166658976278562</v>
      </c>
      <c r="I120" s="145">
        <f t="shared" si="28"/>
        <v>17514000</v>
      </c>
      <c r="J120" s="249">
        <f t="shared" si="27"/>
        <v>0.99996128961091946</v>
      </c>
    </row>
    <row r="121" spans="1:10" ht="24" customHeight="1" x14ac:dyDescent="0.2">
      <c r="A121" s="23"/>
      <c r="B121" s="95">
        <v>39</v>
      </c>
      <c r="C121" s="108" t="s">
        <v>1137</v>
      </c>
      <c r="D121" s="97"/>
      <c r="E121" s="98">
        <f t="shared" si="28"/>
        <v>17514678</v>
      </c>
      <c r="F121" s="203">
        <f t="shared" si="26"/>
        <v>1</v>
      </c>
      <c r="G121" s="98">
        <f t="shared" si="28"/>
        <v>17514000</v>
      </c>
      <c r="H121" s="155">
        <v>0.95166658976278562</v>
      </c>
      <c r="I121" s="98">
        <f t="shared" si="28"/>
        <v>17514000</v>
      </c>
      <c r="J121" s="249">
        <f t="shared" si="27"/>
        <v>0.99996128961091946</v>
      </c>
    </row>
    <row r="122" spans="1:10" s="16" customFormat="1" ht="39.75" customHeight="1" x14ac:dyDescent="0.2">
      <c r="A122" s="57"/>
      <c r="B122" s="37"/>
      <c r="C122" s="21">
        <v>3904</v>
      </c>
      <c r="D122" s="39" t="s">
        <v>642</v>
      </c>
      <c r="E122" s="47">
        <f>'SGTO POAI 2022'!BF173</f>
        <v>17514678</v>
      </c>
      <c r="F122" s="211">
        <f t="shared" si="26"/>
        <v>1</v>
      </c>
      <c r="G122" s="47">
        <f>'SGTO POAI 2022'!BG173</f>
        <v>17514000</v>
      </c>
      <c r="H122" s="155">
        <v>0.95166658976278562</v>
      </c>
      <c r="I122" s="47">
        <f>'SGTO POAI 2022'!BH173</f>
        <v>17514000</v>
      </c>
      <c r="J122" s="249">
        <f t="shared" si="27"/>
        <v>0.99996128961091946</v>
      </c>
    </row>
    <row r="123" spans="1:10" s="63" customFormat="1" x14ac:dyDescent="0.2">
      <c r="A123" s="59"/>
      <c r="B123" s="59"/>
      <c r="C123" s="59"/>
      <c r="D123" s="60"/>
      <c r="E123" s="62"/>
      <c r="F123" s="205"/>
      <c r="G123" s="62"/>
      <c r="H123" s="62"/>
      <c r="I123" s="62"/>
      <c r="J123" s="205"/>
    </row>
    <row r="124" spans="1:10" s="63" customFormat="1" ht="24" customHeight="1" x14ac:dyDescent="0.2">
      <c r="A124" s="96" t="s">
        <v>649</v>
      </c>
      <c r="B124" s="105"/>
      <c r="C124" s="105"/>
      <c r="D124" s="106"/>
      <c r="E124" s="107">
        <f>E125+E134+E139</f>
        <v>9813525250.4799995</v>
      </c>
      <c r="F124" s="203">
        <f t="shared" si="26"/>
        <v>1</v>
      </c>
      <c r="G124" s="107">
        <f>G125+G134+G139</f>
        <v>8815268025.170002</v>
      </c>
      <c r="H124" s="155">
        <f t="shared" ref="H124:H141" si="29">G124/E124</f>
        <v>0.8982774079822976</v>
      </c>
      <c r="I124" s="107">
        <f>I125+I134+I139</f>
        <v>8768692425.170002</v>
      </c>
      <c r="J124" s="249">
        <f t="shared" ref="J124:J141" si="30">I124/E124</f>
        <v>0.89353134590865879</v>
      </c>
    </row>
    <row r="125" spans="1:10" s="63" customFormat="1" ht="24" customHeight="1" x14ac:dyDescent="0.2">
      <c r="A125" s="143">
        <v>1</v>
      </c>
      <c r="B125" s="144" t="s">
        <v>112</v>
      </c>
      <c r="C125" s="144"/>
      <c r="D125" s="144"/>
      <c r="E125" s="145">
        <f>E126+E128+E130</f>
        <v>9430620135.4799995</v>
      </c>
      <c r="F125" s="210">
        <f t="shared" si="26"/>
        <v>1</v>
      </c>
      <c r="G125" s="145">
        <f>G126+G128+G130</f>
        <v>8538278450.170002</v>
      </c>
      <c r="H125" s="155">
        <f t="shared" si="29"/>
        <v>0.9053782601259891</v>
      </c>
      <c r="I125" s="145">
        <f>I126+I128+I130</f>
        <v>8491702850.170002</v>
      </c>
      <c r="J125" s="249">
        <f t="shared" si="30"/>
        <v>0.90043949689187552</v>
      </c>
    </row>
    <row r="126" spans="1:10" ht="24" customHeight="1" x14ac:dyDescent="0.2">
      <c r="A126" s="23"/>
      <c r="B126" s="95">
        <v>19</v>
      </c>
      <c r="C126" s="108" t="s">
        <v>122</v>
      </c>
      <c r="D126" s="97"/>
      <c r="E126" s="98">
        <f>E127</f>
        <v>190958166</v>
      </c>
      <c r="F126" s="203">
        <f t="shared" si="26"/>
        <v>1</v>
      </c>
      <c r="G126" s="98">
        <f>G127</f>
        <v>190954666</v>
      </c>
      <c r="H126" s="155">
        <f t="shared" si="29"/>
        <v>0.99998167137822214</v>
      </c>
      <c r="I126" s="98">
        <f>I127</f>
        <v>190954666</v>
      </c>
      <c r="J126" s="249">
        <f t="shared" si="30"/>
        <v>0.99998167137822214</v>
      </c>
    </row>
    <row r="127" spans="1:10" s="76" customFormat="1" ht="51" customHeight="1" x14ac:dyDescent="0.2">
      <c r="A127" s="55"/>
      <c r="B127" s="37"/>
      <c r="C127" s="21">
        <v>1905</v>
      </c>
      <c r="D127" s="22" t="s">
        <v>650</v>
      </c>
      <c r="E127" s="47">
        <f>'SGTO POAI 2022'!BF174+'SGTO POAI 2022'!BF175</f>
        <v>190958166</v>
      </c>
      <c r="F127" s="211">
        <f t="shared" si="26"/>
        <v>1</v>
      </c>
      <c r="G127" s="47">
        <f>'SGTO POAI 2022'!BG174+'SGTO POAI 2022'!BG175</f>
        <v>190954666</v>
      </c>
      <c r="H127" s="155">
        <f t="shared" si="29"/>
        <v>0.99998167137822214</v>
      </c>
      <c r="I127" s="47">
        <f>'SGTO POAI 2022'!BH174+'SGTO POAI 2022'!BH175</f>
        <v>190954666</v>
      </c>
      <c r="J127" s="249">
        <f t="shared" si="30"/>
        <v>0.99998167137822214</v>
      </c>
    </row>
    <row r="128" spans="1:10" ht="24" customHeight="1" x14ac:dyDescent="0.2">
      <c r="A128" s="65"/>
      <c r="B128" s="95">
        <v>33</v>
      </c>
      <c r="C128" s="108" t="s">
        <v>132</v>
      </c>
      <c r="D128" s="97"/>
      <c r="E128" s="98">
        <f>E129</f>
        <v>30004000</v>
      </c>
      <c r="F128" s="203">
        <f t="shared" si="26"/>
        <v>1</v>
      </c>
      <c r="G128" s="98">
        <f>G129</f>
        <v>30004000</v>
      </c>
      <c r="H128" s="155">
        <f t="shared" si="29"/>
        <v>1</v>
      </c>
      <c r="I128" s="98">
        <f>I129</f>
        <v>30004000</v>
      </c>
      <c r="J128" s="249">
        <f t="shared" si="30"/>
        <v>1</v>
      </c>
    </row>
    <row r="129" spans="1:10" s="76" customFormat="1" ht="51.75" customHeight="1" x14ac:dyDescent="0.2">
      <c r="A129" s="55"/>
      <c r="B129" s="37"/>
      <c r="C129" s="21">
        <v>3301</v>
      </c>
      <c r="D129" s="39" t="s">
        <v>133</v>
      </c>
      <c r="E129" s="47">
        <f>'SGTO POAI 2022'!BF176</f>
        <v>30004000</v>
      </c>
      <c r="F129" s="211">
        <f t="shared" si="26"/>
        <v>1</v>
      </c>
      <c r="G129" s="47">
        <f>'SGTO POAI 2022'!BG176</f>
        <v>30004000</v>
      </c>
      <c r="H129" s="155">
        <f t="shared" si="29"/>
        <v>1</v>
      </c>
      <c r="I129" s="47">
        <f>'SGTO POAI 2022'!BH176</f>
        <v>30004000</v>
      </c>
      <c r="J129" s="249">
        <f t="shared" si="30"/>
        <v>1</v>
      </c>
    </row>
    <row r="130" spans="1:10" ht="24" customHeight="1" x14ac:dyDescent="0.2">
      <c r="A130" s="65"/>
      <c r="B130" s="95">
        <v>41</v>
      </c>
      <c r="C130" s="108" t="s">
        <v>661</v>
      </c>
      <c r="D130" s="97"/>
      <c r="E130" s="98">
        <f>SUM(E131:E133)</f>
        <v>9209657969.4799995</v>
      </c>
      <c r="F130" s="203">
        <f t="shared" si="26"/>
        <v>1</v>
      </c>
      <c r="G130" s="98">
        <f>SUM(G131:G133)</f>
        <v>8317319784.170002</v>
      </c>
      <c r="H130" s="155">
        <f t="shared" si="29"/>
        <v>0.90310843374779737</v>
      </c>
      <c r="I130" s="98">
        <f>SUM(I131:I133)</f>
        <v>8270744184.170002</v>
      </c>
      <c r="J130" s="249">
        <f t="shared" si="30"/>
        <v>0.89805117753325092</v>
      </c>
    </row>
    <row r="131" spans="1:10" s="76" customFormat="1" ht="53.25" customHeight="1" x14ac:dyDescent="0.2">
      <c r="A131" s="72"/>
      <c r="B131" s="73"/>
      <c r="C131" s="37">
        <v>4102</v>
      </c>
      <c r="D131" s="39" t="s">
        <v>662</v>
      </c>
      <c r="E131" s="47">
        <f>'SGTO POAI 2022'!BF177+'SGTO POAI 2022'!BF178+'SGTO POAI 2022'!BF179+'SGTO POAI 2022'!BF180+'SGTO POAI 2022'!BF181+'SGTO POAI 2022'!BF182+'SGTO POAI 2022'!BF183+'SGTO POAI 2022'!BF184+'SGTO POAI 2022'!BF185</f>
        <v>1269372914</v>
      </c>
      <c r="F131" s="211">
        <f t="shared" si="26"/>
        <v>1</v>
      </c>
      <c r="G131" s="47">
        <f>'SGTO POAI 2022'!BG177+'SGTO POAI 2022'!BG178+'SGTO POAI 2022'!BG179+'SGTO POAI 2022'!BG180+'SGTO POAI 2022'!BG181+'SGTO POAI 2022'!BG182+'SGTO POAI 2022'!BG183+'SGTO POAI 2022'!BG184+'SGTO POAI 2022'!BG185</f>
        <v>1247516187.3299999</v>
      </c>
      <c r="H131" s="155">
        <f t="shared" si="29"/>
        <v>0.98278147703567587</v>
      </c>
      <c r="I131" s="47">
        <f>'SGTO POAI 2022'!BH177+'SGTO POAI 2022'!BH178+'SGTO POAI 2022'!BH179+'SGTO POAI 2022'!BH180+'SGTO POAI 2022'!BH181+'SGTO POAI 2022'!BH182+'SGTO POAI 2022'!BH183+'SGTO POAI 2022'!BH184+'SGTO POAI 2022'!BH185</f>
        <v>1247516187.3299999</v>
      </c>
      <c r="J131" s="249">
        <f t="shared" si="30"/>
        <v>0.98278147703567587</v>
      </c>
    </row>
    <row r="132" spans="1:10" s="76" customFormat="1" ht="48.75" customHeight="1" x14ac:dyDescent="0.2">
      <c r="A132" s="72"/>
      <c r="B132" s="55"/>
      <c r="C132" s="37">
        <v>4103</v>
      </c>
      <c r="D132" s="39" t="s">
        <v>252</v>
      </c>
      <c r="E132" s="47">
        <f>'SGTO POAI 2022'!BF186+'SGTO POAI 2022'!BF187+'SGTO POAI 2022'!BF188+'SGTO POAI 2022'!BF189+'SGTO POAI 2022'!BF190+'SGTO POAI 2022'!BF191+'SGTO POAI 2022'!BF192</f>
        <v>281192543</v>
      </c>
      <c r="F132" s="211">
        <f t="shared" si="26"/>
        <v>1</v>
      </c>
      <c r="G132" s="47">
        <f>'SGTO POAI 2022'!BG186+'SGTO POAI 2022'!BG187+'SGTO POAI 2022'!BG188+'SGTO POAI 2022'!BG189+'SGTO POAI 2022'!BG190+'SGTO POAI 2022'!BG191+'SGTO POAI 2022'!BG192</f>
        <v>236016333</v>
      </c>
      <c r="H132" s="155">
        <f t="shared" si="29"/>
        <v>0.83934065420788917</v>
      </c>
      <c r="I132" s="47">
        <f>'SGTO POAI 2022'!BH186+'SGTO POAI 2022'!BH187+'SGTO POAI 2022'!BH188+'SGTO POAI 2022'!BH189+'SGTO POAI 2022'!BH190+'SGTO POAI 2022'!BH191+'SGTO POAI 2022'!BH192</f>
        <v>189440733</v>
      </c>
      <c r="J132" s="249">
        <f t="shared" si="30"/>
        <v>0.67370468284430995</v>
      </c>
    </row>
    <row r="133" spans="1:10" s="76" customFormat="1" ht="51.75" customHeight="1" x14ac:dyDescent="0.2">
      <c r="A133" s="74"/>
      <c r="B133" s="57"/>
      <c r="C133" s="37">
        <v>4104</v>
      </c>
      <c r="D133" s="39" t="s">
        <v>745</v>
      </c>
      <c r="E133" s="47">
        <f>'SGTO POAI 2022'!BF193+'SGTO POAI 2022'!BF194+'SGTO POAI 2022'!BF195+'SGTO POAI 2022'!BF196+'SGTO POAI 2022'!BF197</f>
        <v>7659092512.4799995</v>
      </c>
      <c r="F133" s="211">
        <f t="shared" si="26"/>
        <v>1</v>
      </c>
      <c r="G133" s="47">
        <f>'SGTO POAI 2022'!BG193+'SGTO POAI 2022'!BG194+'SGTO POAI 2022'!BG195+'SGTO POAI 2022'!BG196+'SGTO POAI 2022'!BG197</f>
        <v>6833787263.8400021</v>
      </c>
      <c r="H133" s="155">
        <f t="shared" si="29"/>
        <v>0.89224503460492011</v>
      </c>
      <c r="I133" s="47">
        <f>'SGTO POAI 2022'!BH193+'SGTO POAI 2022'!BH194+'SGTO POAI 2022'!BH195+'SGTO POAI 2022'!BH196+'SGTO POAI 2022'!BH197</f>
        <v>6833787263.8400021</v>
      </c>
      <c r="J133" s="249">
        <f t="shared" si="30"/>
        <v>0.89224503460492011</v>
      </c>
    </row>
    <row r="134" spans="1:10" s="63" customFormat="1" ht="24" customHeight="1" x14ac:dyDescent="0.2">
      <c r="A134" s="143">
        <v>2</v>
      </c>
      <c r="B134" s="144" t="s">
        <v>333</v>
      </c>
      <c r="C134" s="144"/>
      <c r="D134" s="144"/>
      <c r="E134" s="145">
        <f>E135+E137</f>
        <v>42000000</v>
      </c>
      <c r="F134" s="210">
        <f t="shared" si="26"/>
        <v>1</v>
      </c>
      <c r="G134" s="145">
        <f>G135+G137</f>
        <v>42000000</v>
      </c>
      <c r="H134" s="155">
        <f t="shared" si="29"/>
        <v>1</v>
      </c>
      <c r="I134" s="145">
        <f>I135+I137</f>
        <v>42000000</v>
      </c>
      <c r="J134" s="249">
        <f t="shared" si="30"/>
        <v>1</v>
      </c>
    </row>
    <row r="135" spans="1:10" ht="24" customHeight="1" x14ac:dyDescent="0.2">
      <c r="A135" s="23"/>
      <c r="B135" s="95">
        <v>17</v>
      </c>
      <c r="C135" s="108" t="s">
        <v>375</v>
      </c>
      <c r="D135" s="97"/>
      <c r="E135" s="98">
        <f>E136</f>
        <v>18000000</v>
      </c>
      <c r="F135" s="203">
        <f t="shared" si="26"/>
        <v>1</v>
      </c>
      <c r="G135" s="98">
        <f>G136</f>
        <v>18000000</v>
      </c>
      <c r="H135" s="155">
        <f t="shared" si="29"/>
        <v>1</v>
      </c>
      <c r="I135" s="98">
        <f>I136</f>
        <v>18000000</v>
      </c>
      <c r="J135" s="249">
        <f t="shared" si="30"/>
        <v>1</v>
      </c>
    </row>
    <row r="136" spans="1:10" s="76" customFormat="1" ht="51.75" customHeight="1" x14ac:dyDescent="0.2">
      <c r="A136" s="55"/>
      <c r="B136" s="37"/>
      <c r="C136" s="21">
        <v>1702</v>
      </c>
      <c r="D136" s="39" t="s">
        <v>376</v>
      </c>
      <c r="E136" s="47">
        <f>'SGTO POAI 2022'!BF198</f>
        <v>18000000</v>
      </c>
      <c r="F136" s="211">
        <f t="shared" si="26"/>
        <v>1</v>
      </c>
      <c r="G136" s="47">
        <f>'SGTO POAI 2022'!BG198</f>
        <v>18000000</v>
      </c>
      <c r="H136" s="155">
        <f t="shared" si="29"/>
        <v>1</v>
      </c>
      <c r="I136" s="47">
        <f>'SGTO POAI 2022'!BH198</f>
        <v>18000000</v>
      </c>
      <c r="J136" s="249">
        <f t="shared" si="30"/>
        <v>1</v>
      </c>
    </row>
    <row r="137" spans="1:10" ht="25.5" customHeight="1" x14ac:dyDescent="0.2">
      <c r="A137" s="65"/>
      <c r="B137" s="95">
        <v>36</v>
      </c>
      <c r="C137" s="108" t="s">
        <v>358</v>
      </c>
      <c r="D137" s="97"/>
      <c r="E137" s="98">
        <f>E138</f>
        <v>24000000</v>
      </c>
      <c r="F137" s="203">
        <f t="shared" si="26"/>
        <v>1</v>
      </c>
      <c r="G137" s="98">
        <f>G138</f>
        <v>24000000</v>
      </c>
      <c r="H137" s="155">
        <f t="shared" si="29"/>
        <v>1</v>
      </c>
      <c r="I137" s="98">
        <f>I138</f>
        <v>24000000</v>
      </c>
      <c r="J137" s="249">
        <f t="shared" si="30"/>
        <v>1</v>
      </c>
    </row>
    <row r="138" spans="1:10" s="76" customFormat="1" ht="51" customHeight="1" x14ac:dyDescent="0.2">
      <c r="A138" s="57"/>
      <c r="B138" s="37"/>
      <c r="C138" s="21">
        <v>3604</v>
      </c>
      <c r="D138" s="39" t="s">
        <v>776</v>
      </c>
      <c r="E138" s="47">
        <f>'SGTO POAI 2022'!BF199</f>
        <v>24000000</v>
      </c>
      <c r="F138" s="211">
        <f t="shared" si="26"/>
        <v>1</v>
      </c>
      <c r="G138" s="47">
        <f>'SGTO POAI 2022'!BG199</f>
        <v>24000000</v>
      </c>
      <c r="H138" s="155">
        <f t="shared" si="29"/>
        <v>1</v>
      </c>
      <c r="I138" s="47">
        <f>'SGTO POAI 2022'!BH199</f>
        <v>24000000</v>
      </c>
      <c r="J138" s="249">
        <f t="shared" si="30"/>
        <v>1</v>
      </c>
    </row>
    <row r="139" spans="1:10" s="63" customFormat="1" ht="24" customHeight="1" x14ac:dyDescent="0.2">
      <c r="A139" s="143">
        <v>4</v>
      </c>
      <c r="B139" s="144" t="s">
        <v>27</v>
      </c>
      <c r="C139" s="144"/>
      <c r="D139" s="144"/>
      <c r="E139" s="145">
        <f>E140</f>
        <v>340905115</v>
      </c>
      <c r="F139" s="210">
        <f t="shared" si="26"/>
        <v>1</v>
      </c>
      <c r="G139" s="145">
        <f>G140</f>
        <v>234989575</v>
      </c>
      <c r="H139" s="155">
        <f t="shared" si="29"/>
        <v>0.68931079253533645</v>
      </c>
      <c r="I139" s="145">
        <f>I140</f>
        <v>234989575</v>
      </c>
      <c r="J139" s="249">
        <f t="shared" si="30"/>
        <v>0.68931079253533645</v>
      </c>
    </row>
    <row r="140" spans="1:10" ht="24" customHeight="1" x14ac:dyDescent="0.2">
      <c r="A140" s="42"/>
      <c r="B140" s="81">
        <v>45</v>
      </c>
      <c r="C140" s="20" t="s">
        <v>781</v>
      </c>
      <c r="D140" s="66"/>
      <c r="E140" s="43">
        <f>SUM(E141:E141)</f>
        <v>340905115</v>
      </c>
      <c r="F140" s="215">
        <f t="shared" si="26"/>
        <v>1</v>
      </c>
      <c r="G140" s="43">
        <f>SUM(G141:G141)</f>
        <v>234989575</v>
      </c>
      <c r="H140" s="155">
        <f t="shared" si="29"/>
        <v>0.68931079253533645</v>
      </c>
      <c r="I140" s="43">
        <f>SUM(I141:I141)</f>
        <v>234989575</v>
      </c>
      <c r="J140" s="249">
        <f t="shared" si="30"/>
        <v>0.68931079253533645</v>
      </c>
    </row>
    <row r="141" spans="1:10" ht="72.75" customHeight="1" x14ac:dyDescent="0.2">
      <c r="A141" s="57"/>
      <c r="B141" s="77"/>
      <c r="C141" s="26">
        <v>4502</v>
      </c>
      <c r="D141" s="27" t="s">
        <v>47</v>
      </c>
      <c r="E141" s="78">
        <f>'SGTO POAI 2022'!BF200+'SGTO POAI 2022'!BF201+'SGTO POAI 2022'!BF202+'SGTO POAI 2022'!BF203+'SGTO POAI 2022'!BF204</f>
        <v>340905115</v>
      </c>
      <c r="F141" s="216">
        <f t="shared" si="26"/>
        <v>1</v>
      </c>
      <c r="G141" s="78">
        <f>'SGTO POAI 2022'!BG200+'SGTO POAI 2022'!BG201+'SGTO POAI 2022'!BG202+'SGTO POAI 2022'!BG203+'SGTO POAI 2022'!BG204</f>
        <v>234989575</v>
      </c>
      <c r="H141" s="155">
        <f t="shared" si="29"/>
        <v>0.68931079253533645</v>
      </c>
      <c r="I141" s="78">
        <f>'SGTO POAI 2022'!BH200+'SGTO POAI 2022'!BH201+'SGTO POAI 2022'!BH202+'SGTO POAI 2022'!BH203+'SGTO POAI 2022'!BH204</f>
        <v>234989575</v>
      </c>
      <c r="J141" s="249">
        <f t="shared" si="30"/>
        <v>0.68931079253533645</v>
      </c>
    </row>
    <row r="142" spans="1:10" s="63" customFormat="1" x14ac:dyDescent="0.2">
      <c r="A142" s="59"/>
      <c r="B142" s="59"/>
      <c r="C142" s="59"/>
      <c r="D142" s="60"/>
      <c r="E142" s="62"/>
      <c r="F142" s="205"/>
      <c r="G142" s="62"/>
      <c r="I142" s="62"/>
      <c r="J142" s="205"/>
    </row>
    <row r="143" spans="1:10" ht="24" customHeight="1" x14ac:dyDescent="0.2">
      <c r="A143" s="96" t="s">
        <v>804</v>
      </c>
      <c r="B143" s="105"/>
      <c r="C143" s="105"/>
      <c r="D143" s="106"/>
      <c r="E143" s="107">
        <f t="shared" ref="E143:I144" si="31">E144</f>
        <v>75585964556.720001</v>
      </c>
      <c r="F143" s="203">
        <f t="shared" si="26"/>
        <v>1</v>
      </c>
      <c r="G143" s="107">
        <f t="shared" si="31"/>
        <v>70267070745.26001</v>
      </c>
      <c r="H143" s="155">
        <f t="shared" ref="H143:H148" si="32">G143/E143</f>
        <v>0.92963119750269674</v>
      </c>
      <c r="I143" s="107">
        <f t="shared" si="31"/>
        <v>69609471626.580002</v>
      </c>
      <c r="J143" s="249">
        <f t="shared" ref="J143:J193" si="33">I143/E143</f>
        <v>0.92093118126904083</v>
      </c>
    </row>
    <row r="144" spans="1:10" ht="24" customHeight="1" x14ac:dyDescent="0.2">
      <c r="A144" s="143">
        <v>1</v>
      </c>
      <c r="B144" s="144" t="s">
        <v>112</v>
      </c>
      <c r="C144" s="144"/>
      <c r="D144" s="144"/>
      <c r="E144" s="145">
        <f t="shared" si="31"/>
        <v>75585964556.720001</v>
      </c>
      <c r="F144" s="210">
        <f t="shared" si="26"/>
        <v>1</v>
      </c>
      <c r="G144" s="145">
        <f t="shared" si="31"/>
        <v>70267070745.26001</v>
      </c>
      <c r="H144" s="155">
        <f t="shared" si="32"/>
        <v>0.92963119750269674</v>
      </c>
      <c r="I144" s="145">
        <f t="shared" si="31"/>
        <v>69609471626.580002</v>
      </c>
      <c r="J144" s="249">
        <f t="shared" si="33"/>
        <v>0.92093118126904083</v>
      </c>
    </row>
    <row r="145" spans="1:10" ht="24" customHeight="1" x14ac:dyDescent="0.2">
      <c r="A145" s="23"/>
      <c r="B145" s="95">
        <v>19</v>
      </c>
      <c r="C145" s="108" t="s">
        <v>122</v>
      </c>
      <c r="D145" s="97"/>
      <c r="E145" s="98">
        <f>SUM(E146:E148)</f>
        <v>75585964556.720001</v>
      </c>
      <c r="F145" s="203">
        <f t="shared" si="26"/>
        <v>1</v>
      </c>
      <c r="G145" s="98">
        <f>SUM(G146:G148)</f>
        <v>70267070745.26001</v>
      </c>
      <c r="H145" s="155">
        <f t="shared" si="32"/>
        <v>0.92963119750269674</v>
      </c>
      <c r="I145" s="98">
        <f>SUM(I146:I148)</f>
        <v>69609471626.580002</v>
      </c>
      <c r="J145" s="249">
        <f t="shared" si="33"/>
        <v>0.92093118126904083</v>
      </c>
    </row>
    <row r="146" spans="1:10" s="16" customFormat="1" ht="35.25" customHeight="1" x14ac:dyDescent="0.2">
      <c r="A146" s="55"/>
      <c r="B146" s="56"/>
      <c r="C146" s="37">
        <v>1903</v>
      </c>
      <c r="D146" s="39" t="s">
        <v>805</v>
      </c>
      <c r="E146" s="47">
        <f>'SGTO POAI 2022'!BF205+'SGTO POAI 2022'!BF206+'SGTO POAI 2022'!BF207+'SGTO POAI 2022'!BF208+'SGTO POAI 2022'!BF209+'SGTO POAI 2022'!BF210+'SGTO POAI 2022'!BF211+'SGTO POAI 2022'!BF212+'SGTO POAI 2022'!BF213+'SGTO POAI 2022'!BF214+'SGTO POAI 2022'!BF215+'SGTO POAI 2022'!BF216+'SGTO POAI 2022'!BF217+'SGTO POAI 2022'!BF218+'SGTO POAI 2022'!BF219+'SGTO POAI 2022'!BF220+'SGTO POAI 2022'!BF221+'SGTO POAI 2022'!BF222+'SGTO POAI 2022'!BF223+'SGTO POAI 2022'!BF224+'SGTO POAI 2022'!BF225+'SGTO POAI 2022'!BF226</f>
        <v>4500793109.6199999</v>
      </c>
      <c r="F146" s="211">
        <f t="shared" si="26"/>
        <v>1</v>
      </c>
      <c r="G146" s="47">
        <f>'SGTO POAI 2022'!BG205+'SGTO POAI 2022'!BG206+'SGTO POAI 2022'!BG207+'SGTO POAI 2022'!BG208+'SGTO POAI 2022'!BG209+'SGTO POAI 2022'!BG210+'SGTO POAI 2022'!BG211+'SGTO POAI 2022'!BG212+'SGTO POAI 2022'!BG213+'SGTO POAI 2022'!BG214+'SGTO POAI 2022'!BG215+'SGTO POAI 2022'!BG216+'SGTO POAI 2022'!BG217+'SGTO POAI 2022'!BG218+'SGTO POAI 2022'!BG219+'SGTO POAI 2022'!BG220+'SGTO POAI 2022'!BG221+'SGTO POAI 2022'!BG222+'SGTO POAI 2022'!BG223+'SGTO POAI 2022'!BG224+'SGTO POAI 2022'!BG225+'SGTO POAI 2022'!BG226</f>
        <v>3078472554.21</v>
      </c>
      <c r="H146" s="155">
        <f t="shared" si="32"/>
        <v>0.68398446212292441</v>
      </c>
      <c r="I146" s="47">
        <f>'SGTO POAI 2022'!BH205+'SGTO POAI 2022'!BH206+'SGTO POAI 2022'!BH207+'SGTO POAI 2022'!BH208+'SGTO POAI 2022'!BH209+'SGTO POAI 2022'!BH210+'SGTO POAI 2022'!BH211+'SGTO POAI 2022'!BH212+'SGTO POAI 2022'!BH213+'SGTO POAI 2022'!BH214+'SGTO POAI 2022'!BH215+'SGTO POAI 2022'!BH216+'SGTO POAI 2022'!BH217+'SGTO POAI 2022'!BH218+'SGTO POAI 2022'!BH219+'SGTO POAI 2022'!BH220+'SGTO POAI 2022'!BH221+'SGTO POAI 2022'!BH222+'SGTO POAI 2022'!BH223+'SGTO POAI 2022'!BH224+'SGTO POAI 2022'!BH225+'SGTO POAI 2022'!BH226</f>
        <v>2979066013.5300002</v>
      </c>
      <c r="J146" s="249">
        <f t="shared" si="33"/>
        <v>0.66189801241086632</v>
      </c>
    </row>
    <row r="147" spans="1:10" s="16" customFormat="1" ht="31.5" customHeight="1" x14ac:dyDescent="0.2">
      <c r="A147" s="55"/>
      <c r="B147" s="70"/>
      <c r="C147" s="37">
        <v>1905</v>
      </c>
      <c r="D147" s="39" t="s">
        <v>650</v>
      </c>
      <c r="E147" s="47">
        <f>'SGTO POAI 2022'!BF227+'SGTO POAI 2022'!BF228+'SGTO POAI 2022'!BF229+'SGTO POAI 2022'!BF230+'SGTO POAI 2022'!BF231+'SGTO POAI 2022'!BF232+'SGTO POAI 2022'!BF233+'SGTO POAI 2022'!BF234+'SGTO POAI 2022'!BF235+'SGTO POAI 2022'!BF236+'SGTO POAI 2022'!BF237+'SGTO POAI 2022'!BF238+'SGTO POAI 2022'!BF239+'SGTO POAI 2022'!BF240+'SGTO POAI 2022'!BF241+'SGTO POAI 2022'!BF242+'SGTO POAI 2022'!BF243+'SGTO POAI 2022'!BF244+'SGTO POAI 2022'!BF245+'SGTO POAI 2022'!BF246+'SGTO POAI 2022'!BF247+'SGTO POAI 2022'!BF248+'SGTO POAI 2022'!BF249+'SGTO POAI 2022'!BF250+'SGTO POAI 2022'!BF251+'SGTO POAI 2022'!BF252+'SGTO POAI 2022'!BF253+'SGTO POAI 2022'!BF254+'SGTO POAI 2022'!BF255</f>
        <v>7022581273.9400005</v>
      </c>
      <c r="F147" s="211">
        <f t="shared" si="26"/>
        <v>1</v>
      </c>
      <c r="G147" s="47">
        <f>'SGTO POAI 2022'!BG227+'SGTO POAI 2022'!BG228+'SGTO POAI 2022'!BG229+'SGTO POAI 2022'!BG230+'SGTO POAI 2022'!BG231+'SGTO POAI 2022'!BG232+'SGTO POAI 2022'!BG233+'SGTO POAI 2022'!BG234+'SGTO POAI 2022'!BG235+'SGTO POAI 2022'!BG236+'SGTO POAI 2022'!BG237+'SGTO POAI 2022'!BG238+'SGTO POAI 2022'!BG239+'SGTO POAI 2022'!BG240+'SGTO POAI 2022'!BG241+'SGTO POAI 2022'!BG242+'SGTO POAI 2022'!BG243+'SGTO POAI 2022'!BG244+'SGTO POAI 2022'!BG245+'SGTO POAI 2022'!BG246+'SGTO POAI 2022'!BG247+'SGTO POAI 2022'!BG248+'SGTO POAI 2022'!BG249+'SGTO POAI 2022'!BG250+'SGTO POAI 2022'!BG251+'SGTO POAI 2022'!BG252+'SGTO POAI 2022'!BG253+'SGTO POAI 2022'!BG254+'SGTO POAI 2022'!BG255</f>
        <v>5890561026.79</v>
      </c>
      <c r="H147" s="155">
        <f t="shared" si="32"/>
        <v>0.83880282719535071</v>
      </c>
      <c r="I147" s="47">
        <f>'SGTO POAI 2022'!BH227+'SGTO POAI 2022'!BH228+'SGTO POAI 2022'!BH229+'SGTO POAI 2022'!BH230+'SGTO POAI 2022'!BH231+'SGTO POAI 2022'!BH232+'SGTO POAI 2022'!BH233+'SGTO POAI 2022'!BH234+'SGTO POAI 2022'!BH235+'SGTO POAI 2022'!BH236+'SGTO POAI 2022'!BH237+'SGTO POAI 2022'!BH238+'SGTO POAI 2022'!BH239+'SGTO POAI 2022'!BH240+'SGTO POAI 2022'!BH241+'SGTO POAI 2022'!BH242+'SGTO POAI 2022'!BH243+'SGTO POAI 2022'!BH244+'SGTO POAI 2022'!BH245+'SGTO POAI 2022'!BH246+'SGTO POAI 2022'!BH247+'SGTO POAI 2022'!BH248+'SGTO POAI 2022'!BH249+'SGTO POAI 2022'!BH250+'SGTO POAI 2022'!BH251+'SGTO POAI 2022'!BH252+'SGTO POAI 2022'!BH253+'SGTO POAI 2022'!BH254+'SGTO POAI 2022'!BH255</f>
        <v>5554441026.79</v>
      </c>
      <c r="J147" s="249">
        <f t="shared" si="33"/>
        <v>0.79094008458141996</v>
      </c>
    </row>
    <row r="148" spans="1:10" s="16" customFormat="1" ht="57.75" customHeight="1" x14ac:dyDescent="0.2">
      <c r="A148" s="57"/>
      <c r="B148" s="58"/>
      <c r="C148" s="37">
        <v>1906</v>
      </c>
      <c r="D148" s="39" t="s">
        <v>123</v>
      </c>
      <c r="E148" s="47">
        <f>'SGTO POAI 2022'!BF256+'SGTO POAI 2022'!BF257+'SGTO POAI 2022'!BF258+'SGTO POAI 2022'!BF259+'SGTO POAI 2022'!BF260+'SGTO POAI 2022'!BF261+'SGTO POAI 2022'!BF262+'SGTO POAI 2022'!BF263</f>
        <v>64062590173.159996</v>
      </c>
      <c r="F148" s="211">
        <f t="shared" si="26"/>
        <v>1</v>
      </c>
      <c r="G148" s="47">
        <f>'SGTO POAI 2022'!BG256+'SGTO POAI 2022'!BG257+'SGTO POAI 2022'!BG258+'SGTO POAI 2022'!BG259+'SGTO POAI 2022'!BG260+'SGTO POAI 2022'!BG261+'SGTO POAI 2022'!BG262+'SGTO POAI 2022'!BG263</f>
        <v>61298037164.260002</v>
      </c>
      <c r="H148" s="155">
        <f t="shared" si="32"/>
        <v>0.95684606255495663</v>
      </c>
      <c r="I148" s="47">
        <f>'SGTO POAI 2022'!BH256+'SGTO POAI 2022'!BH257+'SGTO POAI 2022'!BH258+'SGTO POAI 2022'!BH259+'SGTO POAI 2022'!BH260+'SGTO POAI 2022'!BH261+'SGTO POAI 2022'!BH262+'SGTO POAI 2022'!BH263</f>
        <v>61075964586.260002</v>
      </c>
      <c r="J148" s="249">
        <f t="shared" si="33"/>
        <v>0.9533795686557911</v>
      </c>
    </row>
    <row r="149" spans="1:10" s="63" customFormat="1" x14ac:dyDescent="0.2">
      <c r="A149" s="59"/>
      <c r="B149" s="59"/>
      <c r="C149" s="59"/>
      <c r="D149" s="60"/>
      <c r="E149" s="62"/>
      <c r="F149" s="205"/>
      <c r="G149" s="62"/>
      <c r="I149" s="62"/>
      <c r="J149" s="205"/>
    </row>
    <row r="150" spans="1:10" s="4" customFormat="1" ht="24" customHeight="1" x14ac:dyDescent="0.25">
      <c r="A150" s="96" t="s">
        <v>984</v>
      </c>
      <c r="B150" s="105"/>
      <c r="C150" s="105"/>
      <c r="D150" s="106"/>
      <c r="E150" s="107">
        <f>E151+E155+E159</f>
        <v>1713227031</v>
      </c>
      <c r="F150" s="203">
        <f t="shared" si="26"/>
        <v>1</v>
      </c>
      <c r="G150" s="107">
        <f>G151+G155+G159</f>
        <v>1677051604.0900002</v>
      </c>
      <c r="H150" s="155">
        <v>0.95166658976278562</v>
      </c>
      <c r="I150" s="107">
        <f>I151+I155+I159</f>
        <v>1655991566.0900002</v>
      </c>
      <c r="J150" s="249">
        <f t="shared" si="33"/>
        <v>0.96659201385785287</v>
      </c>
    </row>
    <row r="151" spans="1:10" s="4" customFormat="1" ht="24" customHeight="1" x14ac:dyDescent="0.25">
      <c r="A151" s="143">
        <v>1</v>
      </c>
      <c r="B151" s="144" t="s">
        <v>112</v>
      </c>
      <c r="C151" s="144"/>
      <c r="D151" s="144"/>
      <c r="E151" s="145">
        <f>E152</f>
        <v>1151168031</v>
      </c>
      <c r="F151" s="210">
        <f t="shared" si="26"/>
        <v>1</v>
      </c>
      <c r="G151" s="145">
        <f>G152</f>
        <v>1127537383.1300001</v>
      </c>
      <c r="H151" s="155">
        <v>0.95166658976278562</v>
      </c>
      <c r="I151" s="145">
        <f>I152</f>
        <v>1106477345.1300001</v>
      </c>
      <c r="J151" s="249">
        <f t="shared" si="33"/>
        <v>0.96117796475708428</v>
      </c>
    </row>
    <row r="152" spans="1:10" ht="24" customHeight="1" x14ac:dyDescent="0.2">
      <c r="A152" s="23"/>
      <c r="B152" s="95">
        <v>23</v>
      </c>
      <c r="C152" s="108" t="s">
        <v>985</v>
      </c>
      <c r="D152" s="97"/>
      <c r="E152" s="98">
        <f>SUM(E153:E154)</f>
        <v>1151168031</v>
      </c>
      <c r="F152" s="203">
        <f t="shared" si="26"/>
        <v>1</v>
      </c>
      <c r="G152" s="98">
        <f>SUM(G153:G154)</f>
        <v>1127537383.1300001</v>
      </c>
      <c r="H152" s="155">
        <v>0.95166658976278562</v>
      </c>
      <c r="I152" s="98">
        <f>SUM(I153:I154)</f>
        <v>1106477345.1300001</v>
      </c>
      <c r="J152" s="249">
        <f t="shared" si="33"/>
        <v>0.96117796475708428</v>
      </c>
    </row>
    <row r="153" spans="1:10" s="30" customFormat="1" ht="75.75" customHeight="1" x14ac:dyDescent="0.25">
      <c r="A153" s="55"/>
      <c r="B153" s="56"/>
      <c r="C153" s="46">
        <v>2301</v>
      </c>
      <c r="D153" s="39" t="s">
        <v>986</v>
      </c>
      <c r="E153" s="47">
        <f>'SGTO POAI 2022'!BF264+'SGTO POAI 2022'!BF265+'SGTO POAI 2022'!BF266+'SGTO POAI 2022'!BF267+'SGTO POAI 2022'!BF268+'SGTO POAI 2022'!BF269+'SGTO POAI 2022'!BF270+'SGTO POAI 2022'!BF271+'SGTO POAI 2022'!BF272</f>
        <v>858235000</v>
      </c>
      <c r="F153" s="211">
        <f t="shared" si="26"/>
        <v>1</v>
      </c>
      <c r="G153" s="47">
        <f>'SGTO POAI 2022'!BG264+'SGTO POAI 2022'!BG265+'SGTO POAI 2022'!BG266+'SGTO POAI 2022'!BG267+'SGTO POAI 2022'!BG268+'SGTO POAI 2022'!BG269+'SGTO POAI 2022'!BG270+'SGTO POAI 2022'!BG271+'SGTO POAI 2022'!BG272</f>
        <v>839346610.02999997</v>
      </c>
      <c r="H153" s="155">
        <v>0.95166658976278562</v>
      </c>
      <c r="I153" s="47">
        <f>'SGTO POAI 2022'!BH264+'SGTO POAI 2022'!BH265+'SGTO POAI 2022'!BH266+'SGTO POAI 2022'!BH267+'SGTO POAI 2022'!BH268+'SGTO POAI 2022'!BH269+'SGTO POAI 2022'!BH270+'SGTO POAI 2022'!BH271+'SGTO POAI 2022'!BH272</f>
        <v>818286572.02999997</v>
      </c>
      <c r="J153" s="249">
        <f t="shared" si="33"/>
        <v>0.95345280958012657</v>
      </c>
    </row>
    <row r="154" spans="1:10" s="30" customFormat="1" ht="76.5" customHeight="1" x14ac:dyDescent="0.25">
      <c r="A154" s="57"/>
      <c r="B154" s="58"/>
      <c r="C154" s="46">
        <v>2302</v>
      </c>
      <c r="D154" s="39" t="s">
        <v>1139</v>
      </c>
      <c r="E154" s="47">
        <f>'SGTO POAI 2022'!BF273+'SGTO POAI 2022'!BF274+'SGTO POAI 2022'!BF275+'SGTO POAI 2022'!BF276+'SGTO POAI 2022'!BF277</f>
        <v>292933031</v>
      </c>
      <c r="F154" s="211">
        <f t="shared" si="26"/>
        <v>1</v>
      </c>
      <c r="G154" s="47">
        <f>'SGTO POAI 2022'!BG273+'SGTO POAI 2022'!BG274+'SGTO POAI 2022'!BG275+'SGTO POAI 2022'!BG276+'SGTO POAI 2022'!BG277</f>
        <v>288190773.10000002</v>
      </c>
      <c r="H154" s="155">
        <v>0.95166658976278562</v>
      </c>
      <c r="I154" s="47">
        <f>'SGTO POAI 2022'!BH273+'SGTO POAI 2022'!BH274+'SGTO POAI 2022'!BH275+'SGTO POAI 2022'!BH276+'SGTO POAI 2022'!BH277</f>
        <v>288190773.10000002</v>
      </c>
      <c r="J154" s="249">
        <f t="shared" si="33"/>
        <v>0.98381111927251397</v>
      </c>
    </row>
    <row r="155" spans="1:10" s="4" customFormat="1" ht="24" customHeight="1" x14ac:dyDescent="0.25">
      <c r="A155" s="143">
        <v>2</v>
      </c>
      <c r="B155" s="151" t="s">
        <v>333</v>
      </c>
      <c r="C155" s="144"/>
      <c r="D155" s="144"/>
      <c r="E155" s="145">
        <f>E156</f>
        <v>120891000</v>
      </c>
      <c r="F155" s="210">
        <f t="shared" si="26"/>
        <v>1</v>
      </c>
      <c r="G155" s="145">
        <f>G156</f>
        <v>116498046.96000001</v>
      </c>
      <c r="H155" s="155">
        <v>0.95166658976278562</v>
      </c>
      <c r="I155" s="145">
        <f>I156</f>
        <v>116498046.96000001</v>
      </c>
      <c r="J155" s="249">
        <f t="shared" si="33"/>
        <v>0.96366186862545611</v>
      </c>
    </row>
    <row r="156" spans="1:10" ht="24" customHeight="1" x14ac:dyDescent="0.2">
      <c r="A156" s="149"/>
      <c r="B156" s="152">
        <v>39</v>
      </c>
      <c r="C156" s="150" t="s">
        <v>1137</v>
      </c>
      <c r="D156" s="97"/>
      <c r="E156" s="98">
        <f>SUM(E157:E158)</f>
        <v>120891000</v>
      </c>
      <c r="F156" s="203">
        <f t="shared" si="26"/>
        <v>1</v>
      </c>
      <c r="G156" s="98">
        <f>SUM(G157:G158)</f>
        <v>116498046.96000001</v>
      </c>
      <c r="H156" s="155">
        <v>0.95166658976278562</v>
      </c>
      <c r="I156" s="98">
        <f>SUM(I157:I158)</f>
        <v>116498046.96000001</v>
      </c>
      <c r="J156" s="249">
        <f t="shared" si="33"/>
        <v>0.96366186862545611</v>
      </c>
    </row>
    <row r="157" spans="1:10" s="30" customFormat="1" ht="44.25" customHeight="1" x14ac:dyDescent="0.25">
      <c r="A157" s="55"/>
      <c r="B157" s="25"/>
      <c r="C157" s="79" t="s">
        <v>1022</v>
      </c>
      <c r="D157" s="34" t="s">
        <v>1023</v>
      </c>
      <c r="E157" s="47">
        <f>'SGTO POAI 2022'!BF278+'SGTO POAI 2022'!BF279+'SGTO POAI 2022'!BF280</f>
        <v>90000000</v>
      </c>
      <c r="F157" s="211">
        <f t="shared" si="26"/>
        <v>1</v>
      </c>
      <c r="G157" s="47">
        <f>'SGTO POAI 2022'!BG278+'SGTO POAI 2022'!BG279+'SGTO POAI 2022'!BG280</f>
        <v>86550000</v>
      </c>
      <c r="H157" s="155">
        <v>0.95166658976278562</v>
      </c>
      <c r="I157" s="47">
        <f>'SGTO POAI 2022'!BH278+'SGTO POAI 2022'!BH279+'SGTO POAI 2022'!BH280</f>
        <v>86550000</v>
      </c>
      <c r="J157" s="249">
        <f t="shared" si="33"/>
        <v>0.96166666666666667</v>
      </c>
    </row>
    <row r="158" spans="1:10" s="30" customFormat="1" ht="44.25" customHeight="1" x14ac:dyDescent="0.25">
      <c r="A158" s="57"/>
      <c r="B158" s="25"/>
      <c r="C158" s="79">
        <v>3904</v>
      </c>
      <c r="D158" s="34" t="s">
        <v>642</v>
      </c>
      <c r="E158" s="47">
        <f>'SGTO POAI 2022'!BF281</f>
        <v>30891000</v>
      </c>
      <c r="F158" s="211">
        <f t="shared" si="26"/>
        <v>1</v>
      </c>
      <c r="G158" s="47">
        <f>'SGTO POAI 2022'!BG281</f>
        <v>29948046.960000001</v>
      </c>
      <c r="H158" s="155">
        <v>0.95166658976278562</v>
      </c>
      <c r="I158" s="47">
        <f>'SGTO POAI 2022'!BH281</f>
        <v>29948046.960000001</v>
      </c>
      <c r="J158" s="249">
        <f t="shared" si="33"/>
        <v>0.96947482956200837</v>
      </c>
    </row>
    <row r="159" spans="1:10" s="4" customFormat="1" ht="24" customHeight="1" x14ac:dyDescent="0.25">
      <c r="A159" s="143">
        <v>4</v>
      </c>
      <c r="B159" s="144" t="s">
        <v>27</v>
      </c>
      <c r="C159" s="144"/>
      <c r="D159" s="144"/>
      <c r="E159" s="145">
        <f t="shared" ref="E159:I160" si="34">E160</f>
        <v>441168000</v>
      </c>
      <c r="F159" s="210">
        <f t="shared" si="26"/>
        <v>1</v>
      </c>
      <c r="G159" s="145">
        <f t="shared" si="34"/>
        <v>433016174</v>
      </c>
      <c r="H159" s="155">
        <v>0.95166658976278562</v>
      </c>
      <c r="I159" s="145">
        <f t="shared" si="34"/>
        <v>433016174</v>
      </c>
      <c r="J159" s="249">
        <f t="shared" si="33"/>
        <v>0.9815221729590542</v>
      </c>
    </row>
    <row r="160" spans="1:10" ht="24" customHeight="1" x14ac:dyDescent="0.2">
      <c r="A160" s="23"/>
      <c r="B160" s="95">
        <v>23</v>
      </c>
      <c r="C160" s="108" t="s">
        <v>985</v>
      </c>
      <c r="D160" s="97"/>
      <c r="E160" s="98">
        <f t="shared" si="34"/>
        <v>441168000</v>
      </c>
      <c r="F160" s="203">
        <f t="shared" si="26"/>
        <v>1</v>
      </c>
      <c r="G160" s="98">
        <f t="shared" si="34"/>
        <v>433016174</v>
      </c>
      <c r="H160" s="155">
        <v>0.95166658976278562</v>
      </c>
      <c r="I160" s="98">
        <f t="shared" si="34"/>
        <v>433016174</v>
      </c>
      <c r="J160" s="249">
        <f t="shared" si="33"/>
        <v>0.9815221729590542</v>
      </c>
    </row>
    <row r="161" spans="1:10" s="30" customFormat="1" ht="99.75" customHeight="1" x14ac:dyDescent="0.25">
      <c r="A161" s="57"/>
      <c r="B161" s="37"/>
      <c r="C161" s="24">
        <v>2302</v>
      </c>
      <c r="D161" s="39" t="s">
        <v>1139</v>
      </c>
      <c r="E161" s="47">
        <f>'SGTO POAI 2022'!BF282+'SGTO POAI 2022'!BF283+'SGTO POAI 2022'!BF284+'SGTO POAI 2022'!BF285+'SGTO POAI 2022'!BF286+'SGTO POAI 2022'!BF287</f>
        <v>441168000</v>
      </c>
      <c r="F161" s="211">
        <f t="shared" si="26"/>
        <v>1</v>
      </c>
      <c r="G161" s="47">
        <f>'SGTO POAI 2022'!BG282+'SGTO POAI 2022'!BG283+'SGTO POAI 2022'!BG284+'SGTO POAI 2022'!BG285+'SGTO POAI 2022'!BG286+'SGTO POAI 2022'!BG287</f>
        <v>433016174</v>
      </c>
      <c r="H161" s="155">
        <v>0.95166658976278562</v>
      </c>
      <c r="I161" s="47">
        <f>'SGTO POAI 2022'!BH282+'SGTO POAI 2022'!BH283+'SGTO POAI 2022'!BH284+'SGTO POAI 2022'!BH285+'SGTO POAI 2022'!BH286+'SGTO POAI 2022'!BH287</f>
        <v>433016174</v>
      </c>
      <c r="J161" s="249">
        <f t="shared" si="33"/>
        <v>0.9815221729590542</v>
      </c>
    </row>
    <row r="162" spans="1:10" s="63" customFormat="1" ht="18.75" customHeight="1" x14ac:dyDescent="0.2">
      <c r="A162" s="59"/>
      <c r="B162" s="59"/>
      <c r="C162" s="59"/>
      <c r="D162" s="60"/>
      <c r="E162" s="62"/>
      <c r="F162" s="205"/>
      <c r="G162" s="62"/>
      <c r="I162" s="62"/>
      <c r="J162" s="205"/>
    </row>
    <row r="163" spans="1:10" s="13" customFormat="1" ht="30" customHeight="1" x14ac:dyDescent="0.25">
      <c r="A163" s="124" t="s">
        <v>1052</v>
      </c>
      <c r="B163" s="126"/>
      <c r="C163" s="124"/>
      <c r="D163" s="127"/>
      <c r="E163" s="128">
        <f>E6+E12+E18+E23+E54+E76+E82+E89+E109+E115+E124+E143+E150</f>
        <v>418901771151.37</v>
      </c>
      <c r="F163" s="217">
        <f t="shared" si="26"/>
        <v>1</v>
      </c>
      <c r="G163" s="128">
        <f>G6+G12+G18+G23+G54+G76+G82+G89+G109+G115+G124+G143+G150</f>
        <v>317097630755.74005</v>
      </c>
      <c r="H163" s="155">
        <v>0.95166658976278562</v>
      </c>
      <c r="I163" s="128">
        <f>I6+I12+I18+I23+I54+I76+I82+I89+I109+I115+I124+I143+I150</f>
        <v>303940697499.46002</v>
      </c>
      <c r="J163" s="249">
        <f t="shared" si="33"/>
        <v>0.72556555839825077</v>
      </c>
    </row>
    <row r="164" spans="1:10" s="63" customFormat="1" ht="29.25" customHeight="1" x14ac:dyDescent="0.2">
      <c r="A164" s="59"/>
      <c r="B164" s="59"/>
      <c r="C164" s="59"/>
      <c r="D164" s="60"/>
      <c r="E164" s="62"/>
      <c r="F164" s="205"/>
      <c r="G164" s="62"/>
      <c r="I164" s="62"/>
      <c r="J164" s="205"/>
    </row>
    <row r="165" spans="1:10" ht="24" customHeight="1" x14ac:dyDescent="0.2">
      <c r="A165" s="96" t="s">
        <v>1053</v>
      </c>
      <c r="B165" s="105"/>
      <c r="C165" s="105"/>
      <c r="D165" s="106"/>
      <c r="E165" s="107">
        <f t="shared" ref="E165:I166" si="35">E166</f>
        <v>6744858478.1300011</v>
      </c>
      <c r="F165" s="203">
        <f t="shared" si="26"/>
        <v>1</v>
      </c>
      <c r="G165" s="107">
        <f t="shared" si="35"/>
        <v>6061375487.4200001</v>
      </c>
      <c r="H165" s="155">
        <f>G165/E165</f>
        <v>0.89866607388039732</v>
      </c>
      <c r="I165" s="107">
        <f t="shared" si="35"/>
        <v>5604257003</v>
      </c>
      <c r="J165" s="249">
        <f t="shared" si="33"/>
        <v>0.83089319385597682</v>
      </c>
    </row>
    <row r="166" spans="1:10" ht="24" customHeight="1" x14ac:dyDescent="0.2">
      <c r="A166" s="143">
        <v>1</v>
      </c>
      <c r="B166" s="144" t="s">
        <v>112</v>
      </c>
      <c r="C166" s="144"/>
      <c r="D166" s="144"/>
      <c r="E166" s="145">
        <f t="shared" si="35"/>
        <v>6744858478.1300011</v>
      </c>
      <c r="F166" s="210">
        <f t="shared" si="26"/>
        <v>1</v>
      </c>
      <c r="G166" s="145">
        <f t="shared" si="35"/>
        <v>6061375487.4200001</v>
      </c>
      <c r="H166" s="155">
        <f>G166/E166</f>
        <v>0.89866607388039732</v>
      </c>
      <c r="I166" s="145">
        <f t="shared" si="35"/>
        <v>5604257003</v>
      </c>
      <c r="J166" s="249">
        <f t="shared" si="33"/>
        <v>0.83089319385597682</v>
      </c>
    </row>
    <row r="167" spans="1:10" ht="24" customHeight="1" x14ac:dyDescent="0.2">
      <c r="A167" s="23"/>
      <c r="B167" s="95">
        <v>43</v>
      </c>
      <c r="C167" s="108" t="s">
        <v>141</v>
      </c>
      <c r="D167" s="97"/>
      <c r="E167" s="98">
        <f>SUM(E168:E169)</f>
        <v>6744858478.1300011</v>
      </c>
      <c r="F167" s="203">
        <f t="shared" si="26"/>
        <v>1</v>
      </c>
      <c r="G167" s="98">
        <f>SUM(G168:G169)</f>
        <v>6061375487.4200001</v>
      </c>
      <c r="H167" s="155">
        <f>G167/E167</f>
        <v>0.89866607388039732</v>
      </c>
      <c r="I167" s="98">
        <f>SUM(I168:I169)</f>
        <v>5604257003</v>
      </c>
      <c r="J167" s="249">
        <f t="shared" si="33"/>
        <v>0.83089319385597682</v>
      </c>
    </row>
    <row r="168" spans="1:10" s="16" customFormat="1" ht="76.5" customHeight="1" x14ac:dyDescent="0.2">
      <c r="A168" s="72"/>
      <c r="B168" s="73"/>
      <c r="C168" s="37">
        <v>4301</v>
      </c>
      <c r="D168" s="80" t="s">
        <v>142</v>
      </c>
      <c r="E168" s="47">
        <f>'SGTO POAI 2022'!BF288+'SGTO POAI 2022'!BF289+'SGTO POAI 2022'!BF290+'SGTO POAI 2022'!BF291</f>
        <v>1901407026.7400002</v>
      </c>
      <c r="F168" s="211">
        <f t="shared" si="26"/>
        <v>1</v>
      </c>
      <c r="G168" s="47">
        <f>'SGTO POAI 2022'!BG288+'SGTO POAI 2022'!BG289+'SGTO POAI 2022'!BG290+'SGTO POAI 2022'!BG291</f>
        <v>1754773454.74</v>
      </c>
      <c r="H168" s="155">
        <f>G168/E168</f>
        <v>0.92288154512008591</v>
      </c>
      <c r="I168" s="47">
        <f>'SGTO POAI 2022'!BH288+'SGTO POAI 2022'!BH289+'SGTO POAI 2022'!BH290+'SGTO POAI 2022'!BH291</f>
        <v>1753755145.3199999</v>
      </c>
      <c r="J168" s="249">
        <f t="shared" si="33"/>
        <v>0.92234598939441581</v>
      </c>
    </row>
    <row r="169" spans="1:10" s="16" customFormat="1" ht="37.5" customHeight="1" x14ac:dyDescent="0.2">
      <c r="A169" s="74"/>
      <c r="B169" s="57"/>
      <c r="C169" s="37">
        <v>4302</v>
      </c>
      <c r="D169" s="80" t="s">
        <v>1067</v>
      </c>
      <c r="E169" s="47">
        <f>'SGTO POAI 2022'!BF292+'SGTO POAI 2022'!BF293</f>
        <v>4843451451.3900003</v>
      </c>
      <c r="F169" s="211">
        <f t="shared" si="26"/>
        <v>1</v>
      </c>
      <c r="G169" s="47">
        <f>'SGTO POAI 2022'!BG292+'SGTO POAI 2022'!BG293</f>
        <v>4306602032.6800003</v>
      </c>
      <c r="H169" s="155">
        <f>G169/E169</f>
        <v>0.8891597398883947</v>
      </c>
      <c r="I169" s="47">
        <f>'SGTO POAI 2022'!BH292+'SGTO POAI 2022'!BH293</f>
        <v>3850501857.6800003</v>
      </c>
      <c r="J169" s="249">
        <f t="shared" si="33"/>
        <v>0.79499131896428155</v>
      </c>
    </row>
    <row r="170" spans="1:10" s="63" customFormat="1" ht="18.75" customHeight="1" x14ac:dyDescent="0.2">
      <c r="A170" s="59"/>
      <c r="B170" s="59"/>
      <c r="C170" s="59"/>
      <c r="D170" s="60"/>
      <c r="E170" s="62"/>
      <c r="F170" s="205"/>
      <c r="G170" s="62"/>
      <c r="I170" s="62"/>
      <c r="J170" s="205"/>
    </row>
    <row r="171" spans="1:10" s="63" customFormat="1" ht="24" customHeight="1" x14ac:dyDescent="0.2">
      <c r="A171" s="96" t="s">
        <v>1505</v>
      </c>
      <c r="B171" s="105"/>
      <c r="C171" s="105"/>
      <c r="D171" s="106"/>
      <c r="E171" s="107">
        <f>E172+E177+E182</f>
        <v>3175054512</v>
      </c>
      <c r="F171" s="203">
        <f t="shared" si="26"/>
        <v>1</v>
      </c>
      <c r="G171" s="107">
        <f>G172+G177+G182</f>
        <v>1653436281.1399999</v>
      </c>
      <c r="H171" s="155">
        <f t="shared" ref="H171:H184" si="36">G171/E171</f>
        <v>0.52075839167198523</v>
      </c>
      <c r="I171" s="107">
        <f>I172+I177+I182</f>
        <v>1503885425.1399999</v>
      </c>
      <c r="J171" s="249">
        <f t="shared" si="33"/>
        <v>0.47365656855846761</v>
      </c>
    </row>
    <row r="172" spans="1:10" s="63" customFormat="1" ht="24" customHeight="1" x14ac:dyDescent="0.2">
      <c r="A172" s="143">
        <v>1</v>
      </c>
      <c r="B172" s="144" t="s">
        <v>112</v>
      </c>
      <c r="C172" s="144"/>
      <c r="D172" s="144"/>
      <c r="E172" s="145">
        <f>E173+E175</f>
        <v>1597009971</v>
      </c>
      <c r="F172" s="210">
        <f t="shared" si="26"/>
        <v>1</v>
      </c>
      <c r="G172" s="145">
        <f>G173+G175</f>
        <v>887057591.56999993</v>
      </c>
      <c r="H172" s="155">
        <f t="shared" si="36"/>
        <v>0.55544900011773313</v>
      </c>
      <c r="I172" s="145">
        <f>I173+I175</f>
        <v>737506735.56999993</v>
      </c>
      <c r="J172" s="249">
        <f t="shared" si="33"/>
        <v>0.46180471566385728</v>
      </c>
    </row>
    <row r="173" spans="1:10" ht="24" customHeight="1" x14ac:dyDescent="0.2">
      <c r="A173" s="23"/>
      <c r="B173" s="95">
        <v>43</v>
      </c>
      <c r="C173" s="108" t="s">
        <v>141</v>
      </c>
      <c r="D173" s="97"/>
      <c r="E173" s="98">
        <f>E174</f>
        <v>798809971</v>
      </c>
      <c r="F173" s="203">
        <f t="shared" si="26"/>
        <v>1</v>
      </c>
      <c r="G173" s="98">
        <f>G174</f>
        <v>606487005</v>
      </c>
      <c r="H173" s="155">
        <f t="shared" si="36"/>
        <v>0.75923815052128341</v>
      </c>
      <c r="I173" s="98">
        <f>I174</f>
        <v>456936149</v>
      </c>
      <c r="J173" s="249">
        <f t="shared" si="33"/>
        <v>0.57202108835469201</v>
      </c>
    </row>
    <row r="174" spans="1:10" s="76" customFormat="1" ht="76.5" customHeight="1" x14ac:dyDescent="0.2">
      <c r="A174" s="82"/>
      <c r="B174" s="46"/>
      <c r="C174" s="21">
        <v>4301</v>
      </c>
      <c r="D174" s="39" t="s">
        <v>142</v>
      </c>
      <c r="E174" s="47">
        <f>'SGTO POAI 2022'!BF294</f>
        <v>798809971</v>
      </c>
      <c r="F174" s="211">
        <f t="shared" si="26"/>
        <v>1</v>
      </c>
      <c r="G174" s="47">
        <f>'SGTO POAI 2022'!BG294</f>
        <v>606487005</v>
      </c>
      <c r="H174" s="155">
        <f t="shared" si="36"/>
        <v>0.75923815052128341</v>
      </c>
      <c r="I174" s="47">
        <f>'SGTO POAI 2022'!BH294</f>
        <v>456936149</v>
      </c>
      <c r="J174" s="249">
        <f t="shared" si="33"/>
        <v>0.57202108835469201</v>
      </c>
    </row>
    <row r="175" spans="1:10" ht="24" customHeight="1" x14ac:dyDescent="0.2">
      <c r="A175" s="65"/>
      <c r="B175" s="95">
        <v>22</v>
      </c>
      <c r="C175" s="108" t="s">
        <v>124</v>
      </c>
      <c r="D175" s="97"/>
      <c r="E175" s="98">
        <f>E176</f>
        <v>798200000</v>
      </c>
      <c r="F175" s="203">
        <f t="shared" si="26"/>
        <v>1</v>
      </c>
      <c r="G175" s="98">
        <f>G176</f>
        <v>280570586.56999999</v>
      </c>
      <c r="H175" s="155">
        <f t="shared" si="36"/>
        <v>0.35150411747682286</v>
      </c>
      <c r="I175" s="98">
        <f>I176</f>
        <v>280570586.56999999</v>
      </c>
      <c r="J175" s="249">
        <f t="shared" si="33"/>
        <v>0.35150411747682286</v>
      </c>
    </row>
    <row r="176" spans="1:10" s="76" customFormat="1" ht="53.25" customHeight="1" x14ac:dyDescent="0.2">
      <c r="A176" s="83"/>
      <c r="B176" s="46"/>
      <c r="C176" s="21">
        <v>2201</v>
      </c>
      <c r="D176" s="39" t="s">
        <v>229</v>
      </c>
      <c r="E176" s="47">
        <f>'SGTO POAI 2022'!BF295</f>
        <v>798200000</v>
      </c>
      <c r="F176" s="211">
        <f t="shared" si="26"/>
        <v>1</v>
      </c>
      <c r="G176" s="47">
        <f>'SGTO POAI 2022'!BG295</f>
        <v>280570586.56999999</v>
      </c>
      <c r="H176" s="155">
        <f t="shared" si="36"/>
        <v>0.35150411747682286</v>
      </c>
      <c r="I176" s="47">
        <f>'SGTO POAI 2022'!BH295</f>
        <v>280570586.56999999</v>
      </c>
      <c r="J176" s="249">
        <f t="shared" si="33"/>
        <v>0.35150411747682286</v>
      </c>
    </row>
    <row r="177" spans="1:10" s="63" customFormat="1" ht="24" customHeight="1" x14ac:dyDescent="0.2">
      <c r="A177" s="143">
        <v>3</v>
      </c>
      <c r="B177" s="144" t="s">
        <v>150</v>
      </c>
      <c r="C177" s="144"/>
      <c r="D177" s="144"/>
      <c r="E177" s="145">
        <f>E178+E180</f>
        <v>1528044541</v>
      </c>
      <c r="F177" s="210">
        <f t="shared" si="26"/>
        <v>1</v>
      </c>
      <c r="G177" s="145">
        <f>G178+G180</f>
        <v>756378689.56999993</v>
      </c>
      <c r="H177" s="155">
        <f t="shared" si="36"/>
        <v>0.49499780227283308</v>
      </c>
      <c r="I177" s="145">
        <f>I178+I180</f>
        <v>756378689.56999993</v>
      </c>
      <c r="J177" s="249">
        <f t="shared" si="33"/>
        <v>0.49499780227283308</v>
      </c>
    </row>
    <row r="178" spans="1:10" ht="24" customHeight="1" x14ac:dyDescent="0.2">
      <c r="A178" s="23"/>
      <c r="B178" s="95">
        <v>24</v>
      </c>
      <c r="C178" s="108" t="s">
        <v>151</v>
      </c>
      <c r="D178" s="97"/>
      <c r="E178" s="98">
        <f>E179</f>
        <v>325000000</v>
      </c>
      <c r="F178" s="203">
        <f t="shared" si="26"/>
        <v>1</v>
      </c>
      <c r="G178" s="98">
        <f>G179</f>
        <v>316276377.43000001</v>
      </c>
      <c r="H178" s="155">
        <f t="shared" si="36"/>
        <v>0.97315808440000007</v>
      </c>
      <c r="I178" s="98">
        <f>I179</f>
        <v>316276377.43000001</v>
      </c>
      <c r="J178" s="249">
        <f t="shared" si="33"/>
        <v>0.97315808440000007</v>
      </c>
    </row>
    <row r="179" spans="1:10" s="63" customFormat="1" ht="42" customHeight="1" x14ac:dyDescent="0.2">
      <c r="A179" s="84"/>
      <c r="B179" s="85"/>
      <c r="C179" s="21">
        <v>2402</v>
      </c>
      <c r="D179" s="40" t="s">
        <v>152</v>
      </c>
      <c r="E179" s="86">
        <f>'SGTO POAI 2022'!BF296</f>
        <v>325000000</v>
      </c>
      <c r="F179" s="218">
        <f t="shared" ref="F179:F184" si="37">E179/E179</f>
        <v>1</v>
      </c>
      <c r="G179" s="86">
        <f>'SGTO POAI 2022'!BG296</f>
        <v>316276377.43000001</v>
      </c>
      <c r="H179" s="155">
        <f t="shared" si="36"/>
        <v>0.97315808440000007</v>
      </c>
      <c r="I179" s="86">
        <f>'SGTO POAI 2022'!BH296</f>
        <v>316276377.43000001</v>
      </c>
      <c r="J179" s="249">
        <f t="shared" si="33"/>
        <v>0.97315808440000007</v>
      </c>
    </row>
    <row r="180" spans="1:10" ht="24" customHeight="1" x14ac:dyDescent="0.2">
      <c r="A180" s="65"/>
      <c r="B180" s="95">
        <v>40</v>
      </c>
      <c r="C180" s="108" t="s">
        <v>182</v>
      </c>
      <c r="D180" s="97"/>
      <c r="E180" s="98">
        <f>E181</f>
        <v>1203044541</v>
      </c>
      <c r="F180" s="203">
        <f t="shared" si="37"/>
        <v>1</v>
      </c>
      <c r="G180" s="98">
        <f>G181</f>
        <v>440102312.13999999</v>
      </c>
      <c r="H180" s="155">
        <f t="shared" si="36"/>
        <v>0.36582378884673394</v>
      </c>
      <c r="I180" s="98">
        <f>I181</f>
        <v>440102312.13999999</v>
      </c>
      <c r="J180" s="249">
        <f t="shared" si="33"/>
        <v>0.36582378884673394</v>
      </c>
    </row>
    <row r="181" spans="1:10" s="63" customFormat="1" ht="44.25" customHeight="1" x14ac:dyDescent="0.2">
      <c r="A181" s="87"/>
      <c r="B181" s="85"/>
      <c r="C181" s="21">
        <v>4001</v>
      </c>
      <c r="D181" s="88" t="s">
        <v>183</v>
      </c>
      <c r="E181" s="86">
        <f>'SGTO POAI 2022'!BF297+'SGTO POAI 2022'!BF298+'SGTO POAI 2022'!BF299+'SGTO POAI 2022'!BF300+'SGTO POAI 2022'!BF301+'SGTO POAI 2022'!BF302+'SGTO POAI 2022'!BF303</f>
        <v>1203044541</v>
      </c>
      <c r="F181" s="218">
        <f t="shared" si="37"/>
        <v>1</v>
      </c>
      <c r="G181" s="86">
        <f>'SGTO POAI 2022'!BG297+'SGTO POAI 2022'!BG298+'SGTO POAI 2022'!BG299+'SGTO POAI 2022'!BG300+'SGTO POAI 2022'!BG301+'SGTO POAI 2022'!BG302+'SGTO POAI 2022'!BG303</f>
        <v>440102312.13999999</v>
      </c>
      <c r="H181" s="155">
        <f t="shared" si="36"/>
        <v>0.36582378884673394</v>
      </c>
      <c r="I181" s="86">
        <f>'SGTO POAI 2022'!BH297+'SGTO POAI 2022'!BH298+'SGTO POAI 2022'!BH299+'SGTO POAI 2022'!BH300+'SGTO POAI 2022'!BH301+'SGTO POAI 2022'!BH302+'SGTO POAI 2022'!BH303</f>
        <v>440102312.13999999</v>
      </c>
      <c r="J181" s="249">
        <f t="shared" si="33"/>
        <v>0.36582378884673394</v>
      </c>
    </row>
    <row r="182" spans="1:10" s="4" customFormat="1" ht="24" customHeight="1" x14ac:dyDescent="0.25">
      <c r="A182" s="143">
        <v>4</v>
      </c>
      <c r="B182" s="144" t="s">
        <v>27</v>
      </c>
      <c r="C182" s="144"/>
      <c r="D182" s="144"/>
      <c r="E182" s="145">
        <f>E183</f>
        <v>50000000</v>
      </c>
      <c r="F182" s="210">
        <f t="shared" si="37"/>
        <v>1</v>
      </c>
      <c r="G182" s="145">
        <f>G183</f>
        <v>10000000</v>
      </c>
      <c r="H182" s="155">
        <f t="shared" si="36"/>
        <v>0.2</v>
      </c>
      <c r="I182" s="145">
        <f>I183</f>
        <v>10000000</v>
      </c>
      <c r="J182" s="249">
        <f t="shared" si="33"/>
        <v>0.2</v>
      </c>
    </row>
    <row r="183" spans="1:10" s="103" customFormat="1" ht="24" customHeight="1" x14ac:dyDescent="0.2">
      <c r="A183" s="23"/>
      <c r="B183" s="95">
        <v>45</v>
      </c>
      <c r="C183" s="108" t="s">
        <v>28</v>
      </c>
      <c r="D183" s="97"/>
      <c r="E183" s="98">
        <f>E184</f>
        <v>50000000</v>
      </c>
      <c r="F183" s="203">
        <f t="shared" si="37"/>
        <v>1</v>
      </c>
      <c r="G183" s="98">
        <f>G184</f>
        <v>10000000</v>
      </c>
      <c r="H183" s="155">
        <f t="shared" si="36"/>
        <v>0.2</v>
      </c>
      <c r="I183" s="98">
        <f>I184</f>
        <v>10000000</v>
      </c>
      <c r="J183" s="249">
        <f t="shared" si="33"/>
        <v>0.2</v>
      </c>
    </row>
    <row r="184" spans="1:10" s="30" customFormat="1" ht="99.75" customHeight="1" x14ac:dyDescent="0.25">
      <c r="A184" s="57"/>
      <c r="B184" s="37"/>
      <c r="C184" s="24">
        <v>4599</v>
      </c>
      <c r="D184" s="109" t="s">
        <v>29</v>
      </c>
      <c r="E184" s="47">
        <f>'SGTO POAI 2022'!BF304</f>
        <v>50000000</v>
      </c>
      <c r="F184" s="211">
        <f t="shared" si="37"/>
        <v>1</v>
      </c>
      <c r="G184" s="47">
        <f>'SGTO POAI 2022'!BG304</f>
        <v>10000000</v>
      </c>
      <c r="H184" s="155">
        <f t="shared" si="36"/>
        <v>0.2</v>
      </c>
      <c r="I184" s="47">
        <f>'SGTO POAI 2022'!BH304</f>
        <v>10000000</v>
      </c>
      <c r="J184" s="249">
        <f t="shared" si="33"/>
        <v>0.2</v>
      </c>
    </row>
    <row r="185" spans="1:10" s="63" customFormat="1" ht="18.75" customHeight="1" x14ac:dyDescent="0.2">
      <c r="A185" s="59"/>
      <c r="B185" s="59"/>
      <c r="C185" s="59"/>
      <c r="D185" s="60"/>
      <c r="E185" s="62"/>
      <c r="F185" s="205"/>
      <c r="G185" s="62"/>
      <c r="I185" s="62"/>
      <c r="J185" s="205"/>
    </row>
    <row r="186" spans="1:10" ht="24" customHeight="1" x14ac:dyDescent="0.2">
      <c r="A186" s="96" t="s">
        <v>1106</v>
      </c>
      <c r="B186" s="105"/>
      <c r="C186" s="105"/>
      <c r="D186" s="106"/>
      <c r="E186" s="107">
        <f>E187</f>
        <v>113516300</v>
      </c>
      <c r="F186" s="203">
        <f>E186/E186</f>
        <v>1</v>
      </c>
      <c r="G186" s="107">
        <f t="shared" ref="G186:I188" si="38">G187</f>
        <v>112804044</v>
      </c>
      <c r="H186" s="155">
        <f t="shared" ref="H186:H193" si="39">G186/E186</f>
        <v>0.9937255178331218</v>
      </c>
      <c r="I186" s="107">
        <f t="shared" si="38"/>
        <v>112804044</v>
      </c>
      <c r="J186" s="249">
        <f t="shared" si="33"/>
        <v>0.9937255178331218</v>
      </c>
    </row>
    <row r="187" spans="1:10" ht="24" customHeight="1" x14ac:dyDescent="0.2">
      <c r="A187" s="143">
        <v>3</v>
      </c>
      <c r="B187" s="144" t="s">
        <v>150</v>
      </c>
      <c r="C187" s="144"/>
      <c r="D187" s="144"/>
      <c r="E187" s="145">
        <f>E188</f>
        <v>113516300</v>
      </c>
      <c r="F187" s="210">
        <f>E187/E187</f>
        <v>1</v>
      </c>
      <c r="G187" s="145">
        <f t="shared" si="38"/>
        <v>112804044</v>
      </c>
      <c r="H187" s="155">
        <f t="shared" si="39"/>
        <v>0.9937255178331218</v>
      </c>
      <c r="I187" s="145">
        <f t="shared" si="38"/>
        <v>112804044</v>
      </c>
      <c r="J187" s="249">
        <f t="shared" si="33"/>
        <v>0.9937255178331218</v>
      </c>
    </row>
    <row r="188" spans="1:10" ht="24" customHeight="1" x14ac:dyDescent="0.2">
      <c r="A188" s="23"/>
      <c r="B188" s="95">
        <v>24</v>
      </c>
      <c r="C188" s="108" t="s">
        <v>151</v>
      </c>
      <c r="D188" s="97"/>
      <c r="E188" s="98">
        <f>E189</f>
        <v>113516300</v>
      </c>
      <c r="F188" s="203">
        <f>E188/E188</f>
        <v>1</v>
      </c>
      <c r="G188" s="98">
        <f t="shared" si="38"/>
        <v>112804044</v>
      </c>
      <c r="H188" s="155">
        <f t="shared" si="39"/>
        <v>0.9937255178331218</v>
      </c>
      <c r="I188" s="98">
        <f t="shared" si="38"/>
        <v>112804044</v>
      </c>
      <c r="J188" s="249">
        <f t="shared" si="33"/>
        <v>0.9937255178331218</v>
      </c>
    </row>
    <row r="189" spans="1:10" s="16" customFormat="1" ht="54" customHeight="1" x14ac:dyDescent="0.2">
      <c r="A189" s="57"/>
      <c r="B189" s="37"/>
      <c r="C189" s="21">
        <v>2409</v>
      </c>
      <c r="D189" s="39" t="s">
        <v>1107</v>
      </c>
      <c r="E189" s="47">
        <f>'SGTO POAI 2022'!BF305+'SGTO POAI 2022'!BF306+'SGTO POAI 2022'!BF307+'SGTO POAI 2022'!BF308</f>
        <v>113516300</v>
      </c>
      <c r="F189" s="211">
        <f>E189/E189</f>
        <v>1</v>
      </c>
      <c r="G189" s="47">
        <f>'SGTO POAI 2022'!BG305+'SGTO POAI 2022'!BG306+'SGTO POAI 2022'!BG307+'SGTO POAI 2022'!BG308</f>
        <v>112804044</v>
      </c>
      <c r="H189" s="155">
        <f t="shared" si="39"/>
        <v>0.9937255178331218</v>
      </c>
      <c r="I189" s="47">
        <f>'SGTO POAI 2022'!BH305+'SGTO POAI 2022'!BH306+'SGTO POAI 2022'!BH307+'SGTO POAI 2022'!BH308</f>
        <v>112804044</v>
      </c>
      <c r="J189" s="249">
        <f t="shared" si="33"/>
        <v>0.9937255178331218</v>
      </c>
    </row>
    <row r="190" spans="1:10" s="63" customFormat="1" ht="18.75" customHeight="1" x14ac:dyDescent="0.2">
      <c r="A190" s="7"/>
      <c r="B190" s="7"/>
      <c r="C190" s="7"/>
      <c r="D190" s="8"/>
      <c r="E190" s="89"/>
      <c r="F190" s="207"/>
      <c r="G190" s="89"/>
      <c r="I190" s="89"/>
      <c r="J190" s="207"/>
    </row>
    <row r="191" spans="1:10" s="90" customFormat="1" ht="30" customHeight="1" x14ac:dyDescent="0.25">
      <c r="A191" s="124" t="s">
        <v>1272</v>
      </c>
      <c r="B191" s="124"/>
      <c r="C191" s="124"/>
      <c r="D191" s="124"/>
      <c r="E191" s="125">
        <f>E186+E171+E165</f>
        <v>10033429290.130001</v>
      </c>
      <c r="F191" s="210">
        <f>E191/E191</f>
        <v>1</v>
      </c>
      <c r="G191" s="233">
        <f>G186+G171+G165</f>
        <v>7827615812.5599995</v>
      </c>
      <c r="H191" s="155">
        <f t="shared" si="39"/>
        <v>0.78015358320809758</v>
      </c>
      <c r="I191" s="234">
        <f>I186+I171+I165</f>
        <v>7220946472.1399994</v>
      </c>
      <c r="J191" s="249">
        <f t="shared" si="33"/>
        <v>0.7196887787153019</v>
      </c>
    </row>
    <row r="192" spans="1:10" s="90" customFormat="1" ht="16.5" thickBot="1" x14ac:dyDescent="0.3">
      <c r="A192" s="91"/>
      <c r="B192" s="91"/>
      <c r="C192" s="91"/>
      <c r="D192" s="92"/>
      <c r="E192" s="93"/>
      <c r="F192" s="208"/>
      <c r="G192" s="93"/>
      <c r="I192" s="93"/>
      <c r="J192" s="208"/>
    </row>
    <row r="193" spans="1:10" s="90" customFormat="1" ht="30" customHeight="1" thickBot="1" x14ac:dyDescent="0.3">
      <c r="A193" s="120" t="s">
        <v>1123</v>
      </c>
      <c r="B193" s="121"/>
      <c r="C193" s="121"/>
      <c r="D193" s="122"/>
      <c r="E193" s="123">
        <f>E163+E191</f>
        <v>428935200441.5</v>
      </c>
      <c r="F193" s="209">
        <v>1</v>
      </c>
      <c r="G193" s="123">
        <f>G163+G191</f>
        <v>324925246568.30005</v>
      </c>
      <c r="H193" s="232">
        <f t="shared" si="39"/>
        <v>0.75751592835900805</v>
      </c>
      <c r="I193" s="123">
        <f>I163+I191</f>
        <v>311161643971.60004</v>
      </c>
      <c r="J193" s="249">
        <f t="shared" si="33"/>
        <v>0.72542809182208301</v>
      </c>
    </row>
    <row r="195" spans="1:10" ht="28.5" customHeight="1" x14ac:dyDescent="0.2"/>
    <row r="197" spans="1:10" ht="15.75" thickBot="1" x14ac:dyDescent="0.25">
      <c r="G197" s="8"/>
      <c r="I197" s="8"/>
    </row>
    <row r="198" spans="1:10" ht="15.75" customHeight="1" x14ac:dyDescent="0.2">
      <c r="E198" s="656" t="s">
        <v>1482</v>
      </c>
      <c r="F198" s="657"/>
    </row>
    <row r="199" spans="1:10" ht="15" customHeight="1" x14ac:dyDescent="0.2">
      <c r="E199" s="658" t="s">
        <v>1440</v>
      </c>
      <c r="F199" s="659"/>
    </row>
    <row r="200" spans="1:10" ht="15" customHeight="1" x14ac:dyDescent="0.2">
      <c r="E200" s="660" t="s">
        <v>1442</v>
      </c>
      <c r="F200" s="661"/>
    </row>
    <row r="201" spans="1:10" x14ac:dyDescent="0.2">
      <c r="E201" s="641" t="s">
        <v>1444</v>
      </c>
      <c r="F201" s="642"/>
    </row>
    <row r="202" spans="1:10" x14ac:dyDescent="0.2">
      <c r="E202" s="643" t="s">
        <v>1446</v>
      </c>
      <c r="F202" s="644"/>
    </row>
    <row r="203" spans="1:10" ht="15.75" thickBot="1" x14ac:dyDescent="0.25">
      <c r="E203" s="645" t="s">
        <v>1447</v>
      </c>
      <c r="F203" s="646"/>
    </row>
  </sheetData>
  <mergeCells count="8">
    <mergeCell ref="E201:F201"/>
    <mergeCell ref="E202:F202"/>
    <mergeCell ref="E203:F203"/>
    <mergeCell ref="A1:J4"/>
    <mergeCell ref="C5:D5"/>
    <mergeCell ref="E198:F198"/>
    <mergeCell ref="E199:F199"/>
    <mergeCell ref="E200:F200"/>
  </mergeCells>
  <conditionalFormatting sqref="H6">
    <cfRule type="cellIs" dxfId="569" priority="216" operator="between">
      <formula>0</formula>
      <formula>0.3999</formula>
    </cfRule>
    <cfRule type="cellIs" dxfId="568" priority="217" operator="between">
      <formula>0.4</formula>
      <formula>0.59</formula>
    </cfRule>
    <cfRule type="cellIs" dxfId="567" priority="218" operator="between">
      <formula>0.6</formula>
      <formula>0.69</formula>
    </cfRule>
    <cfRule type="cellIs" dxfId="566" priority="219" operator="between">
      <formula>0.7</formula>
      <formula>0.79</formula>
    </cfRule>
    <cfRule type="cellIs" dxfId="565" priority="220" operator="between">
      <formula>0.8</formula>
      <formula>1</formula>
    </cfRule>
  </conditionalFormatting>
  <conditionalFormatting sqref="H7">
    <cfRule type="cellIs" dxfId="564" priority="211" operator="between">
      <formula>0</formula>
      <formula>0.3999</formula>
    </cfRule>
    <cfRule type="cellIs" dxfId="563" priority="212" operator="between">
      <formula>0.4</formula>
      <formula>0.59</formula>
    </cfRule>
    <cfRule type="cellIs" dxfId="562" priority="213" operator="between">
      <formula>0.6</formula>
      <formula>0.69</formula>
    </cfRule>
    <cfRule type="cellIs" dxfId="561" priority="214" operator="between">
      <formula>0.7</formula>
      <formula>0.79</formula>
    </cfRule>
    <cfRule type="cellIs" dxfId="560" priority="215" operator="between">
      <formula>0.8</formula>
      <formula>1</formula>
    </cfRule>
  </conditionalFormatting>
  <conditionalFormatting sqref="H8:H10">
    <cfRule type="cellIs" dxfId="559" priority="206" operator="between">
      <formula>0</formula>
      <formula>0.3999</formula>
    </cfRule>
    <cfRule type="cellIs" dxfId="558" priority="207" operator="between">
      <formula>0.4</formula>
      <formula>0.59</formula>
    </cfRule>
    <cfRule type="cellIs" dxfId="557" priority="208" operator="between">
      <formula>0.6</formula>
      <formula>0.69</formula>
    </cfRule>
    <cfRule type="cellIs" dxfId="556" priority="209" operator="between">
      <formula>0.695</formula>
      <formula>0.79</formula>
    </cfRule>
    <cfRule type="cellIs" dxfId="555" priority="210" operator="between">
      <formula>0.8</formula>
      <formula>1</formula>
    </cfRule>
  </conditionalFormatting>
  <conditionalFormatting sqref="H12:H16">
    <cfRule type="cellIs" dxfId="554" priority="201" operator="between">
      <formula>0</formula>
      <formula>0.3999</formula>
    </cfRule>
    <cfRule type="cellIs" dxfId="553" priority="202" operator="between">
      <formula>0.4</formula>
      <formula>0.59</formula>
    </cfRule>
    <cfRule type="cellIs" dxfId="552" priority="203" operator="between">
      <formula>0.6</formula>
      <formula>0.69</formula>
    </cfRule>
    <cfRule type="cellIs" dxfId="551" priority="204" operator="between">
      <formula>0.695</formula>
      <formula>0.7949</formula>
    </cfRule>
    <cfRule type="cellIs" dxfId="550" priority="205" operator="between">
      <formula>0.795</formula>
      <formula>1</formula>
    </cfRule>
  </conditionalFormatting>
  <conditionalFormatting sqref="H18:H21">
    <cfRule type="cellIs" dxfId="549" priority="196" operator="between">
      <formula>0</formula>
      <formula>0.3999</formula>
    </cfRule>
    <cfRule type="cellIs" dxfId="548" priority="197" operator="between">
      <formula>0.4</formula>
      <formula>0.59</formula>
    </cfRule>
    <cfRule type="cellIs" dxfId="547" priority="198" operator="between">
      <formula>0.6</formula>
      <formula>0.69</formula>
    </cfRule>
    <cfRule type="cellIs" dxfId="546" priority="199" operator="between">
      <formula>0.7</formula>
      <formula>0.79</formula>
    </cfRule>
    <cfRule type="cellIs" dxfId="545" priority="200" operator="between">
      <formula>0.8</formula>
      <formula>1</formula>
    </cfRule>
  </conditionalFormatting>
  <conditionalFormatting sqref="H23:H27 H29:H52">
    <cfRule type="cellIs" dxfId="544" priority="191" operator="between">
      <formula>0</formula>
      <formula>0.3999</formula>
    </cfRule>
    <cfRule type="cellIs" dxfId="543" priority="192" operator="between">
      <formula>0.4</formula>
      <formula>0.59</formula>
    </cfRule>
    <cfRule type="cellIs" dxfId="542" priority="193" operator="between">
      <formula>0.6</formula>
      <formula>0.69</formula>
    </cfRule>
    <cfRule type="cellIs" dxfId="541" priority="194" operator="between">
      <formula>0.7</formula>
      <formula>0.79</formula>
    </cfRule>
    <cfRule type="cellIs" dxfId="540" priority="195" operator="between">
      <formula>0.8</formula>
      <formula>1</formula>
    </cfRule>
  </conditionalFormatting>
  <conditionalFormatting sqref="H54:H74">
    <cfRule type="cellIs" dxfId="539" priority="186" operator="between">
      <formula>0</formula>
      <formula>0.3999</formula>
    </cfRule>
    <cfRule type="cellIs" dxfId="538" priority="187" operator="between">
      <formula>0.395</formula>
      <formula>0.5949</formula>
    </cfRule>
    <cfRule type="cellIs" dxfId="537" priority="188" operator="between">
      <formula>0.6</formula>
      <formula>0.69</formula>
    </cfRule>
    <cfRule type="cellIs" dxfId="536" priority="189" operator="between">
      <formula>0.7</formula>
      <formula>0.79</formula>
    </cfRule>
    <cfRule type="cellIs" dxfId="535" priority="190" operator="between">
      <formula>0.8</formula>
      <formula>1</formula>
    </cfRule>
  </conditionalFormatting>
  <conditionalFormatting sqref="H76:H80">
    <cfRule type="cellIs" dxfId="534" priority="181" operator="between">
      <formula>0</formula>
      <formula>0.3999</formula>
    </cfRule>
    <cfRule type="cellIs" dxfId="533" priority="182" operator="between">
      <formula>0.4</formula>
      <formula>0.59</formula>
    </cfRule>
    <cfRule type="cellIs" dxfId="532" priority="183" operator="between">
      <formula>0.6</formula>
      <formula>0.69</formula>
    </cfRule>
    <cfRule type="cellIs" dxfId="531" priority="184" operator="between">
      <formula>0.7</formula>
      <formula>0.79</formula>
    </cfRule>
    <cfRule type="cellIs" dxfId="530" priority="185" operator="between">
      <formula>0.795</formula>
      <formula>1</formula>
    </cfRule>
  </conditionalFormatting>
  <conditionalFormatting sqref="H82:H87">
    <cfRule type="cellIs" dxfId="529" priority="176" operator="between">
      <formula>0</formula>
      <formula>0.3999</formula>
    </cfRule>
    <cfRule type="cellIs" dxfId="528" priority="177" operator="between">
      <formula>0.4</formula>
      <formula>0.59</formula>
    </cfRule>
    <cfRule type="cellIs" dxfId="527" priority="178" operator="between">
      <formula>0.6</formula>
      <formula>0.69</formula>
    </cfRule>
    <cfRule type="cellIs" dxfId="526" priority="179" operator="between">
      <formula>0.7</formula>
      <formula>0.79</formula>
    </cfRule>
    <cfRule type="cellIs" dxfId="525" priority="180" operator="between">
      <formula>0.8</formula>
      <formula>1</formula>
    </cfRule>
  </conditionalFormatting>
  <conditionalFormatting sqref="H89:H107">
    <cfRule type="cellIs" dxfId="524" priority="171" operator="between">
      <formula>0</formula>
      <formula>0.3999</formula>
    </cfRule>
    <cfRule type="cellIs" dxfId="523" priority="172" operator="between">
      <formula>0.4</formula>
      <formula>0.59</formula>
    </cfRule>
    <cfRule type="cellIs" dxfId="522" priority="173" operator="between">
      <formula>0.6</formula>
      <formula>0.69</formula>
    </cfRule>
    <cfRule type="cellIs" dxfId="521" priority="174" operator="between">
      <formula>0.7</formula>
      <formula>0.79</formula>
    </cfRule>
    <cfRule type="cellIs" dxfId="520" priority="175" operator="between">
      <formula>0.8</formula>
      <formula>1</formula>
    </cfRule>
  </conditionalFormatting>
  <conditionalFormatting sqref="H109:H113 H115:H122 H124:H141">
    <cfRule type="cellIs" dxfId="519" priority="166" operator="between">
      <formula>0</formula>
      <formula>0.3999</formula>
    </cfRule>
    <cfRule type="cellIs" dxfId="518" priority="167" operator="between">
      <formula>0.4</formula>
      <formula>0.59</formula>
    </cfRule>
    <cfRule type="cellIs" dxfId="517" priority="168" operator="between">
      <formula>0.595</formula>
      <formula>0.6949</formula>
    </cfRule>
    <cfRule type="cellIs" dxfId="516" priority="169" operator="between">
      <formula>0.695</formula>
      <formula>0.79</formula>
    </cfRule>
    <cfRule type="cellIs" dxfId="515" priority="170" operator="between">
      <formula>0.8</formula>
      <formula>1</formula>
    </cfRule>
  </conditionalFormatting>
  <conditionalFormatting sqref="H143:H148">
    <cfRule type="cellIs" dxfId="514" priority="161" operator="between">
      <formula>0</formula>
      <formula>0.3999</formula>
    </cfRule>
    <cfRule type="cellIs" dxfId="513" priority="162" operator="between">
      <formula>0.4</formula>
      <formula>0.59</formula>
    </cfRule>
    <cfRule type="cellIs" dxfId="512" priority="163" operator="between">
      <formula>0.6</formula>
      <formula>0.69</formula>
    </cfRule>
    <cfRule type="cellIs" dxfId="511" priority="164" operator="between">
      <formula>0.695</formula>
      <formula>0.7949</formula>
    </cfRule>
    <cfRule type="cellIs" dxfId="510" priority="165" operator="between">
      <formula>0.8</formula>
      <formula>1</formula>
    </cfRule>
  </conditionalFormatting>
  <conditionalFormatting sqref="H150:H161">
    <cfRule type="cellIs" dxfId="509" priority="156" operator="between">
      <formula>0</formula>
      <formula>0.3999</formula>
    </cfRule>
    <cfRule type="cellIs" dxfId="508" priority="157" operator="between">
      <formula>0.4</formula>
      <formula>0.59</formula>
    </cfRule>
    <cfRule type="cellIs" dxfId="507" priority="158" operator="between">
      <formula>0.6</formula>
      <formula>0.69</formula>
    </cfRule>
    <cfRule type="cellIs" dxfId="506" priority="159" operator="between">
      <formula>0.7</formula>
      <formula>0.79</formula>
    </cfRule>
    <cfRule type="cellIs" dxfId="505" priority="160" operator="between">
      <formula>0.8</formula>
      <formula>1</formula>
    </cfRule>
  </conditionalFormatting>
  <conditionalFormatting sqref="H163">
    <cfRule type="cellIs" dxfId="504" priority="151" operator="between">
      <formula>0</formula>
      <formula>0.3999</formula>
    </cfRule>
    <cfRule type="cellIs" dxfId="503" priority="152" operator="between">
      <formula>0.4</formula>
      <formula>0.59</formula>
    </cfRule>
    <cfRule type="cellIs" dxfId="502" priority="153" operator="between">
      <formula>0.6</formula>
      <formula>0.69</formula>
    </cfRule>
    <cfRule type="cellIs" dxfId="501" priority="154" operator="between">
      <formula>0.7</formula>
      <formula>0.79</formula>
    </cfRule>
    <cfRule type="cellIs" dxfId="500" priority="155" operator="between">
      <formula>0.8</formula>
      <formula>1</formula>
    </cfRule>
  </conditionalFormatting>
  <conditionalFormatting sqref="H165:H169">
    <cfRule type="cellIs" dxfId="499" priority="146" operator="between">
      <formula>0</formula>
      <formula>0.3999</formula>
    </cfRule>
    <cfRule type="cellIs" dxfId="498" priority="147" operator="between">
      <formula>0.4</formula>
      <formula>0.59</formula>
    </cfRule>
    <cfRule type="cellIs" dxfId="497" priority="148" operator="between">
      <formula>0.6</formula>
      <formula>0.69</formula>
    </cfRule>
    <cfRule type="cellIs" dxfId="496" priority="149" operator="between">
      <formula>0.695</formula>
      <formula>0.7949</formula>
    </cfRule>
    <cfRule type="cellIs" dxfId="495" priority="150" operator="between">
      <formula>0.8</formula>
      <formula>1</formula>
    </cfRule>
  </conditionalFormatting>
  <conditionalFormatting sqref="H171:H181">
    <cfRule type="cellIs" dxfId="494" priority="141" operator="between">
      <formula>0</formula>
      <formula>0.3999</formula>
    </cfRule>
    <cfRule type="cellIs" dxfId="493" priority="142" operator="between">
      <formula>0.4</formula>
      <formula>0.59</formula>
    </cfRule>
    <cfRule type="cellIs" dxfId="492" priority="143" operator="between">
      <formula>0.6</formula>
      <formula>0.69</formula>
    </cfRule>
    <cfRule type="cellIs" dxfId="491" priority="144" operator="between">
      <formula>0.7</formula>
      <formula>0.79</formula>
    </cfRule>
    <cfRule type="cellIs" dxfId="490" priority="145" operator="between">
      <formula>0.8</formula>
      <formula>1</formula>
    </cfRule>
  </conditionalFormatting>
  <conditionalFormatting sqref="H186:H189">
    <cfRule type="cellIs" dxfId="489" priority="136" operator="between">
      <formula>0</formula>
      <formula>0.3999</formula>
    </cfRule>
    <cfRule type="cellIs" dxfId="488" priority="137" operator="between">
      <formula>0.4</formula>
      <formula>0.59</formula>
    </cfRule>
    <cfRule type="cellIs" dxfId="487" priority="138" operator="between">
      <formula>0.6</formula>
      <formula>0.69</formula>
    </cfRule>
    <cfRule type="cellIs" dxfId="486" priority="139" operator="between">
      <formula>0.695</formula>
      <formula>0.7949</formula>
    </cfRule>
    <cfRule type="cellIs" dxfId="485" priority="140" operator="between">
      <formula>0.8</formula>
      <formula>1</formula>
    </cfRule>
  </conditionalFormatting>
  <conditionalFormatting sqref="H191">
    <cfRule type="cellIs" dxfId="484" priority="131" operator="between">
      <formula>0</formula>
      <formula>0.3999</formula>
    </cfRule>
    <cfRule type="cellIs" dxfId="483" priority="132" operator="between">
      <formula>0.4</formula>
      <formula>0.59</formula>
    </cfRule>
    <cfRule type="cellIs" dxfId="482" priority="133" operator="between">
      <formula>0.6</formula>
      <formula>0.69</formula>
    </cfRule>
    <cfRule type="cellIs" dxfId="481" priority="134" operator="between">
      <formula>0.695</formula>
      <formula>0.7949</formula>
    </cfRule>
    <cfRule type="cellIs" dxfId="480" priority="135" operator="between">
      <formula>0.8</formula>
      <formula>1</formula>
    </cfRule>
  </conditionalFormatting>
  <conditionalFormatting sqref="H193">
    <cfRule type="cellIs" dxfId="479" priority="126" operator="between">
      <formula>0</formula>
      <formula>0.3999</formula>
    </cfRule>
    <cfRule type="cellIs" dxfId="478" priority="127" operator="between">
      <formula>0.4</formula>
      <formula>0.59</formula>
    </cfRule>
    <cfRule type="cellIs" dxfId="477" priority="128" operator="between">
      <formula>0.6</formula>
      <formula>0.69</formula>
    </cfRule>
    <cfRule type="cellIs" dxfId="476" priority="129" operator="between">
      <formula>0.7</formula>
      <formula>0.79</formula>
    </cfRule>
    <cfRule type="cellIs" dxfId="475" priority="130" operator="between">
      <formula>0.8</formula>
      <formula>1</formula>
    </cfRule>
  </conditionalFormatting>
  <conditionalFormatting sqref="H182:H184">
    <cfRule type="cellIs" dxfId="474" priority="121" operator="between">
      <formula>0</formula>
      <formula>0.3999</formula>
    </cfRule>
    <cfRule type="cellIs" dxfId="473" priority="122" operator="between">
      <formula>0.4</formula>
      <formula>0.59</formula>
    </cfRule>
    <cfRule type="cellIs" dxfId="472" priority="123" operator="between">
      <formula>0.6</formula>
      <formula>0.69</formula>
    </cfRule>
    <cfRule type="cellIs" dxfId="471" priority="124" operator="between">
      <formula>0.7</formula>
      <formula>0.79</formula>
    </cfRule>
    <cfRule type="cellIs" dxfId="470" priority="125" operator="between">
      <formula>0.8</formula>
      <formula>1</formula>
    </cfRule>
  </conditionalFormatting>
  <conditionalFormatting sqref="H28">
    <cfRule type="cellIs" dxfId="469" priority="111" operator="between">
      <formula>0</formula>
      <formula>0.3999</formula>
    </cfRule>
    <cfRule type="cellIs" dxfId="468" priority="112" operator="between">
      <formula>0.4</formula>
      <formula>0.59</formula>
    </cfRule>
    <cfRule type="cellIs" dxfId="467" priority="113" operator="between">
      <formula>0.6</formula>
      <formula>0.69</formula>
    </cfRule>
    <cfRule type="cellIs" dxfId="466" priority="114" operator="between">
      <formula>0.7</formula>
      <formula>0.79</formula>
    </cfRule>
    <cfRule type="cellIs" dxfId="465" priority="115" operator="between">
      <formula>0.8</formula>
      <formula>1</formula>
    </cfRule>
  </conditionalFormatting>
  <conditionalFormatting sqref="J6">
    <cfRule type="cellIs" dxfId="464" priority="106" operator="between">
      <formula>0</formula>
      <formula>0.3999</formula>
    </cfRule>
    <cfRule type="cellIs" dxfId="463" priority="107" operator="between">
      <formula>0.4</formula>
      <formula>0.59</formula>
    </cfRule>
    <cfRule type="cellIs" dxfId="462" priority="108" operator="between">
      <formula>0.6</formula>
      <formula>0.69</formula>
    </cfRule>
    <cfRule type="cellIs" dxfId="461" priority="109" operator="between">
      <formula>0.7</formula>
      <formula>0.79</formula>
    </cfRule>
    <cfRule type="cellIs" dxfId="460" priority="110" operator="between">
      <formula>0.8</formula>
      <formula>1</formula>
    </cfRule>
  </conditionalFormatting>
  <conditionalFormatting sqref="J7:J8">
    <cfRule type="cellIs" dxfId="459" priority="101" operator="between">
      <formula>0</formula>
      <formula>0.3999</formula>
    </cfRule>
    <cfRule type="cellIs" dxfId="458" priority="102" operator="between">
      <formula>0.4</formula>
      <formula>0.59</formula>
    </cfRule>
    <cfRule type="cellIs" dxfId="457" priority="103" operator="between">
      <formula>0.6</formula>
      <formula>0.69</formula>
    </cfRule>
    <cfRule type="cellIs" dxfId="456" priority="104" operator="between">
      <formula>0.7</formula>
      <formula>0.79</formula>
    </cfRule>
    <cfRule type="cellIs" dxfId="455" priority="105" operator="between">
      <formula>0.8</formula>
      <formula>1</formula>
    </cfRule>
  </conditionalFormatting>
  <conditionalFormatting sqref="J9:J10">
    <cfRule type="cellIs" dxfId="454" priority="96" operator="between">
      <formula>0</formula>
      <formula>0.3999</formula>
    </cfRule>
    <cfRule type="cellIs" dxfId="453" priority="97" operator="between">
      <formula>0.4</formula>
      <formula>0.59</formula>
    </cfRule>
    <cfRule type="cellIs" dxfId="452" priority="98" operator="between">
      <formula>0.6</formula>
      <formula>0.69</formula>
    </cfRule>
    <cfRule type="cellIs" dxfId="451" priority="99" operator="between">
      <formula>0.7</formula>
      <formula>0.79</formula>
    </cfRule>
    <cfRule type="cellIs" dxfId="450" priority="100" operator="between">
      <formula>0.8</formula>
      <formula>1</formula>
    </cfRule>
  </conditionalFormatting>
  <conditionalFormatting sqref="J12:J16">
    <cfRule type="cellIs" dxfId="449" priority="91" operator="between">
      <formula>0</formula>
      <formula>0.3999</formula>
    </cfRule>
    <cfRule type="cellIs" dxfId="448" priority="92" operator="between">
      <formula>0.4</formula>
      <formula>0.59</formula>
    </cfRule>
    <cfRule type="cellIs" dxfId="447" priority="93" operator="between">
      <formula>0.6</formula>
      <formula>0.69</formula>
    </cfRule>
    <cfRule type="cellIs" dxfId="446" priority="94" operator="between">
      <formula>0.7</formula>
      <formula>0.79</formula>
    </cfRule>
    <cfRule type="cellIs" dxfId="445" priority="95" operator="between">
      <formula>0.8</formula>
      <formula>1</formula>
    </cfRule>
  </conditionalFormatting>
  <conditionalFormatting sqref="J18:J21">
    <cfRule type="cellIs" dxfId="444" priority="86" operator="between">
      <formula>0</formula>
      <formula>0.3999</formula>
    </cfRule>
    <cfRule type="cellIs" dxfId="443" priority="87" operator="between">
      <formula>0.4</formula>
      <formula>0.59</formula>
    </cfRule>
    <cfRule type="cellIs" dxfId="442" priority="88" operator="between">
      <formula>0.6</formula>
      <formula>0.69</formula>
    </cfRule>
    <cfRule type="cellIs" dxfId="441" priority="89" operator="between">
      <formula>0.7</formula>
      <formula>0.79</formula>
    </cfRule>
    <cfRule type="cellIs" dxfId="440" priority="90" operator="between">
      <formula>0.8</formula>
      <formula>1</formula>
    </cfRule>
  </conditionalFormatting>
  <conditionalFormatting sqref="J23:J52">
    <cfRule type="cellIs" dxfId="439" priority="81" operator="between">
      <formula>0</formula>
      <formula>0.3999</formula>
    </cfRule>
    <cfRule type="cellIs" dxfId="438" priority="82" operator="between">
      <formula>0.4</formula>
      <formula>0.59</formula>
    </cfRule>
    <cfRule type="cellIs" dxfId="437" priority="83" operator="between">
      <formula>0.6</formula>
      <formula>0.69</formula>
    </cfRule>
    <cfRule type="cellIs" dxfId="436" priority="84" operator="between">
      <formula>0.7</formula>
      <formula>0.79</formula>
    </cfRule>
    <cfRule type="cellIs" dxfId="435" priority="85" operator="between">
      <formula>0.8</formula>
      <formula>1</formula>
    </cfRule>
  </conditionalFormatting>
  <conditionalFormatting sqref="J54:J74">
    <cfRule type="cellIs" dxfId="434" priority="76" operator="between">
      <formula>0</formula>
      <formula>0.3999</formula>
    </cfRule>
    <cfRule type="cellIs" dxfId="433" priority="77" operator="between">
      <formula>0.4</formula>
      <formula>0.59</formula>
    </cfRule>
    <cfRule type="cellIs" dxfId="432" priority="78" operator="between">
      <formula>0.6</formula>
      <formula>0.69</formula>
    </cfRule>
    <cfRule type="cellIs" dxfId="431" priority="79" operator="between">
      <formula>0.7</formula>
      <formula>0.79</formula>
    </cfRule>
    <cfRule type="cellIs" dxfId="430" priority="80" operator="between">
      <formula>0.8</formula>
      <formula>1</formula>
    </cfRule>
  </conditionalFormatting>
  <conditionalFormatting sqref="J76:J80">
    <cfRule type="cellIs" dxfId="429" priority="71" operator="between">
      <formula>0</formula>
      <formula>0.3999</formula>
    </cfRule>
    <cfRule type="cellIs" dxfId="428" priority="72" operator="between">
      <formula>0.4</formula>
      <formula>0.59</formula>
    </cfRule>
    <cfRule type="cellIs" dxfId="427" priority="73" operator="between">
      <formula>0.6</formula>
      <formula>0.69</formula>
    </cfRule>
    <cfRule type="cellIs" dxfId="426" priority="74" operator="between">
      <formula>0.7</formula>
      <formula>0.79</formula>
    </cfRule>
    <cfRule type="cellIs" dxfId="425" priority="75" operator="between">
      <formula>0.8</formula>
      <formula>1</formula>
    </cfRule>
  </conditionalFormatting>
  <conditionalFormatting sqref="J82:J87">
    <cfRule type="cellIs" dxfId="424" priority="66" operator="between">
      <formula>0</formula>
      <formula>0.3999</formula>
    </cfRule>
    <cfRule type="cellIs" dxfId="423" priority="67" operator="between">
      <formula>0.4</formula>
      <formula>0.59</formula>
    </cfRule>
    <cfRule type="cellIs" dxfId="422" priority="68" operator="between">
      <formula>0.6</formula>
      <formula>0.69</formula>
    </cfRule>
    <cfRule type="cellIs" dxfId="421" priority="69" operator="between">
      <formula>0.7</formula>
      <formula>0.79</formula>
    </cfRule>
    <cfRule type="cellIs" dxfId="420" priority="70" operator="between">
      <formula>0.8</formula>
      <formula>1</formula>
    </cfRule>
  </conditionalFormatting>
  <conditionalFormatting sqref="J89:J107">
    <cfRule type="cellIs" dxfId="419" priority="61" operator="between">
      <formula>0</formula>
      <formula>0.3999</formula>
    </cfRule>
    <cfRule type="cellIs" dxfId="418" priority="62" operator="between">
      <formula>0.4</formula>
      <formula>0.59</formula>
    </cfRule>
    <cfRule type="cellIs" dxfId="417" priority="63" operator="between">
      <formula>0.6</formula>
      <formula>0.69</formula>
    </cfRule>
    <cfRule type="cellIs" dxfId="416" priority="64" operator="between">
      <formula>0.7</formula>
      <formula>0.79</formula>
    </cfRule>
    <cfRule type="cellIs" dxfId="415" priority="65" operator="between">
      <formula>0.8</formula>
      <formula>1</formula>
    </cfRule>
  </conditionalFormatting>
  <conditionalFormatting sqref="J109:J113">
    <cfRule type="cellIs" dxfId="414" priority="56" operator="between">
      <formula>0</formula>
      <formula>0.3999</formula>
    </cfRule>
    <cfRule type="cellIs" dxfId="413" priority="57" operator="between">
      <formula>0.4</formula>
      <formula>0.59</formula>
    </cfRule>
    <cfRule type="cellIs" dxfId="412" priority="58" operator="between">
      <formula>0.6</formula>
      <formula>0.69</formula>
    </cfRule>
    <cfRule type="cellIs" dxfId="411" priority="59" operator="between">
      <formula>0.7</formula>
      <formula>0.79</formula>
    </cfRule>
    <cfRule type="cellIs" dxfId="410" priority="60" operator="between">
      <formula>0.8</formula>
      <formula>1</formula>
    </cfRule>
  </conditionalFormatting>
  <conditionalFormatting sqref="J115:J122">
    <cfRule type="cellIs" dxfId="409" priority="51" operator="between">
      <formula>0</formula>
      <formula>0.3999</formula>
    </cfRule>
    <cfRule type="cellIs" dxfId="408" priority="52" operator="between">
      <formula>0.4</formula>
      <formula>0.59</formula>
    </cfRule>
    <cfRule type="cellIs" dxfId="407" priority="53" operator="between">
      <formula>0.6</formula>
      <formula>0.69</formula>
    </cfRule>
    <cfRule type="cellIs" dxfId="406" priority="54" operator="between">
      <formula>0.7</formula>
      <formula>0.79</formula>
    </cfRule>
    <cfRule type="cellIs" dxfId="405" priority="55" operator="between">
      <formula>0.8</formula>
      <formula>1</formula>
    </cfRule>
  </conditionalFormatting>
  <conditionalFormatting sqref="J124:J141">
    <cfRule type="cellIs" dxfId="404" priority="46" operator="between">
      <formula>0</formula>
      <formula>0.3999</formula>
    </cfRule>
    <cfRule type="cellIs" dxfId="403" priority="47" operator="between">
      <formula>0.4</formula>
      <formula>0.59</formula>
    </cfRule>
    <cfRule type="cellIs" dxfId="402" priority="48" operator="between">
      <formula>0.6</formula>
      <formula>0.69</formula>
    </cfRule>
    <cfRule type="cellIs" dxfId="401" priority="49" operator="between">
      <formula>0.7</formula>
      <formula>0.79</formula>
    </cfRule>
    <cfRule type="cellIs" dxfId="400" priority="50" operator="between">
      <formula>0.8</formula>
      <formula>1</formula>
    </cfRule>
  </conditionalFormatting>
  <conditionalFormatting sqref="J143:J148">
    <cfRule type="cellIs" dxfId="399" priority="41" operator="between">
      <formula>0</formula>
      <formula>0.3999</formula>
    </cfRule>
    <cfRule type="cellIs" dxfId="398" priority="42" operator="between">
      <formula>0.4</formula>
      <formula>0.59</formula>
    </cfRule>
    <cfRule type="cellIs" dxfId="397" priority="43" operator="between">
      <formula>0.6</formula>
      <formula>0.69</formula>
    </cfRule>
    <cfRule type="cellIs" dxfId="396" priority="44" operator="between">
      <formula>0.7</formula>
      <formula>0.795</formula>
    </cfRule>
    <cfRule type="cellIs" dxfId="395" priority="45" operator="between">
      <formula>0.8</formula>
      <formula>1</formula>
    </cfRule>
  </conditionalFormatting>
  <conditionalFormatting sqref="J150:J161">
    <cfRule type="cellIs" dxfId="394" priority="36" operator="between">
      <formula>0</formula>
      <formula>0.3999</formula>
    </cfRule>
    <cfRule type="cellIs" dxfId="393" priority="37" operator="between">
      <formula>0.4</formula>
      <formula>0.59</formula>
    </cfRule>
    <cfRule type="cellIs" dxfId="392" priority="38" operator="between">
      <formula>0.6</formula>
      <formula>0.69</formula>
    </cfRule>
    <cfRule type="cellIs" dxfId="391" priority="39" operator="between">
      <formula>0.7</formula>
      <formula>0.795</formula>
    </cfRule>
    <cfRule type="cellIs" dxfId="390" priority="40" operator="between">
      <formula>0.8</formula>
      <formula>1</formula>
    </cfRule>
  </conditionalFormatting>
  <conditionalFormatting sqref="J163">
    <cfRule type="cellIs" dxfId="389" priority="31" operator="between">
      <formula>0</formula>
      <formula>0.3999</formula>
    </cfRule>
    <cfRule type="cellIs" dxfId="388" priority="32" operator="between">
      <formula>0.4</formula>
      <formula>0.59</formula>
    </cfRule>
    <cfRule type="cellIs" dxfId="387" priority="33" operator="between">
      <formula>0.6</formula>
      <formula>0.69</formula>
    </cfRule>
    <cfRule type="cellIs" dxfId="386" priority="34" operator="between">
      <formula>0.7</formula>
      <formula>0.795</formula>
    </cfRule>
    <cfRule type="cellIs" dxfId="385" priority="35" operator="between">
      <formula>0.8</formula>
      <formula>1</formula>
    </cfRule>
  </conditionalFormatting>
  <conditionalFormatting sqref="J165:J169">
    <cfRule type="cellIs" dxfId="384" priority="26" operator="between">
      <formula>0</formula>
      <formula>0.3999</formula>
    </cfRule>
    <cfRule type="cellIs" dxfId="383" priority="27" operator="between">
      <formula>0.4</formula>
      <formula>0.59</formula>
    </cfRule>
    <cfRule type="cellIs" dxfId="382" priority="28" operator="between">
      <formula>0.6</formula>
      <formula>0.69</formula>
    </cfRule>
    <cfRule type="cellIs" dxfId="381" priority="29" operator="between">
      <formula>0.7</formula>
      <formula>0.795</formula>
    </cfRule>
    <cfRule type="cellIs" dxfId="380" priority="30" operator="between">
      <formula>0.8</formula>
      <formula>1</formula>
    </cfRule>
  </conditionalFormatting>
  <conditionalFormatting sqref="J171:J184">
    <cfRule type="cellIs" dxfId="379" priority="21" operator="between">
      <formula>0</formula>
      <formula>0.3999</formula>
    </cfRule>
    <cfRule type="cellIs" dxfId="378" priority="22" operator="between">
      <formula>0.4</formula>
      <formula>0.59</formula>
    </cfRule>
    <cfRule type="cellIs" dxfId="377" priority="23" operator="between">
      <formula>0.6</formula>
      <formula>0.69</formula>
    </cfRule>
    <cfRule type="cellIs" dxfId="376" priority="24" operator="between">
      <formula>0.7</formula>
      <formula>0.795</formula>
    </cfRule>
    <cfRule type="cellIs" dxfId="375" priority="25" operator="between">
      <formula>0.8</formula>
      <formula>1</formula>
    </cfRule>
  </conditionalFormatting>
  <conditionalFormatting sqref="J186">
    <cfRule type="cellIs" dxfId="374" priority="16" operator="between">
      <formula>0</formula>
      <formula>0.3999</formula>
    </cfRule>
    <cfRule type="cellIs" dxfId="373" priority="17" operator="between">
      <formula>0.4</formula>
      <formula>0.59</formula>
    </cfRule>
    <cfRule type="cellIs" dxfId="372" priority="18" operator="between">
      <formula>0.6</formula>
      <formula>0.69</formula>
    </cfRule>
    <cfRule type="cellIs" dxfId="371" priority="19" operator="between">
      <formula>0.7</formula>
      <formula>0.795</formula>
    </cfRule>
    <cfRule type="cellIs" dxfId="370" priority="20" operator="between">
      <formula>0.8</formula>
      <formula>1</formula>
    </cfRule>
  </conditionalFormatting>
  <conditionalFormatting sqref="J187:J189">
    <cfRule type="cellIs" dxfId="369" priority="11" operator="between">
      <formula>0</formula>
      <formula>0.3999</formula>
    </cfRule>
    <cfRule type="cellIs" dxfId="368" priority="12" operator="between">
      <formula>0.4</formula>
      <formula>0.59</formula>
    </cfRule>
    <cfRule type="cellIs" dxfId="367" priority="13" operator="between">
      <formula>0.6</formula>
      <formula>0.69</formula>
    </cfRule>
    <cfRule type="cellIs" dxfId="366" priority="14" operator="between">
      <formula>0.7</formula>
      <formula>0.795</formula>
    </cfRule>
    <cfRule type="cellIs" dxfId="365" priority="15" operator="between">
      <formula>0.8</formula>
      <formula>1</formula>
    </cfRule>
  </conditionalFormatting>
  <conditionalFormatting sqref="J191">
    <cfRule type="cellIs" dxfId="364" priority="6" operator="between">
      <formula>0</formula>
      <formula>0.3999</formula>
    </cfRule>
    <cfRule type="cellIs" dxfId="363" priority="7" operator="between">
      <formula>0.4</formula>
      <formula>0.59</formula>
    </cfRule>
    <cfRule type="cellIs" dxfId="362" priority="8" operator="between">
      <formula>0.6</formula>
      <formula>0.69</formula>
    </cfRule>
    <cfRule type="cellIs" dxfId="361" priority="9" operator="between">
      <formula>0.7</formula>
      <formula>0.795</formula>
    </cfRule>
    <cfRule type="cellIs" dxfId="360" priority="10" operator="between">
      <formula>0.8</formula>
      <formula>1</formula>
    </cfRule>
  </conditionalFormatting>
  <conditionalFormatting sqref="J193">
    <cfRule type="cellIs" dxfId="359" priority="1" operator="between">
      <formula>0</formula>
      <formula>0.3999</formula>
    </cfRule>
    <cfRule type="cellIs" dxfId="358" priority="2" operator="between">
      <formula>0.4</formula>
      <formula>0.59</formula>
    </cfRule>
    <cfRule type="cellIs" dxfId="357" priority="3" operator="between">
      <formula>0.6</formula>
      <formula>0.69</formula>
    </cfRule>
    <cfRule type="cellIs" dxfId="356" priority="4" operator="between">
      <formula>0.7</formula>
      <formula>0.795</formula>
    </cfRule>
    <cfRule type="cellIs" dxfId="355" priority="5" operator="between">
      <formula>0.8</formula>
      <formula>1</formula>
    </cfRule>
  </conditionalFormatting>
  <pageMargins left="0.7" right="0.7" top="0.75" bottom="0.75" header="0.3" footer="0.3"/>
  <pageSetup orientation="portrait"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H93"/>
  <sheetViews>
    <sheetView showGridLines="0" zoomScale="70" zoomScaleNormal="70" workbookViewId="0">
      <selection activeCell="E9" sqref="E9"/>
    </sheetView>
  </sheetViews>
  <sheetFormatPr baseColWidth="10" defaultColWidth="11.42578125" defaultRowHeight="15" x14ac:dyDescent="0.2"/>
  <cols>
    <col min="1" max="1" width="15.28515625" style="7" customWidth="1"/>
    <col min="2" max="2" width="49" style="8" customWidth="1"/>
    <col min="3" max="3" width="34.42578125" style="8" customWidth="1"/>
    <col min="4" max="4" width="19.42578125" style="8" customWidth="1"/>
    <col min="5" max="5" width="31.42578125" style="2" customWidth="1"/>
    <col min="6" max="6" width="24" style="103" customWidth="1"/>
    <col min="7" max="7" width="33.42578125" style="2" customWidth="1"/>
    <col min="8" max="8" width="22" style="134" customWidth="1"/>
    <col min="9" max="10" width="27.7109375" style="103" bestFit="1" customWidth="1"/>
    <col min="11" max="11" width="27.28515625" style="103" bestFit="1" customWidth="1"/>
    <col min="12" max="16384" width="11.42578125" style="103"/>
  </cols>
  <sheetData>
    <row r="1" spans="1:8" ht="21" customHeight="1" x14ac:dyDescent="0.2">
      <c r="A1" s="647" t="s">
        <v>1538</v>
      </c>
      <c r="B1" s="648"/>
      <c r="C1" s="648"/>
      <c r="D1" s="648"/>
      <c r="E1" s="648"/>
      <c r="F1" s="648"/>
      <c r="G1" s="648"/>
      <c r="H1" s="649"/>
    </row>
    <row r="2" spans="1:8" ht="21" customHeight="1" x14ac:dyDescent="0.2">
      <c r="A2" s="650"/>
      <c r="B2" s="651"/>
      <c r="C2" s="651"/>
      <c r="D2" s="651"/>
      <c r="E2" s="651"/>
      <c r="F2" s="651"/>
      <c r="G2" s="651"/>
      <c r="H2" s="652"/>
    </row>
    <row r="3" spans="1:8" ht="21" customHeight="1" x14ac:dyDescent="0.2">
      <c r="A3" s="650"/>
      <c r="B3" s="651"/>
      <c r="C3" s="651"/>
      <c r="D3" s="651"/>
      <c r="E3" s="651"/>
      <c r="F3" s="651"/>
      <c r="G3" s="651"/>
      <c r="H3" s="652"/>
    </row>
    <row r="4" spans="1:8" ht="24.75" customHeight="1" x14ac:dyDescent="0.2">
      <c r="A4" s="653"/>
      <c r="B4" s="654"/>
      <c r="C4" s="654"/>
      <c r="D4" s="654"/>
      <c r="E4" s="654"/>
      <c r="F4" s="654"/>
      <c r="G4" s="654"/>
      <c r="H4" s="655"/>
    </row>
    <row r="5" spans="1:8" s="3" customFormat="1" ht="64.5" customHeight="1" x14ac:dyDescent="0.25">
      <c r="A5" s="129" t="s">
        <v>1394</v>
      </c>
      <c r="B5" s="202" t="s">
        <v>1395</v>
      </c>
      <c r="C5" s="131" t="s">
        <v>1329</v>
      </c>
      <c r="D5" s="131" t="s">
        <v>1483</v>
      </c>
      <c r="E5" s="131" t="s">
        <v>1421</v>
      </c>
      <c r="F5" s="250" t="s">
        <v>1484</v>
      </c>
      <c r="G5" s="131" t="s">
        <v>1451</v>
      </c>
      <c r="H5" s="131" t="s">
        <v>1539</v>
      </c>
    </row>
    <row r="6" spans="1:8" s="4" customFormat="1" ht="30" customHeight="1" x14ac:dyDescent="0.25">
      <c r="A6" s="108" t="s">
        <v>1294</v>
      </c>
      <c r="B6" s="104"/>
      <c r="C6" s="247">
        <f>C7+C8</f>
        <v>9759340000</v>
      </c>
      <c r="D6" s="248">
        <f>C6/C6</f>
        <v>1</v>
      </c>
      <c r="E6" s="247">
        <f>E7+E8</f>
        <v>358972330</v>
      </c>
      <c r="F6" s="155">
        <f>E6/C6</f>
        <v>3.6782439181338084E-2</v>
      </c>
      <c r="G6" s="247">
        <f>G7+G8</f>
        <v>358972330</v>
      </c>
      <c r="H6" s="155">
        <f>G6/C6</f>
        <v>3.6782439181338084E-2</v>
      </c>
    </row>
    <row r="7" spans="1:8" ht="30" customHeight="1" x14ac:dyDescent="0.2">
      <c r="A7" s="45"/>
      <c r="B7" s="199" t="s">
        <v>1396</v>
      </c>
      <c r="C7" s="287">
        <f>'SGTO POAI 2022'!AT8+'SGTO POAI 2022'!AT9+'SGTO POAI 2022'!AT10+'SGTO POAI 2022'!AT11</f>
        <v>359340000</v>
      </c>
      <c r="D7" s="288">
        <f>C7/C7</f>
        <v>1</v>
      </c>
      <c r="E7" s="289">
        <f>'SGTO POAI 2022'!AU8+'SGTO POAI 2022'!AU9+'SGTO POAI 2022'!AU10+'SGTO POAI 2022'!AU11</f>
        <v>358972330</v>
      </c>
      <c r="F7" s="290">
        <f t="shared" ref="F7:F72" si="0">E7/C7</f>
        <v>0.99897681861189958</v>
      </c>
      <c r="G7" s="291">
        <f>'SGTO POAI 2022'!AV8+'SGTO POAI 2022'!AV9+'SGTO POAI 2022'!AV10+'SGTO POAI 2022'!AV11</f>
        <v>358972330</v>
      </c>
      <c r="H7" s="155">
        <f t="shared" ref="H7:H8" si="1">G7/C7</f>
        <v>0.99897681861189958</v>
      </c>
    </row>
    <row r="8" spans="1:8" ht="30" customHeight="1" x14ac:dyDescent="0.2">
      <c r="A8" s="139"/>
      <c r="B8" s="200" t="s">
        <v>1455</v>
      </c>
      <c r="C8" s="78">
        <f>'SGTO POAI 2022'!AZ12</f>
        <v>9400000000</v>
      </c>
      <c r="D8" s="216">
        <f>C8/C8</f>
        <v>1</v>
      </c>
      <c r="E8" s="78">
        <f>'SGTO POAI 2022'!BA12</f>
        <v>0</v>
      </c>
      <c r="F8" s="290">
        <f t="shared" si="0"/>
        <v>0</v>
      </c>
      <c r="G8" s="78">
        <f>'SGTO POAI 2022'!BB12</f>
        <v>0</v>
      </c>
      <c r="H8" s="155">
        <f t="shared" si="1"/>
        <v>0</v>
      </c>
    </row>
    <row r="9" spans="1:8" s="28" customFormat="1" ht="30" customHeight="1" x14ac:dyDescent="0.2">
      <c r="A9" s="32"/>
      <c r="B9" s="53"/>
      <c r="C9" s="53"/>
      <c r="D9" s="213"/>
      <c r="E9" s="53"/>
      <c r="F9" s="53"/>
      <c r="G9" s="53"/>
      <c r="H9" s="213"/>
    </row>
    <row r="10" spans="1:8" s="4" customFormat="1" ht="30" customHeight="1" x14ac:dyDescent="0.25">
      <c r="A10" s="116" t="s">
        <v>55</v>
      </c>
      <c r="B10" s="118"/>
      <c r="C10" s="119">
        <f>C11</f>
        <v>1278787082</v>
      </c>
      <c r="D10" s="204">
        <f t="shared" ref="D10:D76" si="2">C10/C10</f>
        <v>1</v>
      </c>
      <c r="E10" s="119">
        <f>E11</f>
        <v>1212130248.53</v>
      </c>
      <c r="F10" s="249">
        <f t="shared" si="0"/>
        <v>0.94787495556668433</v>
      </c>
      <c r="G10" s="119">
        <f>G11</f>
        <v>1190104251.8299999</v>
      </c>
      <c r="H10" s="155">
        <f t="shared" ref="H10:H11" si="3">G10/C10</f>
        <v>0.93065082419248268</v>
      </c>
    </row>
    <row r="11" spans="1:8" s="16" customFormat="1" ht="30" customHeight="1" x14ac:dyDescent="0.2">
      <c r="A11" s="26"/>
      <c r="B11" s="141" t="s">
        <v>1396</v>
      </c>
      <c r="C11" s="47">
        <f>'SGTO POAI 2022'!AT13+'SGTO POAI 2022'!AT14+'SGTO POAI 2022'!AT15+'SGTO POAI 2022'!AT16+'SGTO POAI 2022'!AT17+'SGTO POAI 2022'!AT18+'SGTO POAI 2022'!AT19+'SGTO POAI 2022'!AT20+'SGTO POAI 2022'!AT21+'SGTO POAI 2022'!AT22+'SGTO POAI 2022'!AT23+'SGTO POAI 2022'!AT24</f>
        <v>1278787082</v>
      </c>
      <c r="D11" s="211">
        <f t="shared" si="2"/>
        <v>1</v>
      </c>
      <c r="E11" s="47">
        <f>'SGTO POAI 2022'!AU13+'SGTO POAI 2022'!AU14+'SGTO POAI 2022'!AU15+'SGTO POAI 2022'!AU16+'SGTO POAI 2022'!AU17+'SGTO POAI 2022'!AU18+'SGTO POAI 2022'!AU19+'SGTO POAI 2022'!AU20+'SGTO POAI 2022'!AU21+'SGTO POAI 2022'!AU22+'SGTO POAI 2022'!AU23+'SGTO POAI 2022'!AU24</f>
        <v>1212130248.53</v>
      </c>
      <c r="F11" s="268">
        <f t="shared" si="0"/>
        <v>0.94787495556668433</v>
      </c>
      <c r="G11" s="47">
        <f>'SGTO POAI 2022'!AV13+'SGTO POAI 2022'!AV14+'SGTO POAI 2022'!AV15+'SGTO POAI 2022'!AV16+'SGTO POAI 2022'!AV17+'SGTO POAI 2022'!AV18+'SGTO POAI 2022'!AV19+'SGTO POAI 2022'!AV20+'SGTO POAI 2022'!AV21+'SGTO POAI 2022'!AV22+'SGTO POAI 2022'!AV23+'SGTO POAI 2022'!AV24</f>
        <v>1190104251.8299999</v>
      </c>
      <c r="H11" s="155">
        <f t="shared" si="3"/>
        <v>0.93065082419248268</v>
      </c>
    </row>
    <row r="12" spans="1:8" ht="30" customHeight="1" x14ac:dyDescent="0.2">
      <c r="A12" s="59"/>
      <c r="B12" s="60"/>
      <c r="C12" s="60"/>
      <c r="D12" s="205"/>
      <c r="E12" s="60"/>
      <c r="F12" s="60"/>
      <c r="G12" s="60"/>
      <c r="H12" s="235"/>
    </row>
    <row r="13" spans="1:8" ht="30" customHeight="1" x14ac:dyDescent="0.2">
      <c r="A13" s="116" t="s">
        <v>1209</v>
      </c>
      <c r="B13" s="118"/>
      <c r="C13" s="119">
        <f>SUM(C14:C15)</f>
        <v>3898048606.2399998</v>
      </c>
      <c r="D13" s="204">
        <f t="shared" si="2"/>
        <v>1</v>
      </c>
      <c r="E13" s="262">
        <f>SUM(E14:E15)</f>
        <v>3727294869.73</v>
      </c>
      <c r="F13" s="155">
        <f t="shared" si="0"/>
        <v>0.95619507251996372</v>
      </c>
      <c r="G13" s="263">
        <f>SUM(G14:G15)</f>
        <v>3424623024.1800003</v>
      </c>
      <c r="H13" s="155">
        <f t="shared" ref="H13:H15" si="4">G13/C13</f>
        <v>0.87854805573687833</v>
      </c>
    </row>
    <row r="14" spans="1:8" ht="30" customHeight="1" x14ac:dyDescent="0.2">
      <c r="A14" s="49"/>
      <c r="B14" s="140" t="s">
        <v>1396</v>
      </c>
      <c r="C14" s="47">
        <f>'SGTO POAI 2022'!AT25+'SGTO POAI 2022'!AT26</f>
        <v>3306132192.0799999</v>
      </c>
      <c r="D14" s="211">
        <f t="shared" si="2"/>
        <v>1</v>
      </c>
      <c r="E14" s="261">
        <f>'SGTO POAI 2022'!AU25+'SGTO POAI 2022'!AU26</f>
        <v>3239887987.73</v>
      </c>
      <c r="F14" s="268">
        <f t="shared" si="0"/>
        <v>0.97996323180643197</v>
      </c>
      <c r="G14" s="197">
        <f>'SGTO POAI 2022'!AV25+'SGTO POAI 2022'!AV26</f>
        <v>2938864863.1800003</v>
      </c>
      <c r="H14" s="155">
        <f t="shared" si="4"/>
        <v>0.88891329579022693</v>
      </c>
    </row>
    <row r="15" spans="1:8" s="63" customFormat="1" ht="30" customHeight="1" x14ac:dyDescent="0.2">
      <c r="A15" s="49"/>
      <c r="B15" s="109" t="s">
        <v>1412</v>
      </c>
      <c r="C15" s="47">
        <f>'SGTO POAI 2022'!BC25</f>
        <v>591916414.15999997</v>
      </c>
      <c r="D15" s="211">
        <f t="shared" si="2"/>
        <v>1</v>
      </c>
      <c r="E15" s="261">
        <f>'SGTO POAI 2022'!BD25</f>
        <v>487406882</v>
      </c>
      <c r="F15" s="268">
        <f t="shared" si="0"/>
        <v>0.82343869901240796</v>
      </c>
      <c r="G15" s="197">
        <f>'SGTO POAI 2022'!BE25</f>
        <v>485758161</v>
      </c>
      <c r="H15" s="155">
        <f t="shared" si="4"/>
        <v>0.82065330404690462</v>
      </c>
    </row>
    <row r="16" spans="1:8" ht="30" customHeight="1" x14ac:dyDescent="0.2">
      <c r="A16" s="59"/>
      <c r="B16" s="60"/>
      <c r="C16" s="62"/>
      <c r="D16" s="205"/>
      <c r="E16" s="62"/>
      <c r="F16" s="62"/>
      <c r="G16" s="62"/>
      <c r="H16" s="235"/>
    </row>
    <row r="17" spans="1:8" ht="30" customHeight="1" x14ac:dyDescent="0.2">
      <c r="A17" s="108" t="s">
        <v>111</v>
      </c>
      <c r="B17" s="106"/>
      <c r="C17" s="107">
        <f>SUM(C18:C23)</f>
        <v>99269447044.619995</v>
      </c>
      <c r="D17" s="203">
        <f t="shared" si="2"/>
        <v>1</v>
      </c>
      <c r="E17" s="107">
        <f>SUM(E18:E23)</f>
        <v>21244189256.639999</v>
      </c>
      <c r="F17" s="155">
        <f t="shared" si="0"/>
        <v>0.21400531471774073</v>
      </c>
      <c r="G17" s="107">
        <f>SUM(G18:G23)</f>
        <v>12813040463.540001</v>
      </c>
      <c r="H17" s="155">
        <f t="shared" ref="H17:H23" si="5">G17/C17</f>
        <v>0.12907335383646037</v>
      </c>
    </row>
    <row r="18" spans="1:8" ht="30" customHeight="1" x14ac:dyDescent="0.2">
      <c r="A18" s="139"/>
      <c r="B18" s="34" t="s">
        <v>1397</v>
      </c>
      <c r="C18" s="47">
        <f>SUM('SGTO POAI 2022'!AB27:AB52)</f>
        <v>11481270748.84</v>
      </c>
      <c r="D18" s="211">
        <f t="shared" si="2"/>
        <v>1</v>
      </c>
      <c r="E18" s="47">
        <f>SUM('SGTO POAI 2022'!AC27:AC52)</f>
        <v>6433987598.9499998</v>
      </c>
      <c r="F18" s="268">
        <f t="shared" si="0"/>
        <v>0.56038985053985002</v>
      </c>
      <c r="G18" s="47">
        <f>SUM('SGTO POAI 2022'!AD27:AD52)</f>
        <v>3377846171.9500003</v>
      </c>
      <c r="H18" s="155">
        <f t="shared" si="5"/>
        <v>0.29420490517491521</v>
      </c>
    </row>
    <row r="19" spans="1:8" ht="30" customHeight="1" x14ac:dyDescent="0.2">
      <c r="A19" s="139"/>
      <c r="B19" s="34" t="s">
        <v>1398</v>
      </c>
      <c r="C19" s="47">
        <f>SUM('SGTO POAI 2022'!AQ27:AQ52)</f>
        <v>2867588397.8000002</v>
      </c>
      <c r="D19" s="211">
        <f t="shared" si="2"/>
        <v>1</v>
      </c>
      <c r="E19" s="47">
        <f>SUM('SGTO POAI 2022'!AR27:AR52)</f>
        <v>2866923608</v>
      </c>
      <c r="F19" s="268">
        <f t="shared" si="0"/>
        <v>0.99976817112228855</v>
      </c>
      <c r="G19" s="47">
        <f>SUM('SGTO POAI 2022'!AS27:AS52)</f>
        <v>2866923608</v>
      </c>
      <c r="H19" s="155">
        <f t="shared" si="5"/>
        <v>0.99976817112228855</v>
      </c>
    </row>
    <row r="20" spans="1:8" ht="30" customHeight="1" x14ac:dyDescent="0.2">
      <c r="A20" s="139"/>
      <c r="B20" s="141" t="s">
        <v>1396</v>
      </c>
      <c r="C20" s="47">
        <f>SUM('SGTO POAI 2022'!AT27:AT52)</f>
        <v>3566320358.9800005</v>
      </c>
      <c r="D20" s="211">
        <f t="shared" si="2"/>
        <v>1</v>
      </c>
      <c r="E20" s="47">
        <f>SUM('SGTO POAI 2022'!AU27:AU52)</f>
        <v>2353580653.9400001</v>
      </c>
      <c r="F20" s="268">
        <f t="shared" si="0"/>
        <v>0.65994650424875045</v>
      </c>
      <c r="G20" s="47">
        <f>SUM('SGTO POAI 2022'!AV27:AV52)</f>
        <v>1778437957.9400001</v>
      </c>
      <c r="H20" s="155">
        <f t="shared" si="5"/>
        <v>0.49867588408368596</v>
      </c>
    </row>
    <row r="21" spans="1:8" ht="30" customHeight="1" x14ac:dyDescent="0.2">
      <c r="A21" s="139"/>
      <c r="B21" s="34" t="s">
        <v>1399</v>
      </c>
      <c r="C21" s="47">
        <f>SUM('SGTO POAI 2022'!AW27:AW52)</f>
        <v>2849430273</v>
      </c>
      <c r="D21" s="211">
        <f t="shared" si="2"/>
        <v>1</v>
      </c>
      <c r="E21" s="47">
        <f>SUM('SGTO POAI 2022'!AX27:AX52)</f>
        <v>1162558639.75</v>
      </c>
      <c r="F21" s="268">
        <f t="shared" si="0"/>
        <v>0.4079968724856739</v>
      </c>
      <c r="G21" s="47">
        <f>SUM('SGTO POAI 2022'!AY27:AY52)</f>
        <v>912540281.89999998</v>
      </c>
      <c r="H21" s="155">
        <f t="shared" si="5"/>
        <v>0.32025359263809577</v>
      </c>
    </row>
    <row r="22" spans="1:8" ht="30" customHeight="1" x14ac:dyDescent="0.2">
      <c r="A22" s="139"/>
      <c r="B22" s="34" t="s">
        <v>1400</v>
      </c>
      <c r="C22" s="47">
        <f>SUM('SGTO POAI 2022'!BC27:BC53)</f>
        <v>53154837266</v>
      </c>
      <c r="D22" s="211">
        <f t="shared" si="2"/>
        <v>1</v>
      </c>
      <c r="E22" s="47">
        <f>SUM('SGTO POAI 2022'!BD27:BD53)</f>
        <v>8427138756</v>
      </c>
      <c r="F22" s="268">
        <f t="shared" si="0"/>
        <v>0.15853945171214626</v>
      </c>
      <c r="G22" s="47">
        <f>SUM('SGTO POAI 2022'!BE27:BE53)</f>
        <v>3877292443.75</v>
      </c>
      <c r="H22" s="155">
        <f t="shared" si="5"/>
        <v>7.2943360250489836E-2</v>
      </c>
    </row>
    <row r="23" spans="1:8" ht="30" customHeight="1" x14ac:dyDescent="0.2">
      <c r="A23" s="139"/>
      <c r="B23" s="34" t="s">
        <v>1455</v>
      </c>
      <c r="C23" s="47">
        <f>SUM('SGTO POAI 2022'!AZ27:AZ54)</f>
        <v>25350000000</v>
      </c>
      <c r="D23" s="211">
        <f>C23/C23</f>
        <v>1</v>
      </c>
      <c r="E23" s="47">
        <f>SUM('SGTO POAI 2022'!BA27:BA54)</f>
        <v>0</v>
      </c>
      <c r="F23" s="268">
        <f>E23/C23</f>
        <v>0</v>
      </c>
      <c r="G23" s="47">
        <f>SUM('SGTO POAI 2022'!BB27:BB54)</f>
        <v>0</v>
      </c>
      <c r="H23" s="155">
        <f t="shared" si="5"/>
        <v>0</v>
      </c>
    </row>
    <row r="24" spans="1:8" ht="30" customHeight="1" x14ac:dyDescent="0.2">
      <c r="A24" s="59"/>
      <c r="B24" s="60"/>
      <c r="C24" s="62"/>
      <c r="D24" s="205"/>
      <c r="E24" s="62"/>
      <c r="F24" s="62"/>
      <c r="G24" s="62"/>
      <c r="H24" s="235"/>
    </row>
    <row r="25" spans="1:8" ht="30" customHeight="1" x14ac:dyDescent="0.2">
      <c r="A25" s="136" t="s">
        <v>217</v>
      </c>
      <c r="B25" s="137"/>
      <c r="C25" s="138">
        <f>SUM(C26:C27)</f>
        <v>6612694612.1799994</v>
      </c>
      <c r="D25" s="219">
        <f t="shared" si="2"/>
        <v>1</v>
      </c>
      <c r="E25" s="264">
        <f>SUM(E26:E27)</f>
        <v>4549683616.4499998</v>
      </c>
      <c r="F25" s="155">
        <f t="shared" si="0"/>
        <v>0.68802264179414618</v>
      </c>
      <c r="G25" s="265">
        <f>SUM(G26:G27)</f>
        <v>3983280360.1799998</v>
      </c>
      <c r="H25" s="155">
        <f t="shared" ref="H25:H27" si="6">G25/C25</f>
        <v>0.60236871559789695</v>
      </c>
    </row>
    <row r="26" spans="1:8" ht="30" customHeight="1" x14ac:dyDescent="0.2">
      <c r="A26" s="139"/>
      <c r="B26" s="140" t="s">
        <v>1396</v>
      </c>
      <c r="C26" s="135">
        <f>'SGTO POAI 2022'!AT55+'SGTO POAI 2022'!AT56+'SGTO POAI 2022'!AT57+'SGTO POAI 2022'!AT58+'SGTO POAI 2022'!AT59+'SGTO POAI 2022'!AT60+'SGTO POAI 2022'!AT61+'SGTO POAI 2022'!AT62+'SGTO POAI 2022'!AT63+'SGTO POAI 2022'!AT64+'SGTO POAI 2022'!AT66+'SGTO POAI 2022'!AT67+'SGTO POAI 2022'!AT68+'SGTO POAI 2022'!AT69+'SGTO POAI 2022'!AT70+'SGTO POAI 2022'!AT71+'SGTO POAI 2022'!AT72+'SGTO POAI 2022'!AT73+'SGTO POAI 2022'!AT74+'SGTO POAI 2022'!AT75</f>
        <v>1798088703.03</v>
      </c>
      <c r="D26" s="220">
        <f t="shared" si="2"/>
        <v>1</v>
      </c>
      <c r="E26" s="135">
        <f>'SGTO POAI 2022'!AU55+'SGTO POAI 2022'!AU56+'SGTO POAI 2022'!AU57+'SGTO POAI 2022'!AU58+'SGTO POAI 2022'!AU59+'SGTO POAI 2022'!AU60+'SGTO POAI 2022'!AU61+'SGTO POAI 2022'!AU62+'SGTO POAI 2022'!AU63+'SGTO POAI 2022'!AU64+'SGTO POAI 2022'!AU66+'SGTO POAI 2022'!AU67+'SGTO POAI 2022'!AU68+'SGTO POAI 2022'!AU69+'SGTO POAI 2022'!AU70+'SGTO POAI 2022'!AU71+'SGTO POAI 2022'!AU72+'SGTO POAI 2022'!AU73+'SGTO POAI 2022'!AU74+'SGTO POAI 2022'!AU75</f>
        <v>1653688780.1800001</v>
      </c>
      <c r="F26" s="268">
        <f t="shared" si="0"/>
        <v>0.91969254764424668</v>
      </c>
      <c r="G26" s="135">
        <f>'SGTO POAI 2022'!AV55+'SGTO POAI 2022'!AV56+'SGTO POAI 2022'!AV57+'SGTO POAI 2022'!AV58+'SGTO POAI 2022'!AV59+'SGTO POAI 2022'!AV60+'SGTO POAI 2022'!AV61+'SGTO POAI 2022'!AV62+'SGTO POAI 2022'!AV63+'SGTO POAI 2022'!AV64+'SGTO POAI 2022'!AV66+'SGTO POAI 2022'!AV67+'SGTO POAI 2022'!AV68+'SGTO POAI 2022'!AV69+'SGTO POAI 2022'!AV70+'SGTO POAI 2022'!AV71+'SGTO POAI 2022'!AV72+'SGTO POAI 2022'!AV73+'SGTO POAI 2022'!AV74+'SGTO POAI 2022'!AV75</f>
        <v>1513655890.0599999</v>
      </c>
      <c r="H26" s="155">
        <f t="shared" si="6"/>
        <v>0.84181380346214518</v>
      </c>
    </row>
    <row r="27" spans="1:8" ht="30" customHeight="1" x14ac:dyDescent="0.2">
      <c r="A27" s="139"/>
      <c r="B27" s="34" t="s">
        <v>1401</v>
      </c>
      <c r="C27" s="47">
        <f>'SGTO POAI 2022'!AW65</f>
        <v>4814605909.1499996</v>
      </c>
      <c r="D27" s="211">
        <f t="shared" si="2"/>
        <v>1</v>
      </c>
      <c r="E27" s="47">
        <f>'SGTO POAI 2022'!AX65</f>
        <v>2895994836.27</v>
      </c>
      <c r="F27" s="268">
        <f t="shared" si="0"/>
        <v>0.60150194863638939</v>
      </c>
      <c r="G27" s="47">
        <f>'SGTO POAI 2022'!AY65</f>
        <v>2469624470.1199999</v>
      </c>
      <c r="H27" s="155">
        <f t="shared" si="6"/>
        <v>0.51294426100930923</v>
      </c>
    </row>
    <row r="28" spans="1:8" ht="30" customHeight="1" x14ac:dyDescent="0.2">
      <c r="A28" s="59"/>
      <c r="B28" s="60"/>
      <c r="C28" s="62"/>
      <c r="D28" s="205"/>
      <c r="E28" s="62"/>
      <c r="F28" s="62"/>
      <c r="G28" s="62"/>
      <c r="H28" s="235"/>
    </row>
    <row r="29" spans="1:8" ht="30" customHeight="1" x14ac:dyDescent="0.2">
      <c r="A29" s="108" t="s">
        <v>300</v>
      </c>
      <c r="B29" s="106"/>
      <c r="C29" s="107">
        <f>SUM(C30:C32)</f>
        <v>3921066964.4700003</v>
      </c>
      <c r="D29" s="203">
        <f t="shared" si="2"/>
        <v>1</v>
      </c>
      <c r="E29" s="259">
        <f>SUM(E30:E32)</f>
        <v>3451106037.3400002</v>
      </c>
      <c r="F29" s="155">
        <f t="shared" si="0"/>
        <v>0.88014463119644182</v>
      </c>
      <c r="G29" s="260">
        <f>SUM(G30:G32)</f>
        <v>3437118732.5</v>
      </c>
      <c r="H29" s="155">
        <f t="shared" ref="H29:H32" si="7">G29/C29</f>
        <v>0.87657741212909523</v>
      </c>
    </row>
    <row r="30" spans="1:8" s="16" customFormat="1" ht="30" customHeight="1" x14ac:dyDescent="0.2">
      <c r="A30" s="26"/>
      <c r="B30" s="34" t="s">
        <v>1402</v>
      </c>
      <c r="C30" s="47">
        <f>'SGTO POAI 2022'!AB77+'SGTO POAI 2022'!AB81+'SGTO POAI 2022'!AB82+'SGTO POAI 2022'!AB83</f>
        <v>2143041109.1700001</v>
      </c>
      <c r="D30" s="211">
        <f t="shared" si="2"/>
        <v>1</v>
      </c>
      <c r="E30" s="47">
        <f>'SGTO POAI 2022'!AC77+'SGTO POAI 2022'!AC81+'SGTO POAI 2022'!AC82+'SGTO POAI 2022'!AC83</f>
        <v>1758379289.0799999</v>
      </c>
      <c r="F30" s="268">
        <f t="shared" si="0"/>
        <v>0.82050656030626512</v>
      </c>
      <c r="G30" s="47">
        <f>'SGTO POAI 2022'!AD77+'SGTO POAI 2022'!AD81+'SGTO POAI 2022'!AD82+'SGTO POAI 2022'!AD83</f>
        <v>1749020962.4199998</v>
      </c>
      <c r="H30" s="155">
        <f t="shared" si="7"/>
        <v>0.81613971609597158</v>
      </c>
    </row>
    <row r="31" spans="1:8" s="16" customFormat="1" ht="30" customHeight="1" x14ac:dyDescent="0.2">
      <c r="A31" s="26"/>
      <c r="B31" s="141" t="s">
        <v>1396</v>
      </c>
      <c r="C31" s="47">
        <f>'SGTO POAI 2022'!AT76+'SGTO POAI 2022'!AT77+'SGTO POAI 2022'!AT78+'SGTO POAI 2022'!AT79+'SGTO POAI 2022'!AT80+'SGTO POAI 2022'!AT81+'SGTO POAI 2022'!AT82+'SGTO POAI 2022'!AT83+'SGTO POAI 2022'!AT84+'SGTO POAI 2022'!AT85</f>
        <v>1674132000</v>
      </c>
      <c r="D31" s="211">
        <f t="shared" si="2"/>
        <v>1</v>
      </c>
      <c r="E31" s="47">
        <f>'SGTO POAI 2022'!AU76+'SGTO POAI 2022'!AU77+'SGTO POAI 2022'!AU78+'SGTO POAI 2022'!AU79+'SGTO POAI 2022'!AU80+'SGTO POAI 2022'!AU81+'SGTO POAI 2022'!AU82+'SGTO POAI 2022'!AU83+'SGTO POAI 2022'!AU84+'SGTO POAI 2022'!AU85</f>
        <v>1597517326.26</v>
      </c>
      <c r="F31" s="268">
        <f t="shared" si="0"/>
        <v>0.95423618105382368</v>
      </c>
      <c r="G31" s="47">
        <f>'SGTO POAI 2022'!AV76+'SGTO POAI 2022'!AV77+'SGTO POAI 2022'!AV78+'SGTO POAI 2022'!AV79+'SGTO POAI 2022'!AV80+'SGTO POAI 2022'!AV81+'SGTO POAI 2022'!AV82+'SGTO POAI 2022'!AV83+'SGTO POAI 2022'!AV84+'SGTO POAI 2022'!AV85</f>
        <v>1592888348.0799999</v>
      </c>
      <c r="H31" s="155">
        <f t="shared" si="7"/>
        <v>0.95147117914238544</v>
      </c>
    </row>
    <row r="32" spans="1:8" s="63" customFormat="1" ht="30" customHeight="1" x14ac:dyDescent="0.2">
      <c r="A32" s="26"/>
      <c r="B32" s="34" t="s">
        <v>1403</v>
      </c>
      <c r="C32" s="36">
        <f>'SGTO POAI 2022'!AW85</f>
        <v>103893855.30000001</v>
      </c>
      <c r="D32" s="211">
        <f t="shared" si="2"/>
        <v>1</v>
      </c>
      <c r="E32" s="36">
        <f>'SGTO POAI 2022'!AX85</f>
        <v>95209422</v>
      </c>
      <c r="F32" s="268">
        <f t="shared" si="0"/>
        <v>0.91641052038233473</v>
      </c>
      <c r="G32" s="36">
        <f>'SGTO POAI 2022'!AY85</f>
        <v>95209422</v>
      </c>
      <c r="H32" s="155">
        <f t="shared" si="7"/>
        <v>0.91641052038233473</v>
      </c>
    </row>
    <row r="33" spans="1:8" ht="30" customHeight="1" x14ac:dyDescent="0.2">
      <c r="A33" s="59"/>
      <c r="B33" s="60"/>
      <c r="C33" s="62"/>
      <c r="D33" s="205"/>
      <c r="E33" s="62"/>
      <c r="F33" s="62"/>
      <c r="G33" s="62"/>
      <c r="H33" s="235"/>
    </row>
    <row r="34" spans="1:8" ht="30" customHeight="1" x14ac:dyDescent="0.2">
      <c r="A34" s="108" t="s">
        <v>332</v>
      </c>
      <c r="B34" s="106"/>
      <c r="C34" s="107">
        <f>SUM(C35:C36)</f>
        <v>3366376735.1100001</v>
      </c>
      <c r="D34" s="203">
        <f t="shared" si="2"/>
        <v>1</v>
      </c>
      <c r="E34" s="259">
        <f>SUM(E35:E36)</f>
        <v>2611899246.9899998</v>
      </c>
      <c r="F34" s="155">
        <f t="shared" si="0"/>
        <v>0.77587847484475114</v>
      </c>
      <c r="G34" s="260">
        <f>SUM(G35:G36)</f>
        <v>2309275832.9499998</v>
      </c>
      <c r="H34" s="155">
        <f t="shared" ref="H34:H36" si="8">G34/C34</f>
        <v>0.68598259038126985</v>
      </c>
    </row>
    <row r="35" spans="1:8" ht="30" customHeight="1" x14ac:dyDescent="0.2">
      <c r="A35" s="26"/>
      <c r="B35" s="141" t="s">
        <v>1396</v>
      </c>
      <c r="C35" s="47">
        <f>SUM('SGTO POAI 2022'!AT86:AT96)</f>
        <v>1966671000</v>
      </c>
      <c r="D35" s="211">
        <f t="shared" si="2"/>
        <v>1</v>
      </c>
      <c r="E35" s="47">
        <f>SUM('SGTO POAI 2022'!AU86:AU96)</f>
        <v>1234337464</v>
      </c>
      <c r="F35" s="268">
        <f t="shared" si="0"/>
        <v>0.62762783607425954</v>
      </c>
      <c r="G35" s="47">
        <f>SUM('SGTO POAI 2022'!AV86:AV96)</f>
        <v>1092979293</v>
      </c>
      <c r="H35" s="155">
        <f t="shared" si="8"/>
        <v>0.55575095834534605</v>
      </c>
    </row>
    <row r="36" spans="1:8" s="63" customFormat="1" ht="30" customHeight="1" x14ac:dyDescent="0.2">
      <c r="A36" s="26"/>
      <c r="B36" s="34" t="s">
        <v>1404</v>
      </c>
      <c r="C36" s="47">
        <f>'SGTO POAI 2022'!AW91</f>
        <v>1399705735.1100001</v>
      </c>
      <c r="D36" s="211">
        <f t="shared" si="2"/>
        <v>1</v>
      </c>
      <c r="E36" s="47">
        <f>'SGTO POAI 2022'!AX91</f>
        <v>1377561782.99</v>
      </c>
      <c r="F36" s="268">
        <f t="shared" si="0"/>
        <v>0.98417956605839019</v>
      </c>
      <c r="G36" s="47">
        <f>'SGTO POAI 2022'!AY91</f>
        <v>1216296539.9499998</v>
      </c>
      <c r="H36" s="155">
        <f t="shared" si="8"/>
        <v>0.86896589007289693</v>
      </c>
    </row>
    <row r="37" spans="1:8" ht="30" customHeight="1" x14ac:dyDescent="0.2">
      <c r="A37" s="59"/>
      <c r="B37" s="60"/>
      <c r="C37" s="62"/>
      <c r="D37" s="205"/>
      <c r="E37" s="62"/>
      <c r="F37" s="62"/>
      <c r="G37" s="62"/>
      <c r="H37" s="235"/>
    </row>
    <row r="38" spans="1:8" ht="30" customHeight="1" x14ac:dyDescent="0.2">
      <c r="A38" s="108" t="s">
        <v>374</v>
      </c>
      <c r="B38" s="106"/>
      <c r="C38" s="107">
        <f>C39+C40</f>
        <v>4664234480.8400002</v>
      </c>
      <c r="D38" s="203">
        <f t="shared" si="2"/>
        <v>1</v>
      </c>
      <c r="E38" s="259">
        <f>E39+E40</f>
        <v>3043611763.2299995</v>
      </c>
      <c r="F38" s="155">
        <f t="shared" si="0"/>
        <v>0.65254261459896923</v>
      </c>
      <c r="G38" s="260">
        <f>G39+G40</f>
        <v>3015547168.5899997</v>
      </c>
      <c r="H38" s="155">
        <f t="shared" ref="H38:H40" si="9">G38/C38</f>
        <v>0.64652563694587628</v>
      </c>
    </row>
    <row r="39" spans="1:8" ht="30" customHeight="1" x14ac:dyDescent="0.2">
      <c r="A39" s="139"/>
      <c r="B39" s="141" t="s">
        <v>1396</v>
      </c>
      <c r="C39" s="47">
        <f>'SGTO POAI 2022'!AT97+'SGTO POAI 2022'!AT98+'SGTO POAI 2022'!AT99+'SGTO POAI 2022'!AT100+'SGTO POAI 2022'!AT101+'SGTO POAI 2022'!AT102+'SGTO POAI 2022'!AT103+'SGTO POAI 2022'!AT104+'SGTO POAI 2022'!AT105+'SGTO POAI 2022'!AT106+'SGTO POAI 2022'!AT107+'SGTO POAI 2022'!AT108+'SGTO POAI 2022'!AT109+'SGTO POAI 2022'!AT110+'SGTO POAI 2022'!AT111+'SGTO POAI 2022'!AT112+'SGTO POAI 2022'!AT113+'SGTO POAI 2022'!AT114+'SGTO POAI 2022'!AT115+'SGTO POAI 2022'!AT116+'SGTO POAI 2022'!AT117+'SGTO POAI 2022'!AT118+'SGTO POAI 2022'!AT119+'SGTO POAI 2022'!AT120+'SGTO POAI 2022'!AT121+'SGTO POAI 2022'!AT122+'SGTO POAI 2022'!AT123+'SGTO POAI 2022'!AT124+'SGTO POAI 2022'!AT125+'SGTO POAI 2022'!AT126+'SGTO POAI 2022'!AT127+'SGTO POAI 2022'!AT128+'SGTO POAI 2022'!AT129+'SGTO POAI 2022'!AT130+'SGTO POAI 2022'!AT131+'SGTO POAI 2022'!AT132+'SGTO POAI 2022'!AT133</f>
        <v>4558627895.1800003</v>
      </c>
      <c r="D39" s="211">
        <f t="shared" si="2"/>
        <v>1</v>
      </c>
      <c r="E39" s="47">
        <f>'SGTO POAI 2022'!AU97+'SGTO POAI 2022'!AU98+'SGTO POAI 2022'!AU99+'SGTO POAI 2022'!AU100+'SGTO POAI 2022'!AU101+'SGTO POAI 2022'!AU102+'SGTO POAI 2022'!AU103+'SGTO POAI 2022'!AU104+'SGTO POAI 2022'!AU105+'SGTO POAI 2022'!AU106+'SGTO POAI 2022'!AU107+'SGTO POAI 2022'!AU108+'SGTO POAI 2022'!AU109+'SGTO POAI 2022'!AU110+'SGTO POAI 2022'!AU111+'SGTO POAI 2022'!AU112+'SGTO POAI 2022'!AU113+'SGTO POAI 2022'!AU114+'SGTO POAI 2022'!AU115+'SGTO POAI 2022'!AU116+'SGTO POAI 2022'!AU117+'SGTO POAI 2022'!AU118+'SGTO POAI 2022'!AU119+'SGTO POAI 2022'!AU120+'SGTO POAI 2022'!AU121+'SGTO POAI 2022'!AU122+'SGTO POAI 2022'!AU123+'SGTO POAI 2022'!AU124+'SGTO POAI 2022'!AU125+'SGTO POAI 2022'!AU126+'SGTO POAI 2022'!AU127+'SGTO POAI 2022'!AU128+'SGTO POAI 2022'!AU129+'SGTO POAI 2022'!AU130+'SGTO POAI 2022'!AU131+'SGTO POAI 2022'!AU132+'SGTO POAI 2022'!AU133</f>
        <v>2938005177.5699997</v>
      </c>
      <c r="F39" s="268">
        <f t="shared" si="0"/>
        <v>0.64449330919868608</v>
      </c>
      <c r="G39" s="47">
        <f>'SGTO POAI 2022'!AV97+'SGTO POAI 2022'!AV98+'SGTO POAI 2022'!AV99+'SGTO POAI 2022'!AV100+'SGTO POAI 2022'!AV101+'SGTO POAI 2022'!AV102+'SGTO POAI 2022'!AV103+'SGTO POAI 2022'!AV104+'SGTO POAI 2022'!AV105+'SGTO POAI 2022'!AV106+'SGTO POAI 2022'!AV107+'SGTO POAI 2022'!AV108+'SGTO POAI 2022'!AV109+'SGTO POAI 2022'!AV110+'SGTO POAI 2022'!AV111+'SGTO POAI 2022'!AV112+'SGTO POAI 2022'!AV113+'SGTO POAI 2022'!AV114+'SGTO POAI 2022'!AV115+'SGTO POAI 2022'!AV116+'SGTO POAI 2022'!AV117+'SGTO POAI 2022'!AV118+'SGTO POAI 2022'!AV119+'SGTO POAI 2022'!AV120+'SGTO POAI 2022'!AV121+'SGTO POAI 2022'!AV122+'SGTO POAI 2022'!AV123+'SGTO POAI 2022'!AV124+'SGTO POAI 2022'!AV125+'SGTO POAI 2022'!AV126+'SGTO POAI 2022'!AV127+'SGTO POAI 2022'!AV128+'SGTO POAI 2022'!AV129+'SGTO POAI 2022'!AV130+'SGTO POAI 2022'!AV131+'SGTO POAI 2022'!AV132+'SGTO POAI 2022'!AV133</f>
        <v>2909940582.9299998</v>
      </c>
      <c r="H39" s="155">
        <f t="shared" si="9"/>
        <v>0.63833694037777988</v>
      </c>
    </row>
    <row r="40" spans="1:8" ht="30" customHeight="1" x14ac:dyDescent="0.2">
      <c r="A40" s="139"/>
      <c r="B40" s="141" t="s">
        <v>1455</v>
      </c>
      <c r="C40" s="47">
        <f>'SGTO POAI 2022'!AZ104</f>
        <v>105606585.66</v>
      </c>
      <c r="D40" s="211">
        <f t="shared" si="2"/>
        <v>1</v>
      </c>
      <c r="E40" s="47">
        <f>'SGTO POAI 2022'!BA104</f>
        <v>105606585.66</v>
      </c>
      <c r="F40" s="268">
        <f t="shared" si="0"/>
        <v>1</v>
      </c>
      <c r="G40" s="47">
        <f>'SGTO POAI 2022'!BB104</f>
        <v>105606585.66</v>
      </c>
      <c r="H40" s="155">
        <f t="shared" si="9"/>
        <v>1</v>
      </c>
    </row>
    <row r="41" spans="1:8" ht="30" customHeight="1" x14ac:dyDescent="0.2">
      <c r="A41" s="59"/>
      <c r="B41" s="60"/>
      <c r="C41" s="62"/>
      <c r="D41" s="205"/>
      <c r="E41" s="62"/>
      <c r="F41" s="62"/>
      <c r="G41" s="62"/>
      <c r="H41" s="235"/>
    </row>
    <row r="42" spans="1:8" ht="30" customHeight="1" x14ac:dyDescent="0.2">
      <c r="A42" s="108" t="s">
        <v>1493</v>
      </c>
      <c r="B42" s="106"/>
      <c r="C42" s="107">
        <f>C43</f>
        <v>2672052800</v>
      </c>
      <c r="D42" s="203">
        <f t="shared" si="2"/>
        <v>1</v>
      </c>
      <c r="E42" s="259">
        <f>E43</f>
        <v>2265396855.1300001</v>
      </c>
      <c r="F42" s="155">
        <f t="shared" si="0"/>
        <v>0.84781141118543768</v>
      </c>
      <c r="G42" s="260">
        <f>G43</f>
        <v>2254546850.98</v>
      </c>
      <c r="H42" s="155">
        <f t="shared" ref="H42:H43" si="10">G42/C42</f>
        <v>0.84375086112819331</v>
      </c>
    </row>
    <row r="43" spans="1:8" s="16" customFormat="1" ht="30" customHeight="1" x14ac:dyDescent="0.2">
      <c r="A43" s="26"/>
      <c r="B43" s="141" t="s">
        <v>1396</v>
      </c>
      <c r="C43" s="47">
        <f>SUM('SGTO POAI 2022'!AT134:AT137)</f>
        <v>2672052800</v>
      </c>
      <c r="D43" s="211">
        <f t="shared" si="2"/>
        <v>1</v>
      </c>
      <c r="E43" s="47">
        <f>SUM('SGTO POAI 2022'!AU134:AU137)</f>
        <v>2265396855.1300001</v>
      </c>
      <c r="F43" s="268">
        <f t="shared" si="0"/>
        <v>0.84781141118543768</v>
      </c>
      <c r="G43" s="47">
        <f>SUM('SGTO POAI 2022'!AV134:AV137)</f>
        <v>2254546850.98</v>
      </c>
      <c r="H43" s="155">
        <f t="shared" si="10"/>
        <v>0.84375086112819331</v>
      </c>
    </row>
    <row r="44" spans="1:8" ht="30" customHeight="1" x14ac:dyDescent="0.2">
      <c r="A44" s="59"/>
      <c r="B44" s="101"/>
      <c r="C44" s="102"/>
      <c r="D44" s="206"/>
      <c r="E44" s="102"/>
      <c r="F44" s="102"/>
      <c r="G44" s="102"/>
      <c r="H44" s="236"/>
    </row>
    <row r="45" spans="1:8" ht="30" customHeight="1" x14ac:dyDescent="0.2">
      <c r="A45" s="108" t="s">
        <v>542</v>
      </c>
      <c r="B45" s="106"/>
      <c r="C45" s="107">
        <f>SUM(C46:C51)</f>
        <v>196347005987.70996</v>
      </c>
      <c r="D45" s="203">
        <f t="shared" si="2"/>
        <v>1</v>
      </c>
      <c r="E45" s="107">
        <f>SUM(E46:E51)</f>
        <v>193873956157.17999</v>
      </c>
      <c r="F45" s="249">
        <f t="shared" si="0"/>
        <v>0.98740469803402675</v>
      </c>
      <c r="G45" s="107">
        <f>SUM(G46:G51)</f>
        <v>191120032866.86996</v>
      </c>
      <c r="H45" s="155">
        <f t="shared" ref="H45:H51" si="11">G45/C45</f>
        <v>0.97337890081620515</v>
      </c>
    </row>
    <row r="46" spans="1:8" s="16" customFormat="1" ht="30" customHeight="1" x14ac:dyDescent="0.2">
      <c r="A46" s="26"/>
      <c r="B46" s="34" t="s">
        <v>1405</v>
      </c>
      <c r="C46" s="36">
        <f>'SGTO POAI 2022'!AE144+'SGTO POAI 2022'!AE147+'SGTO POAI 2022'!AE163+'SGTO POAI 2022'!AE172+'SGTO POAI 2022'!AE173</f>
        <v>2673420939</v>
      </c>
      <c r="D46" s="211">
        <f t="shared" si="2"/>
        <v>1</v>
      </c>
      <c r="E46" s="36">
        <f>'SGTO POAI 2022'!AF144+'SGTO POAI 2022'!AF147+'SGTO POAI 2022'!AF163+'SGTO POAI 2022'!AF172+'SGTO POAI 2022'!AF173</f>
        <v>2598420909</v>
      </c>
      <c r="F46" s="268">
        <f t="shared" si="0"/>
        <v>0.97194604526885542</v>
      </c>
      <c r="G46" s="36">
        <f>'SGTO POAI 2022'!AG144+'SGTO POAI 2022'!AG147+'SGTO POAI 2022'!AG163+'SGTO POAI 2022'!AG172+'SGTO POAI 2022'!AG173</f>
        <v>2598420909</v>
      </c>
      <c r="H46" s="155">
        <f t="shared" si="11"/>
        <v>0.97194604526885542</v>
      </c>
    </row>
    <row r="47" spans="1:8" ht="30" customHeight="1" x14ac:dyDescent="0.2">
      <c r="A47" s="26"/>
      <c r="B47" s="34" t="s">
        <v>1406</v>
      </c>
      <c r="C47" s="47">
        <f>'SGTO POAI 2022'!AN138+'SGTO POAI 2022'!AN141+'SGTO POAI 2022'!AN143+'SGTO POAI 2022'!AN147+'SGTO POAI 2022'!AN163+'SGTO POAI 2022'!AN165</f>
        <v>168741095743.02997</v>
      </c>
      <c r="D47" s="211">
        <f t="shared" si="2"/>
        <v>1</v>
      </c>
      <c r="E47" s="47">
        <f>'SGTO POAI 2022'!AO138+'SGTO POAI 2022'!AO141+'SGTO POAI 2022'!AO143+'SGTO POAI 2022'!AO147+'SGTO POAI 2022'!AO163+'SGTO POAI 2022'!AO165</f>
        <v>168485012290.25998</v>
      </c>
      <c r="F47" s="268">
        <f t="shared" si="0"/>
        <v>0.99848238834978309</v>
      </c>
      <c r="G47" s="47">
        <f>'SGTO POAI 2022'!AP138+'SGTO POAI 2022'!AP141+'SGTO POAI 2022'!AP143+'SGTO POAI 2022'!AP147+'SGTO POAI 2022'!AP163+'SGTO POAI 2022'!AP165</f>
        <v>168384204067.55997</v>
      </c>
      <c r="H47" s="155">
        <f t="shared" si="11"/>
        <v>0.99788497476623306</v>
      </c>
    </row>
    <row r="48" spans="1:8" s="16" customFormat="1" ht="30" customHeight="1" x14ac:dyDescent="0.2">
      <c r="A48" s="188"/>
      <c r="B48" s="140" t="s">
        <v>1396</v>
      </c>
      <c r="C48" s="36">
        <f>'SGTO POAI 2022'!AT139+'SGTO POAI 2022'!AT140+'SGTO POAI 2022'!AT142+'SGTO POAI 2022'!AT143+'SGTO POAI 2022'!AT144+'SGTO POAI 2022'!AT145+'SGTO POAI 2022'!AT146+'SGTO POAI 2022'!AT147+'SGTO POAI 2022'!AT148+'SGTO POAI 2022'!AT149+'SGTO POAI 2022'!AT150+'SGTO POAI 2022'!AT151+'SGTO POAI 2022'!AT152+'SGTO POAI 2022'!AT153+'SGTO POAI 2022'!AT154+'SGTO POAI 2022'!AT155+'SGTO POAI 2022'!AT156+'SGTO POAI 2022'!AT157+'SGTO POAI 2022'!AT158+'SGTO POAI 2022'!AT159+'SGTO POAI 2022'!AT160+'SGTO POAI 2022'!AT161+'SGTO POAI 2022'!AT162+'SGTO POAI 2022'!AT163+'SGTO POAI 2022'!AT164+'SGTO POAI 2022'!AT166+'SGTO POAI 2022'!AT167+'SGTO POAI 2022'!AT168+'SGTO POAI 2022'!AT169+'SGTO POAI 2022'!AT170+'SGTO POAI 2022'!AT171+'SGTO POAI 2022'!AT172+'SGTO POAI 2022'!AT173</f>
        <v>13381861812.189999</v>
      </c>
      <c r="D48" s="211">
        <f t="shared" si="2"/>
        <v>1</v>
      </c>
      <c r="E48" s="36">
        <f>'SGTO POAI 2022'!AU139+'SGTO POAI 2022'!AU140+'SGTO POAI 2022'!AU142+'SGTO POAI 2022'!AU143+'SGTO POAI 2022'!AU144+'SGTO POAI 2022'!AU145+'SGTO POAI 2022'!AU146+'SGTO POAI 2022'!AU147+'SGTO POAI 2022'!AU148+'SGTO POAI 2022'!AU149+'SGTO POAI 2022'!AU150+'SGTO POAI 2022'!AU151+'SGTO POAI 2022'!AU152+'SGTO POAI 2022'!AU153+'SGTO POAI 2022'!AU154+'SGTO POAI 2022'!AU155+'SGTO POAI 2022'!AU156+'SGTO POAI 2022'!AU157+'SGTO POAI 2022'!AU158+'SGTO POAI 2022'!AU159+'SGTO POAI 2022'!AU160+'SGTO POAI 2022'!AU161+'SGTO POAI 2022'!AU162+'SGTO POAI 2022'!AU163+'SGTO POAI 2022'!AU164+'SGTO POAI 2022'!AU166+'SGTO POAI 2022'!AU167+'SGTO POAI 2022'!AU168+'SGTO POAI 2022'!AU169+'SGTO POAI 2022'!AU170+'SGTO POAI 2022'!AU171+'SGTO POAI 2022'!AU172+'SGTO POAI 2022'!AU173</f>
        <v>11945448637.92</v>
      </c>
      <c r="F48" s="268">
        <f t="shared" si="0"/>
        <v>0.89265969157135372</v>
      </c>
      <c r="G48" s="36">
        <f>'SGTO POAI 2022'!AV139+'SGTO POAI 2022'!AV140+'SGTO POAI 2022'!AV142+'SGTO POAI 2022'!AV143+'SGTO POAI 2022'!AV144+'SGTO POAI 2022'!AV145+'SGTO POAI 2022'!AV146+'SGTO POAI 2022'!AV147+'SGTO POAI 2022'!AV148+'SGTO POAI 2022'!AV149+'SGTO POAI 2022'!AV150+'SGTO POAI 2022'!AV151+'SGTO POAI 2022'!AV152+'SGTO POAI 2022'!AV153+'SGTO POAI 2022'!AV154+'SGTO POAI 2022'!AV155+'SGTO POAI 2022'!AV156+'SGTO POAI 2022'!AV157+'SGTO POAI 2022'!AV158+'SGTO POAI 2022'!AV159+'SGTO POAI 2022'!AV160+'SGTO POAI 2022'!AV161+'SGTO POAI 2022'!AV162+'SGTO POAI 2022'!AV163+'SGTO POAI 2022'!AV164+'SGTO POAI 2022'!AV166+'SGTO POAI 2022'!AV167+'SGTO POAI 2022'!AV168+'SGTO POAI 2022'!AV169+'SGTO POAI 2022'!AV170+'SGTO POAI 2022'!AV171+'SGTO POAI 2022'!AV172+'SGTO POAI 2022'!AV173</f>
        <v>11364302764.33</v>
      </c>
      <c r="H48" s="155">
        <f t="shared" si="11"/>
        <v>0.84923181271965198</v>
      </c>
    </row>
    <row r="49" spans="1:8" s="16" customFormat="1" ht="30" customHeight="1" x14ac:dyDescent="0.2">
      <c r="A49" s="198"/>
      <c r="B49" s="199" t="s">
        <v>1408</v>
      </c>
      <c r="C49" s="36">
        <f>'SGTO POAI 2022'!BC143</f>
        <v>11231485067.929998</v>
      </c>
      <c r="D49" s="211">
        <f t="shared" si="2"/>
        <v>1</v>
      </c>
      <c r="E49" s="36">
        <f>'SGTO POAI 2022'!BD143</f>
        <v>10534139821</v>
      </c>
      <c r="F49" s="268">
        <f t="shared" si="0"/>
        <v>0.93791157244902779</v>
      </c>
      <c r="G49" s="36">
        <f>'SGTO POAI 2022'!BE143</f>
        <v>8462170626.9799995</v>
      </c>
      <c r="H49" s="155">
        <f t="shared" si="11"/>
        <v>0.75343292323315236</v>
      </c>
    </row>
    <row r="50" spans="1:8" s="16" customFormat="1" ht="30" customHeight="1" x14ac:dyDescent="0.2">
      <c r="A50" s="26"/>
      <c r="B50" s="200" t="s">
        <v>1480</v>
      </c>
      <c r="C50" s="196">
        <f>'SGTO POAI 2022'!AW163+'SGTO POAI 2022'!AW143</f>
        <v>150081.03</v>
      </c>
      <c r="D50" s="221">
        <f t="shared" si="2"/>
        <v>1</v>
      </c>
      <c r="E50" s="196">
        <f>'SGTO POAI 2022'!AX163+'SGTO POAI 2022'!AX143</f>
        <v>0</v>
      </c>
      <c r="F50" s="268">
        <f t="shared" si="0"/>
        <v>0</v>
      </c>
      <c r="G50" s="196">
        <f>'SGTO POAI 2022'!AY163+'SGTO POAI 2022'!AY143</f>
        <v>0</v>
      </c>
      <c r="H50" s="155">
        <f t="shared" si="11"/>
        <v>0</v>
      </c>
    </row>
    <row r="51" spans="1:8" s="63" customFormat="1" ht="30" customHeight="1" x14ac:dyDescent="0.2">
      <c r="A51" s="26"/>
      <c r="B51" s="27" t="s">
        <v>1407</v>
      </c>
      <c r="C51" s="197">
        <f>'SGTO POAI 2022'!BC163</f>
        <v>318992344.52999997</v>
      </c>
      <c r="D51" s="221">
        <f t="shared" si="2"/>
        <v>1</v>
      </c>
      <c r="E51" s="197">
        <f>'SGTO POAI 2022'!BD163</f>
        <v>310934499</v>
      </c>
      <c r="F51" s="268">
        <f t="shared" si="0"/>
        <v>0.97473968993872784</v>
      </c>
      <c r="G51" s="197">
        <f>'SGTO POAI 2022'!BE163</f>
        <v>310934499</v>
      </c>
      <c r="H51" s="155">
        <f t="shared" si="11"/>
        <v>0.97473968993872784</v>
      </c>
    </row>
    <row r="52" spans="1:8" s="63" customFormat="1" ht="30" customHeight="1" x14ac:dyDescent="0.2">
      <c r="A52" s="59"/>
      <c r="B52" s="60"/>
      <c r="C52" s="62"/>
      <c r="D52" s="205"/>
      <c r="E52" s="62"/>
      <c r="F52" s="62"/>
      <c r="G52" s="62"/>
      <c r="H52" s="235"/>
    </row>
    <row r="53" spans="1:8" s="63" customFormat="1" ht="30" customHeight="1" x14ac:dyDescent="0.2">
      <c r="A53" s="108" t="s">
        <v>649</v>
      </c>
      <c r="B53" s="106"/>
      <c r="C53" s="107">
        <f>SUM(C54:C55)</f>
        <v>9813525250.4799995</v>
      </c>
      <c r="D53" s="203">
        <f t="shared" si="2"/>
        <v>1</v>
      </c>
      <c r="E53" s="259">
        <f>SUM(E54:E55)</f>
        <v>8815268025.170002</v>
      </c>
      <c r="F53" s="155">
        <f t="shared" si="0"/>
        <v>0.8982774079822976</v>
      </c>
      <c r="G53" s="260">
        <f>SUM(G54:G55)</f>
        <v>8768692425.170002</v>
      </c>
      <c r="H53" s="155">
        <f t="shared" ref="H53:H55" si="12">G53/C53</f>
        <v>0.89353134590865879</v>
      </c>
    </row>
    <row r="54" spans="1:8" s="76" customFormat="1" ht="30" customHeight="1" x14ac:dyDescent="0.2">
      <c r="A54" s="26"/>
      <c r="B54" s="34" t="s">
        <v>1409</v>
      </c>
      <c r="C54" s="47">
        <f>'SGTO POAI 2022'!AB197</f>
        <v>7212427345.4799995</v>
      </c>
      <c r="D54" s="211">
        <f t="shared" si="2"/>
        <v>1</v>
      </c>
      <c r="E54" s="47">
        <f>'SGTO POAI 2022'!AC197</f>
        <v>6403095598.8400021</v>
      </c>
      <c r="F54" s="268">
        <f t="shared" si="0"/>
        <v>0.88778649574235191</v>
      </c>
      <c r="G54" s="47">
        <f>'SGTO POAI 2022'!AD197</f>
        <v>6403095598.8400021</v>
      </c>
      <c r="H54" s="155">
        <f t="shared" si="12"/>
        <v>0.88778649574235191</v>
      </c>
    </row>
    <row r="55" spans="1:8" s="76" customFormat="1" ht="30" customHeight="1" x14ac:dyDescent="0.2">
      <c r="A55" s="26"/>
      <c r="B55" s="141" t="s">
        <v>1396</v>
      </c>
      <c r="C55" s="47">
        <f>'SGTO POAI 2022'!AT174+'SGTO POAI 2022'!AT175+'SGTO POAI 2022'!AT176+'SGTO POAI 2022'!AT177+'SGTO POAI 2022'!AT178+'SGTO POAI 2022'!AT179+'SGTO POAI 2022'!AT180+'SGTO POAI 2022'!AT181+'SGTO POAI 2022'!AT182+'SGTO POAI 2022'!AT183+'SGTO POAI 2022'!AT184+'SGTO POAI 2022'!AT185+'SGTO POAI 2022'!AT186+'SGTO POAI 2022'!AT187+'SGTO POAI 2022'!AT188+'SGTO POAI 2022'!AT189+'SGTO POAI 2022'!AT190+'SGTO POAI 2022'!AT191+'SGTO POAI 2022'!AT192+'SGTO POAI 2022'!AT193+'SGTO POAI 2022'!AT194+'SGTO POAI 2022'!AT195+'SGTO POAI 2022'!AT196+'SGTO POAI 2022'!AT198+'SGTO POAI 2022'!AT199+'SGTO POAI 2022'!AT200+'SGTO POAI 2022'!AT201+'SGTO POAI 2022'!AT202+'SGTO POAI 2022'!AT203+'SGTO POAI 2022'!AT204</f>
        <v>2601097905</v>
      </c>
      <c r="D55" s="211">
        <f t="shared" si="2"/>
        <v>1</v>
      </c>
      <c r="E55" s="47">
        <f>'SGTO POAI 2022'!AU174+'SGTO POAI 2022'!AU175+'SGTO POAI 2022'!AU176+'SGTO POAI 2022'!AU177+'SGTO POAI 2022'!AU178+'SGTO POAI 2022'!AU179+'SGTO POAI 2022'!AU180+'SGTO POAI 2022'!AU181+'SGTO POAI 2022'!AU182+'SGTO POAI 2022'!AU183+'SGTO POAI 2022'!AU184+'SGTO POAI 2022'!AU185+'SGTO POAI 2022'!AU186+'SGTO POAI 2022'!AU187+'SGTO POAI 2022'!AU188+'SGTO POAI 2022'!AU189+'SGTO POAI 2022'!AU190+'SGTO POAI 2022'!AU191+'SGTO POAI 2022'!AU192+'SGTO POAI 2022'!AU193+'SGTO POAI 2022'!AU194+'SGTO POAI 2022'!AU195+'SGTO POAI 2022'!AU196+'SGTO POAI 2022'!AU198+'SGTO POAI 2022'!AU199+'SGTO POAI 2022'!AU200+'SGTO POAI 2022'!AU201+'SGTO POAI 2022'!AU202+'SGTO POAI 2022'!AU203+'SGTO POAI 2022'!AU204</f>
        <v>2412172426.3299999</v>
      </c>
      <c r="F55" s="268">
        <f t="shared" si="0"/>
        <v>0.92736702516778191</v>
      </c>
      <c r="G55" s="47">
        <f>'SGTO POAI 2022'!AV174+'SGTO POAI 2022'!AV175+'SGTO POAI 2022'!AV176+'SGTO POAI 2022'!AV177+'SGTO POAI 2022'!AV178+'SGTO POAI 2022'!AV179+'SGTO POAI 2022'!AV180+'SGTO POAI 2022'!AV181+'SGTO POAI 2022'!AV182+'SGTO POAI 2022'!AV183+'SGTO POAI 2022'!AV184+'SGTO POAI 2022'!AV185+'SGTO POAI 2022'!AV186+'SGTO POAI 2022'!AV187+'SGTO POAI 2022'!AV188+'SGTO POAI 2022'!AV189+'SGTO POAI 2022'!AV190+'SGTO POAI 2022'!AV191+'SGTO POAI 2022'!AV192+'SGTO POAI 2022'!AV193+'SGTO POAI 2022'!AV194+'SGTO POAI 2022'!AV195+'SGTO POAI 2022'!AV196+'SGTO POAI 2022'!AV198+'SGTO POAI 2022'!AV199+'SGTO POAI 2022'!AV200+'SGTO POAI 2022'!AV201+'SGTO POAI 2022'!AV202+'SGTO POAI 2022'!AV203+'SGTO POAI 2022'!AV204</f>
        <v>2365596826.3299999</v>
      </c>
      <c r="H55" s="155">
        <f t="shared" si="12"/>
        <v>0.90946089410271547</v>
      </c>
    </row>
    <row r="56" spans="1:8" ht="30" customHeight="1" x14ac:dyDescent="0.2">
      <c r="A56" s="59"/>
      <c r="B56" s="60"/>
      <c r="C56" s="62"/>
      <c r="D56" s="205"/>
      <c r="E56" s="62"/>
      <c r="F56" s="62"/>
      <c r="G56" s="62"/>
      <c r="H56" s="235"/>
    </row>
    <row r="57" spans="1:8" ht="30" customHeight="1" x14ac:dyDescent="0.2">
      <c r="A57" s="108" t="s">
        <v>804</v>
      </c>
      <c r="B57" s="106"/>
      <c r="C57" s="107">
        <f>SUM(C58:C62)</f>
        <v>75585964556.720001</v>
      </c>
      <c r="D57" s="203">
        <f t="shared" si="2"/>
        <v>1</v>
      </c>
      <c r="E57" s="259">
        <f>SUM(E58:E62)</f>
        <v>70267070745.26001</v>
      </c>
      <c r="F57" s="155">
        <f t="shared" si="0"/>
        <v>0.92963119750269674</v>
      </c>
      <c r="G57" s="260">
        <f>SUM(G58:G62)</f>
        <v>69609471626.580002</v>
      </c>
      <c r="H57" s="155">
        <f t="shared" ref="H57:H62" si="13">G57/C57</f>
        <v>0.92093118126904083</v>
      </c>
    </row>
    <row r="58" spans="1:8" s="16" customFormat="1" ht="30" customHeight="1" x14ac:dyDescent="0.2">
      <c r="A58" s="26"/>
      <c r="B58" s="34" t="s">
        <v>1405</v>
      </c>
      <c r="C58" s="47">
        <f>SUM('SGTO POAI 2022'!AE205:AE263)</f>
        <v>659888430.18000007</v>
      </c>
      <c r="D58" s="211">
        <f t="shared" si="2"/>
        <v>1</v>
      </c>
      <c r="E58" s="47">
        <f>SUM('SGTO POAI 2022'!AF205:AF263)</f>
        <v>659832824.18000007</v>
      </c>
      <c r="F58" s="268">
        <f t="shared" si="0"/>
        <v>0.99991573424012781</v>
      </c>
      <c r="G58" s="47">
        <f>SUM('SGTO POAI 2022'!AG205:AG263)</f>
        <v>659832824.18000007</v>
      </c>
      <c r="H58" s="155">
        <f t="shared" si="13"/>
        <v>0.99991573424012781</v>
      </c>
    </row>
    <row r="59" spans="1:8" s="16" customFormat="1" ht="30" customHeight="1" x14ac:dyDescent="0.2">
      <c r="A59" s="26"/>
      <c r="B59" s="34" t="s">
        <v>1410</v>
      </c>
      <c r="C59" s="47">
        <f>SUM('SGTO POAI 2022'!AH205:AH263)</f>
        <v>8483728388.7800007</v>
      </c>
      <c r="D59" s="211">
        <f t="shared" si="2"/>
        <v>1</v>
      </c>
      <c r="E59" s="47">
        <f>SUM('SGTO POAI 2022'!AI205:AI263)</f>
        <v>7450871258.0900002</v>
      </c>
      <c r="F59" s="268">
        <f t="shared" si="0"/>
        <v>0.8782543377913905</v>
      </c>
      <c r="G59" s="47">
        <f>SUM('SGTO POAI 2022'!AJ205:AJ263)</f>
        <v>7105212280.5900002</v>
      </c>
      <c r="H59" s="155">
        <f t="shared" si="13"/>
        <v>0.83751057966293074</v>
      </c>
    </row>
    <row r="60" spans="1:8" s="16" customFormat="1" ht="30" customHeight="1" x14ac:dyDescent="0.2">
      <c r="A60" s="26"/>
      <c r="B60" s="34" t="s">
        <v>1411</v>
      </c>
      <c r="C60" s="47">
        <f>SUM('SGTO POAI 2022'!AK205:AK263)</f>
        <v>51554092396.419998</v>
      </c>
      <c r="D60" s="211">
        <f t="shared" si="2"/>
        <v>1</v>
      </c>
      <c r="E60" s="47">
        <f>SUM('SGTO POAI 2022'!AL205:AL263)</f>
        <v>49500374180.029999</v>
      </c>
      <c r="F60" s="268">
        <f t="shared" si="0"/>
        <v>0.96016381782850257</v>
      </c>
      <c r="G60" s="47">
        <f>SUM('SGTO POAI 2022'!AM205:AM263)</f>
        <v>49500374180.029999</v>
      </c>
      <c r="H60" s="155">
        <f t="shared" si="13"/>
        <v>0.96016381782850257</v>
      </c>
    </row>
    <row r="61" spans="1:8" s="16" customFormat="1" ht="30" customHeight="1" x14ac:dyDescent="0.2">
      <c r="A61" s="26"/>
      <c r="B61" s="34" t="s">
        <v>1396</v>
      </c>
      <c r="C61" s="47">
        <f>SUM('SGTO POAI 2022'!AT205:AT263)</f>
        <v>2354364800</v>
      </c>
      <c r="D61" s="211">
        <f t="shared" si="2"/>
        <v>1</v>
      </c>
      <c r="E61" s="47">
        <f>SUM('SGTO POAI 2022'!AU205:AU263)</f>
        <v>2058529538.4099998</v>
      </c>
      <c r="F61" s="268">
        <f t="shared" si="0"/>
        <v>0.87434603949651302</v>
      </c>
      <c r="G61" s="47">
        <f>SUM('SGTO POAI 2022'!AV205:AV263)</f>
        <v>1968661975.23</v>
      </c>
      <c r="H61" s="155">
        <f t="shared" si="13"/>
        <v>0.83617541989669575</v>
      </c>
    </row>
    <row r="62" spans="1:8" s="16" customFormat="1" ht="30" customHeight="1" x14ac:dyDescent="0.2">
      <c r="A62" s="26"/>
      <c r="B62" s="34" t="s">
        <v>1481</v>
      </c>
      <c r="C62" s="47">
        <f>SUM('SGTO POAI 2022'!BC205:BC263)+SUM('SGTO POAI 2022'!AW231:AW263)</f>
        <v>12533890541.34</v>
      </c>
      <c r="D62" s="211">
        <f t="shared" si="2"/>
        <v>1</v>
      </c>
      <c r="E62" s="47">
        <f>SUM('SGTO POAI 2022'!BD205:BD263)+SUM('SGTO POAI 2022'!AX231:AX263)</f>
        <v>10597462944.549999</v>
      </c>
      <c r="F62" s="268">
        <f t="shared" si="0"/>
        <v>0.84550466669521618</v>
      </c>
      <c r="G62" s="47">
        <f>SUM('SGTO POAI 2022'!BE205:BE263)+SUM('SGTO POAI 2022'!AY231:AY263)</f>
        <v>10375390366.549999</v>
      </c>
      <c r="H62" s="155">
        <f t="shared" si="13"/>
        <v>0.82778689763799107</v>
      </c>
    </row>
    <row r="63" spans="1:8" s="4" customFormat="1" ht="30" customHeight="1" x14ac:dyDescent="0.2">
      <c r="A63" s="59"/>
      <c r="B63" s="60"/>
      <c r="C63" s="62"/>
      <c r="D63" s="205"/>
      <c r="E63" s="62"/>
      <c r="F63" s="62"/>
      <c r="G63" s="62"/>
      <c r="H63" s="235"/>
    </row>
    <row r="64" spans="1:8" s="4" customFormat="1" ht="30" customHeight="1" x14ac:dyDescent="0.25">
      <c r="A64" s="96" t="s">
        <v>1413</v>
      </c>
      <c r="B64" s="106"/>
      <c r="C64" s="107">
        <f>C65</f>
        <v>1713227031</v>
      </c>
      <c r="D64" s="203">
        <f t="shared" si="2"/>
        <v>1</v>
      </c>
      <c r="E64" s="259">
        <f>E65</f>
        <v>1677051604.0899999</v>
      </c>
      <c r="F64" s="155">
        <f t="shared" si="0"/>
        <v>0.97888462751554606</v>
      </c>
      <c r="G64" s="260">
        <f>G65</f>
        <v>1655991566.0899999</v>
      </c>
      <c r="H64" s="155">
        <f t="shared" ref="H64:H65" si="14">G64/C64</f>
        <v>0.96659201385785276</v>
      </c>
    </row>
    <row r="65" spans="1:8" s="4" customFormat="1" ht="30" customHeight="1" x14ac:dyDescent="0.25">
      <c r="A65" s="57"/>
      <c r="B65" s="109" t="s">
        <v>1396</v>
      </c>
      <c r="C65" s="47">
        <f>'SGTO POAI 2022'!AT264+'SGTO POAI 2022'!AT265+'SGTO POAI 2022'!AT266+'SGTO POAI 2022'!AT267+'SGTO POAI 2022'!AT268+'SGTO POAI 2022'!AT269+'SGTO POAI 2022'!AT270+'SGTO POAI 2022'!AT271+'SGTO POAI 2022'!AT272+'SGTO POAI 2022'!AT273+'SGTO POAI 2022'!AT274+'SGTO POAI 2022'!AT275+'SGTO POAI 2022'!AT276+'SGTO POAI 2022'!AT277+'SGTO POAI 2022'!AT278+'SGTO POAI 2022'!AT279+'SGTO POAI 2022'!AT280+'SGTO POAI 2022'!AT281+'SGTO POAI 2022'!AT282+'SGTO POAI 2022'!AT283+'SGTO POAI 2022'!AT284+'SGTO POAI 2022'!AT285+'SGTO POAI 2022'!AT286+'SGTO POAI 2022'!AT287</f>
        <v>1713227031</v>
      </c>
      <c r="D65" s="211">
        <f t="shared" si="2"/>
        <v>1</v>
      </c>
      <c r="E65" s="47">
        <f>'SGTO POAI 2022'!AU264+'SGTO POAI 2022'!AU265+'SGTO POAI 2022'!AU266+'SGTO POAI 2022'!AU267+'SGTO POAI 2022'!AU268+'SGTO POAI 2022'!AU269+'SGTO POAI 2022'!AU270+'SGTO POAI 2022'!AU271+'SGTO POAI 2022'!AU272+'SGTO POAI 2022'!AU273+'SGTO POAI 2022'!AU274+'SGTO POAI 2022'!AU275+'SGTO POAI 2022'!AU276+'SGTO POAI 2022'!AU277+'SGTO POAI 2022'!AU278+'SGTO POAI 2022'!AU279+'SGTO POAI 2022'!AU280+'SGTO POAI 2022'!AU281+'SGTO POAI 2022'!AU282+'SGTO POAI 2022'!AU283+'SGTO POAI 2022'!AU284+'SGTO POAI 2022'!AU285+'SGTO POAI 2022'!AU286+'SGTO POAI 2022'!AU287</f>
        <v>1677051604.0899999</v>
      </c>
      <c r="F65" s="268">
        <f t="shared" si="0"/>
        <v>0.97888462751554606</v>
      </c>
      <c r="G65" s="47">
        <f>'SGTO POAI 2022'!AV264+'SGTO POAI 2022'!AV265+'SGTO POAI 2022'!AV266+'SGTO POAI 2022'!AV267+'SGTO POAI 2022'!AV268+'SGTO POAI 2022'!AV269+'SGTO POAI 2022'!AV270+'SGTO POAI 2022'!AV271+'SGTO POAI 2022'!AV272+'SGTO POAI 2022'!AV273+'SGTO POAI 2022'!AV274+'SGTO POAI 2022'!AV275+'SGTO POAI 2022'!AV276+'SGTO POAI 2022'!AV277+'SGTO POAI 2022'!AV278+'SGTO POAI 2022'!AV279+'SGTO POAI 2022'!AV280+'SGTO POAI 2022'!AV281+'SGTO POAI 2022'!AV282+'SGTO POAI 2022'!AV283+'SGTO POAI 2022'!AV284+'SGTO POAI 2022'!AV285+'SGTO POAI 2022'!AV286+'SGTO POAI 2022'!AV287</f>
        <v>1655991566.0899999</v>
      </c>
      <c r="H65" s="155">
        <f t="shared" si="14"/>
        <v>0.96659201385785276</v>
      </c>
    </row>
    <row r="66" spans="1:8" s="13" customFormat="1" ht="30" customHeight="1" x14ac:dyDescent="0.25">
      <c r="A66" s="59"/>
      <c r="B66" s="60"/>
      <c r="C66" s="62"/>
      <c r="D66" s="205"/>
      <c r="E66" s="62"/>
      <c r="F66" s="62"/>
      <c r="G66" s="62"/>
      <c r="H66" s="235"/>
    </row>
    <row r="67" spans="1:8" s="63" customFormat="1" ht="30" customHeight="1" x14ac:dyDescent="0.2">
      <c r="A67" s="124" t="s">
        <v>1052</v>
      </c>
      <c r="B67" s="127"/>
      <c r="C67" s="128">
        <f>C6+C10+C13+C17+C25+C29+C34+C38+C42+C45+C53+C57+C64</f>
        <v>418901771151.36987</v>
      </c>
      <c r="D67" s="217">
        <f t="shared" si="2"/>
        <v>1</v>
      </c>
      <c r="E67" s="266">
        <f>E6+E10+E13+E17+E25+E29+E34+E38+E42+E45+E53+E57+E64</f>
        <v>317097630755.74005</v>
      </c>
      <c r="F67" s="155">
        <f t="shared" si="0"/>
        <v>0.75697371697470583</v>
      </c>
      <c r="G67" s="267">
        <f>G6+G10+G13+G17+G25+G29+G34+G38+G42+G45+G53+G57+G64</f>
        <v>303940697499.46002</v>
      </c>
      <c r="H67" s="155">
        <f>G67/C67</f>
        <v>0.72556555839825099</v>
      </c>
    </row>
    <row r="68" spans="1:8" ht="30" customHeight="1" x14ac:dyDescent="0.2">
      <c r="A68" s="59"/>
      <c r="B68" s="60"/>
      <c r="C68" s="62"/>
      <c r="D68" s="205"/>
      <c r="E68" s="62"/>
      <c r="F68" s="62"/>
      <c r="G68" s="62"/>
      <c r="H68" s="235"/>
    </row>
    <row r="69" spans="1:8" ht="30" customHeight="1" x14ac:dyDescent="0.2">
      <c r="A69" s="108" t="s">
        <v>1053</v>
      </c>
      <c r="B69" s="106"/>
      <c r="C69" s="107">
        <f>SUM(C70:C74)</f>
        <v>6744858478.1300001</v>
      </c>
      <c r="D69" s="203">
        <f t="shared" si="2"/>
        <v>1</v>
      </c>
      <c r="E69" s="259">
        <f>SUM(E70:E74)</f>
        <v>6061375487.4200001</v>
      </c>
      <c r="F69" s="155">
        <f t="shared" si="0"/>
        <v>0.89866607388039754</v>
      </c>
      <c r="G69" s="260">
        <f>SUM(G70:G74)</f>
        <v>5604257003</v>
      </c>
      <c r="H69" s="155">
        <f t="shared" ref="H69:H81" si="15">G69/C69</f>
        <v>0.83089319385597693</v>
      </c>
    </row>
    <row r="70" spans="1:8" s="16" customFormat="1" ht="30" customHeight="1" x14ac:dyDescent="0.2">
      <c r="A70" s="26"/>
      <c r="B70" s="189" t="s">
        <v>1485</v>
      </c>
      <c r="C70" s="47">
        <f>SUM('SGTO POAI 2022'!AB288:AB293)</f>
        <v>3406610565.3299999</v>
      </c>
      <c r="D70" s="211">
        <f t="shared" si="2"/>
        <v>1</v>
      </c>
      <c r="E70" s="47">
        <f>SUM('SGTO POAI 2022'!AC288:AC293)</f>
        <v>3032702669.1800003</v>
      </c>
      <c r="F70" s="268">
        <f t="shared" si="0"/>
        <v>0.89024049301221519</v>
      </c>
      <c r="G70" s="47">
        <f>SUM('SGTO POAI 2022'!AD288:AD293)</f>
        <v>2847745669.1800003</v>
      </c>
      <c r="H70" s="155">
        <f t="shared" si="15"/>
        <v>0.83594693745222326</v>
      </c>
    </row>
    <row r="71" spans="1:8" s="16" customFormat="1" ht="30" customHeight="1" x14ac:dyDescent="0.2">
      <c r="A71" s="26"/>
      <c r="B71" s="189" t="s">
        <v>1414</v>
      </c>
      <c r="C71" s="47">
        <f>SUM('SGTO POAI 2022'!AE288:AE293)</f>
        <v>910154836</v>
      </c>
      <c r="D71" s="211">
        <f t="shared" si="2"/>
        <v>1</v>
      </c>
      <c r="E71" s="47">
        <f>SUM('SGTO POAI 2022'!AF288:AF293)</f>
        <v>727926588.04999995</v>
      </c>
      <c r="F71" s="268">
        <f t="shared" si="0"/>
        <v>0.79978324484780294</v>
      </c>
      <c r="G71" s="47">
        <f>SUM('SGTO POAI 2022'!AG288:AG293)</f>
        <v>635292345.04999995</v>
      </c>
      <c r="H71" s="155">
        <f t="shared" si="15"/>
        <v>0.69800469098424911</v>
      </c>
    </row>
    <row r="72" spans="1:8" s="16" customFormat="1" ht="30" customHeight="1" x14ac:dyDescent="0.2">
      <c r="A72" s="26"/>
      <c r="B72" s="189" t="s">
        <v>1478</v>
      </c>
      <c r="C72" s="47">
        <f>'SGTO POAI 2022'!AK290+'SGTO POAI 2022'!AK291+'SGTO POAI 2022'!AK292+'SGTO POAI 2022'!AK293</f>
        <v>394592792</v>
      </c>
      <c r="D72" s="211">
        <f t="shared" si="2"/>
        <v>1</v>
      </c>
      <c r="E72" s="47">
        <f>'SGTO POAI 2022'!AL290+'SGTO POAI 2022'!AL291+'SGTO POAI 2022'!AL292+'SGTO POAI 2022'!AL293</f>
        <v>352495388.5</v>
      </c>
      <c r="F72" s="268">
        <f t="shared" si="0"/>
        <v>0.8933143119857091</v>
      </c>
      <c r="G72" s="47">
        <f>'SGTO POAI 2022'!AM290+'SGTO POAI 2022'!AM291+'SGTO POAI 2022'!AM292+'SGTO POAI 2022'!AM293</f>
        <v>223862481.5</v>
      </c>
      <c r="H72" s="155">
        <f t="shared" si="15"/>
        <v>0.56732531875544245</v>
      </c>
    </row>
    <row r="73" spans="1:8" s="16" customFormat="1" ht="30" customHeight="1" x14ac:dyDescent="0.2">
      <c r="A73" s="26"/>
      <c r="B73" s="189" t="s">
        <v>1396</v>
      </c>
      <c r="C73" s="47">
        <f>'SGTO POAI 2022'!AT290+'SGTO POAI 2022'!AT292+'SGTO POAI 2022'!AT293</f>
        <v>1047366655.1800001</v>
      </c>
      <c r="D73" s="211">
        <f t="shared" si="2"/>
        <v>1</v>
      </c>
      <c r="E73" s="47">
        <f>'SGTO POAI 2022'!AU290+'SGTO POAI 2022'!AU292+'SGTO POAI 2022'!AU293</f>
        <v>990499764</v>
      </c>
      <c r="F73" s="268">
        <f t="shared" ref="F73:F85" si="16">E73/C73</f>
        <v>0.94570488672829967</v>
      </c>
      <c r="G73" s="47">
        <f>'SGTO POAI 2022'!AV290+'SGTO POAI 2022'!AV292+'SGTO POAI 2022'!AV293</f>
        <v>971578814</v>
      </c>
      <c r="H73" s="155">
        <f t="shared" si="15"/>
        <v>0.92763962762689334</v>
      </c>
    </row>
    <row r="74" spans="1:8" s="16" customFormat="1" ht="30" customHeight="1" x14ac:dyDescent="0.2">
      <c r="A74" s="26"/>
      <c r="B74" s="189" t="s">
        <v>1479</v>
      </c>
      <c r="C74" s="47">
        <f>'SGTO POAI 2022'!AW288+'SGTO POAI 2022'!AW289+'SGTO POAI 2022'!AW290+'SGTO POAI 2022'!AW291+'SGTO POAI 2022'!AW292+'SGTO POAI 2022'!AW293</f>
        <v>986133629.62</v>
      </c>
      <c r="D74" s="211">
        <f t="shared" si="2"/>
        <v>1</v>
      </c>
      <c r="E74" s="47">
        <f>'SGTO POAI 2022'!AX288+'SGTO POAI 2022'!AX289+'SGTO POAI 2022'!AX290+'SGTO POAI 2022'!AX291+'SGTO POAI 2022'!AX292+'SGTO POAI 2022'!AX293</f>
        <v>957751077.69000006</v>
      </c>
      <c r="F74" s="268">
        <f t="shared" si="16"/>
        <v>0.97121835106573029</v>
      </c>
      <c r="G74" s="47">
        <f>'SGTO POAI 2022'!AY288+'SGTO POAI 2022'!AY289+'SGTO POAI 2022'!AY290+'SGTO POAI 2022'!AY291+'SGTO POAI 2022'!AY292+'SGTO POAI 2022'!AY293</f>
        <v>925777693.26999998</v>
      </c>
      <c r="H74" s="155">
        <f t="shared" si="15"/>
        <v>0.93879537768805454</v>
      </c>
    </row>
    <row r="75" spans="1:8" s="63" customFormat="1" ht="30" customHeight="1" x14ac:dyDescent="0.2">
      <c r="A75" s="59"/>
      <c r="B75" s="60"/>
      <c r="C75" s="62"/>
      <c r="D75" s="205"/>
      <c r="E75" s="62"/>
      <c r="F75" s="62"/>
      <c r="G75" s="62"/>
      <c r="H75" s="235"/>
    </row>
    <row r="76" spans="1:8" s="63" customFormat="1" ht="30" customHeight="1" x14ac:dyDescent="0.2">
      <c r="A76" s="108" t="s">
        <v>1291</v>
      </c>
      <c r="B76" s="106"/>
      <c r="C76" s="107">
        <f>SUM(C77:C78)</f>
        <v>3175054512</v>
      </c>
      <c r="D76" s="203">
        <f t="shared" si="2"/>
        <v>1</v>
      </c>
      <c r="E76" s="259">
        <f>SUM(E77:E78)</f>
        <v>1653436281.1399999</v>
      </c>
      <c r="F76" s="155">
        <f t="shared" si="16"/>
        <v>0.52075839167198523</v>
      </c>
      <c r="G76" s="260">
        <f>SUM(G77:G78)</f>
        <v>1503885425.1399999</v>
      </c>
      <c r="H76" s="155">
        <f t="shared" si="15"/>
        <v>0.47365656855846761</v>
      </c>
    </row>
    <row r="77" spans="1:8" ht="30" customHeight="1" x14ac:dyDescent="0.2">
      <c r="A77" s="79"/>
      <c r="B77" s="34" t="s">
        <v>1415</v>
      </c>
      <c r="C77" s="47">
        <f>SUM('SGTO POAI 2022'!AB294:AB304)</f>
        <v>2117009971</v>
      </c>
      <c r="D77" s="211">
        <f>C77/C77</f>
        <v>1</v>
      </c>
      <c r="E77" s="47">
        <f>SUM('SGTO POAI 2022'!AC294:AC304)</f>
        <v>972158957.56999993</v>
      </c>
      <c r="F77" s="268">
        <f t="shared" si="16"/>
        <v>0.45921321622816291</v>
      </c>
      <c r="G77" s="47">
        <f>SUM('SGTO POAI 2022'!AD294:AD304)</f>
        <v>822608101.56999993</v>
      </c>
      <c r="H77" s="155">
        <f t="shared" si="15"/>
        <v>0.38857072608941429</v>
      </c>
    </row>
    <row r="78" spans="1:8" s="63" customFormat="1" ht="30" customHeight="1" x14ac:dyDescent="0.2">
      <c r="A78" s="79"/>
      <c r="B78" s="34" t="s">
        <v>1416</v>
      </c>
      <c r="C78" s="47">
        <f>SUM('SGTO POAI 2022'!AW294:AW304)</f>
        <v>1058044541.0000001</v>
      </c>
      <c r="D78" s="211">
        <f>C78/C78</f>
        <v>1</v>
      </c>
      <c r="E78" s="47">
        <f>SUM('SGTO POAI 2022'!AX294:AX304)</f>
        <v>681277323.57000005</v>
      </c>
      <c r="F78" s="268">
        <f t="shared" si="16"/>
        <v>0.64390230956259897</v>
      </c>
      <c r="G78" s="47">
        <f>SUM('SGTO POAI 2022'!AY294:AY304)</f>
        <v>681277323.57000005</v>
      </c>
      <c r="H78" s="155">
        <f>G78/C78</f>
        <v>0.64390230956259897</v>
      </c>
    </row>
    <row r="79" spans="1:8" ht="30" customHeight="1" x14ac:dyDescent="0.2">
      <c r="A79" s="59"/>
      <c r="B79" s="60"/>
      <c r="C79" s="62"/>
      <c r="D79" s="205"/>
      <c r="E79" s="62"/>
      <c r="F79" s="62"/>
      <c r="G79" s="62"/>
      <c r="H79" s="235"/>
    </row>
    <row r="80" spans="1:8" ht="30" customHeight="1" x14ac:dyDescent="0.2">
      <c r="A80" s="96" t="s">
        <v>1106</v>
      </c>
      <c r="B80" s="106"/>
      <c r="C80" s="107">
        <f>C81</f>
        <v>113516300</v>
      </c>
      <c r="D80" s="203">
        <f>C80/C80</f>
        <v>1</v>
      </c>
      <c r="E80" s="259">
        <f>E81</f>
        <v>112804044</v>
      </c>
      <c r="F80" s="155">
        <f t="shared" si="16"/>
        <v>0.9937255178331218</v>
      </c>
      <c r="G80" s="260">
        <f>G81</f>
        <v>112804044</v>
      </c>
      <c r="H80" s="155">
        <f t="shared" si="15"/>
        <v>0.9937255178331218</v>
      </c>
    </row>
    <row r="81" spans="1:8" s="63" customFormat="1" ht="30" customHeight="1" x14ac:dyDescent="0.2">
      <c r="A81" s="57"/>
      <c r="B81" s="109" t="s">
        <v>1417</v>
      </c>
      <c r="C81" s="47">
        <f>'SGTO POAI 2022'!AW305+'SGTO POAI 2022'!AW306+'SGTO POAI 2022'!AW307+'SGTO POAI 2022'!AW308</f>
        <v>113516300</v>
      </c>
      <c r="D81" s="211">
        <f>C81/C81</f>
        <v>1</v>
      </c>
      <c r="E81" s="47">
        <f>'SGTO POAI 2022'!AX305+'SGTO POAI 2022'!AX306+'SGTO POAI 2022'!AX307+'SGTO POAI 2022'!AX308</f>
        <v>112804044</v>
      </c>
      <c r="F81" s="268">
        <f t="shared" si="16"/>
        <v>0.9937255178331218</v>
      </c>
      <c r="G81" s="47">
        <f>'SGTO POAI 2022'!AY305+'SGTO POAI 2022'!AY306+'SGTO POAI 2022'!AY307+'SGTO POAI 2022'!AY308</f>
        <v>112804044</v>
      </c>
      <c r="H81" s="155">
        <f t="shared" si="15"/>
        <v>0.9937255178331218</v>
      </c>
    </row>
    <row r="82" spans="1:8" s="90" customFormat="1" ht="30" customHeight="1" x14ac:dyDescent="0.25">
      <c r="A82" s="7"/>
      <c r="B82" s="8"/>
      <c r="C82" s="89"/>
      <c r="D82" s="207"/>
      <c r="E82" s="89"/>
      <c r="F82" s="89"/>
      <c r="G82" s="89"/>
      <c r="H82" s="237"/>
    </row>
    <row r="83" spans="1:8" s="90" customFormat="1" ht="30" customHeight="1" x14ac:dyDescent="0.25">
      <c r="A83" s="124" t="s">
        <v>1272</v>
      </c>
      <c r="B83" s="124"/>
      <c r="C83" s="125">
        <f>C80+C76+C69</f>
        <v>10033429290.130001</v>
      </c>
      <c r="D83" s="210">
        <f>C83/C83</f>
        <v>1</v>
      </c>
      <c r="E83" s="233">
        <f>E80+E76+E69</f>
        <v>7827615812.5599995</v>
      </c>
      <c r="F83" s="155">
        <f t="shared" si="16"/>
        <v>0.78015358320809758</v>
      </c>
      <c r="G83" s="234">
        <f>G80+G76+G69</f>
        <v>7220946472.1399994</v>
      </c>
      <c r="H83" s="155">
        <f>G83/C83</f>
        <v>0.7196887787153019</v>
      </c>
    </row>
    <row r="84" spans="1:8" s="90" customFormat="1" ht="30" customHeight="1" thickBot="1" x14ac:dyDescent="0.3">
      <c r="A84" s="91"/>
      <c r="B84" s="92"/>
      <c r="C84" s="93"/>
      <c r="D84" s="208"/>
      <c r="E84" s="93"/>
      <c r="F84" s="93"/>
      <c r="G84" s="93"/>
      <c r="H84" s="238"/>
    </row>
    <row r="85" spans="1:8" ht="30" customHeight="1" thickBot="1" x14ac:dyDescent="0.25">
      <c r="A85" s="662" t="s">
        <v>1123</v>
      </c>
      <c r="B85" s="663"/>
      <c r="C85" s="123">
        <f>C67+C83</f>
        <v>428935200441.49988</v>
      </c>
      <c r="D85" s="209">
        <v>1</v>
      </c>
      <c r="E85" s="269">
        <f>E67+E83</f>
        <v>324925246568.30005</v>
      </c>
      <c r="F85" s="304">
        <f t="shared" si="16"/>
        <v>0.75751592835900816</v>
      </c>
      <c r="G85" s="270">
        <f>G67+G83</f>
        <v>311161643971.60004</v>
      </c>
      <c r="H85" s="155">
        <f>G85/C85</f>
        <v>0.72542809182208323</v>
      </c>
    </row>
    <row r="86" spans="1:8" ht="28.5" customHeight="1" x14ac:dyDescent="0.2"/>
    <row r="87" spans="1:8" ht="15.75" thickBot="1" x14ac:dyDescent="0.25"/>
    <row r="88" spans="1:8" ht="15.75" customHeight="1" x14ac:dyDescent="0.2">
      <c r="C88" s="656" t="s">
        <v>1482</v>
      </c>
      <c r="D88" s="657"/>
      <c r="E88" s="103"/>
      <c r="G88" s="8"/>
    </row>
    <row r="89" spans="1:8" ht="15" customHeight="1" x14ac:dyDescent="0.2">
      <c r="C89" s="222" t="s">
        <v>1440</v>
      </c>
      <c r="D89" s="226"/>
      <c r="E89" s="103"/>
    </row>
    <row r="90" spans="1:8" x14ac:dyDescent="0.2">
      <c r="C90" s="223" t="s">
        <v>1442</v>
      </c>
      <c r="D90" s="227"/>
      <c r="E90" s="103"/>
      <c r="G90" s="8"/>
    </row>
    <row r="91" spans="1:8" x14ac:dyDescent="0.2">
      <c r="C91" s="224" t="s">
        <v>1444</v>
      </c>
      <c r="D91" s="228"/>
      <c r="E91" s="103"/>
    </row>
    <row r="92" spans="1:8" x14ac:dyDescent="0.2">
      <c r="C92" s="225" t="s">
        <v>1446</v>
      </c>
      <c r="D92" s="229"/>
      <c r="E92" s="103"/>
    </row>
    <row r="93" spans="1:8" ht="15.75" thickBot="1" x14ac:dyDescent="0.25">
      <c r="C93" s="230" t="s">
        <v>1447</v>
      </c>
      <c r="D93" s="231"/>
      <c r="E93" s="103"/>
    </row>
  </sheetData>
  <mergeCells count="3">
    <mergeCell ref="A1:H4"/>
    <mergeCell ref="C88:D88"/>
    <mergeCell ref="A85:B85"/>
  </mergeCells>
  <conditionalFormatting sqref="F6">
    <cfRule type="cellIs" dxfId="354" priority="261" operator="between">
      <formula>0</formula>
      <formula>0.3999</formula>
    </cfRule>
    <cfRule type="cellIs" dxfId="353" priority="262" operator="between">
      <formula>0.4</formula>
      <formula>0.59</formula>
    </cfRule>
    <cfRule type="cellIs" dxfId="352" priority="263" operator="between">
      <formula>0.6</formula>
      <formula>0.69</formula>
    </cfRule>
    <cfRule type="cellIs" dxfId="351" priority="264" operator="between">
      <formula>0.7</formula>
      <formula>0.79</formula>
    </cfRule>
    <cfRule type="cellIs" dxfId="350" priority="265" operator="between">
      <formula>0.8</formula>
      <formula>1</formula>
    </cfRule>
  </conditionalFormatting>
  <conditionalFormatting sqref="F10:F11 F13:F15 F17:F22 F25:F27 F29:F32 F34:F36 F38:F40 F42:F43 F45:F51 F53:F55 F57:F62 F64:F65 F67 F69:F74 F76:F78 F80:F81 F83 F85 F7:F8">
    <cfRule type="cellIs" dxfId="349" priority="106" operator="between">
      <formula>0</formula>
      <formula>0.3999</formula>
    </cfRule>
    <cfRule type="cellIs" dxfId="348" priority="107" operator="between">
      <formula>0.4</formula>
      <formula>0.5949</formula>
    </cfRule>
    <cfRule type="cellIs" dxfId="347" priority="108" operator="between">
      <formula>0.595</formula>
      <formula>0.69</formula>
    </cfRule>
    <cfRule type="cellIs" dxfId="346" priority="109" operator="between">
      <formula>0.695</formula>
      <formula>0.7949</formula>
    </cfRule>
    <cfRule type="cellIs" dxfId="345" priority="110" operator="between">
      <formula>0.795</formula>
      <formula>1</formula>
    </cfRule>
  </conditionalFormatting>
  <conditionalFormatting sqref="F23">
    <cfRule type="cellIs" dxfId="344" priority="101" operator="between">
      <formula>0</formula>
      <formula>0.3999</formula>
    </cfRule>
    <cfRule type="cellIs" dxfId="343" priority="102" operator="between">
      <formula>0.4</formula>
      <formula>0.5949</formula>
    </cfRule>
    <cfRule type="cellIs" dxfId="342" priority="103" operator="between">
      <formula>0.595</formula>
      <formula>0.69</formula>
    </cfRule>
    <cfRule type="cellIs" dxfId="341" priority="104" operator="between">
      <formula>0.695</formula>
      <formula>0.7949</formula>
    </cfRule>
    <cfRule type="cellIs" dxfId="340" priority="105" operator="between">
      <formula>0.795</formula>
      <formula>1</formula>
    </cfRule>
  </conditionalFormatting>
  <conditionalFormatting sqref="H6">
    <cfRule type="cellIs" dxfId="339" priority="96" operator="between">
      <formula>0</formula>
      <formula>0.3999</formula>
    </cfRule>
    <cfRule type="cellIs" dxfId="338" priority="97" operator="between">
      <formula>0.4</formula>
      <formula>0.59</formula>
    </cfRule>
    <cfRule type="cellIs" dxfId="337" priority="98" operator="between">
      <formula>0.6</formula>
      <formula>0.69</formula>
    </cfRule>
    <cfRule type="cellIs" dxfId="336" priority="99" operator="between">
      <formula>0.7</formula>
      <formula>0.79</formula>
    </cfRule>
    <cfRule type="cellIs" dxfId="335" priority="100" operator="between">
      <formula>0.8</formula>
      <formula>1</formula>
    </cfRule>
  </conditionalFormatting>
  <conditionalFormatting sqref="H7:H8">
    <cfRule type="cellIs" dxfId="334" priority="91" operator="between">
      <formula>0</formula>
      <formula>0.3999</formula>
    </cfRule>
    <cfRule type="cellIs" dxfId="333" priority="92" operator="between">
      <formula>0.4</formula>
      <formula>0.59</formula>
    </cfRule>
    <cfRule type="cellIs" dxfId="332" priority="93" operator="between">
      <formula>0.6</formula>
      <formula>0.69</formula>
    </cfRule>
    <cfRule type="cellIs" dxfId="331" priority="94" operator="between">
      <formula>0.7</formula>
      <formula>0.79</formula>
    </cfRule>
    <cfRule type="cellIs" dxfId="330" priority="95" operator="between">
      <formula>0.8</formula>
      <formula>1</formula>
    </cfRule>
  </conditionalFormatting>
  <conditionalFormatting sqref="H10:H11">
    <cfRule type="cellIs" dxfId="329" priority="86" operator="between">
      <formula>0</formula>
      <formula>0.3999</formula>
    </cfRule>
    <cfRule type="cellIs" dxfId="328" priority="87" operator="between">
      <formula>0.4</formula>
      <formula>0.59</formula>
    </cfRule>
    <cfRule type="cellIs" dxfId="327" priority="88" operator="between">
      <formula>0.6</formula>
      <formula>0.69</formula>
    </cfRule>
    <cfRule type="cellIs" dxfId="326" priority="89" operator="between">
      <formula>0.7</formula>
      <formula>0.79</formula>
    </cfRule>
    <cfRule type="cellIs" dxfId="325" priority="90" operator="between">
      <formula>0.8</formula>
      <formula>1</formula>
    </cfRule>
  </conditionalFormatting>
  <conditionalFormatting sqref="H13:H15">
    <cfRule type="cellIs" dxfId="324" priority="81" operator="between">
      <formula>0</formula>
      <formula>0.3999</formula>
    </cfRule>
    <cfRule type="cellIs" dxfId="323" priority="82" operator="between">
      <formula>0.4</formula>
      <formula>0.59</formula>
    </cfRule>
    <cfRule type="cellIs" dxfId="322" priority="83" operator="between">
      <formula>0.6</formula>
      <formula>0.69</formula>
    </cfRule>
    <cfRule type="cellIs" dxfId="321" priority="84" operator="between">
      <formula>0.7</formula>
      <formula>0.79</formula>
    </cfRule>
    <cfRule type="cellIs" dxfId="320" priority="85" operator="between">
      <formula>0.8</formula>
      <formula>1</formula>
    </cfRule>
  </conditionalFormatting>
  <conditionalFormatting sqref="H17:H23">
    <cfRule type="cellIs" dxfId="319" priority="76" operator="between">
      <formula>0</formula>
      <formula>0.3999</formula>
    </cfRule>
    <cfRule type="cellIs" dxfId="318" priority="77" operator="between">
      <formula>0.4</formula>
      <formula>0.59</formula>
    </cfRule>
    <cfRule type="cellIs" dxfId="317" priority="78" operator="between">
      <formula>0.6</formula>
      <formula>0.69</formula>
    </cfRule>
    <cfRule type="cellIs" dxfId="316" priority="79" operator="between">
      <formula>0.7</formula>
      <formula>0.79</formula>
    </cfRule>
    <cfRule type="cellIs" dxfId="315" priority="80" operator="between">
      <formula>0.8</formula>
      <formula>1</formula>
    </cfRule>
  </conditionalFormatting>
  <conditionalFormatting sqref="H25:H27">
    <cfRule type="cellIs" dxfId="314" priority="71" operator="between">
      <formula>0</formula>
      <formula>0.3999</formula>
    </cfRule>
    <cfRule type="cellIs" dxfId="313" priority="72" operator="between">
      <formula>0.4</formula>
      <formula>0.59</formula>
    </cfRule>
    <cfRule type="cellIs" dxfId="312" priority="73" operator="between">
      <formula>0.6</formula>
      <formula>0.69</formula>
    </cfRule>
    <cfRule type="cellIs" dxfId="311" priority="74" operator="between">
      <formula>0.7</formula>
      <formula>0.79</formula>
    </cfRule>
    <cfRule type="cellIs" dxfId="310" priority="75" operator="between">
      <formula>0.8</formula>
      <formula>1</formula>
    </cfRule>
  </conditionalFormatting>
  <conditionalFormatting sqref="H29:H32">
    <cfRule type="cellIs" dxfId="309" priority="66" operator="between">
      <formula>0</formula>
      <formula>0.3999</formula>
    </cfRule>
    <cfRule type="cellIs" dxfId="308" priority="67" operator="between">
      <formula>0.4</formula>
      <formula>0.59</formula>
    </cfRule>
    <cfRule type="cellIs" dxfId="307" priority="68" operator="between">
      <formula>0.6</formula>
      <formula>0.69</formula>
    </cfRule>
    <cfRule type="cellIs" dxfId="306" priority="69" operator="between">
      <formula>0.7</formula>
      <formula>0.79</formula>
    </cfRule>
    <cfRule type="cellIs" dxfId="305" priority="70" operator="between">
      <formula>0.8</formula>
      <formula>1</formula>
    </cfRule>
  </conditionalFormatting>
  <conditionalFormatting sqref="H34:H36">
    <cfRule type="cellIs" dxfId="304" priority="61" operator="between">
      <formula>0</formula>
      <formula>0.3999</formula>
    </cfRule>
    <cfRule type="cellIs" dxfId="303" priority="62" operator="between">
      <formula>0.4</formula>
      <formula>0.59</formula>
    </cfRule>
    <cfRule type="cellIs" dxfId="302" priority="63" operator="between">
      <formula>0.6</formula>
      <formula>0.69</formula>
    </cfRule>
    <cfRule type="cellIs" dxfId="301" priority="64" operator="between">
      <formula>0.7</formula>
      <formula>0.79</formula>
    </cfRule>
    <cfRule type="cellIs" dxfId="300" priority="65" operator="between">
      <formula>0.8</formula>
      <formula>1</formula>
    </cfRule>
  </conditionalFormatting>
  <conditionalFormatting sqref="H38:H40">
    <cfRule type="cellIs" dxfId="299" priority="56" operator="between">
      <formula>0</formula>
      <formula>0.3999</formula>
    </cfRule>
    <cfRule type="cellIs" dxfId="298" priority="57" operator="between">
      <formula>0.4</formula>
      <formula>0.59</formula>
    </cfRule>
    <cfRule type="cellIs" dxfId="297" priority="58" operator="between">
      <formula>0.6</formula>
      <formula>0.69</formula>
    </cfRule>
    <cfRule type="cellIs" dxfId="296" priority="59" operator="between">
      <formula>0.7</formula>
      <formula>0.79</formula>
    </cfRule>
    <cfRule type="cellIs" dxfId="295" priority="60" operator="between">
      <formula>0.8</formula>
      <formula>1</formula>
    </cfRule>
  </conditionalFormatting>
  <conditionalFormatting sqref="H42:H43">
    <cfRule type="cellIs" dxfId="294" priority="51" operator="between">
      <formula>0</formula>
      <formula>0.3999</formula>
    </cfRule>
    <cfRule type="cellIs" dxfId="293" priority="52" operator="between">
      <formula>0.4</formula>
      <formula>0.59</formula>
    </cfRule>
    <cfRule type="cellIs" dxfId="292" priority="53" operator="between">
      <formula>0.6</formula>
      <formula>0.69</formula>
    </cfRule>
    <cfRule type="cellIs" dxfId="291" priority="54" operator="between">
      <formula>0.7</formula>
      <formula>0.79</formula>
    </cfRule>
    <cfRule type="cellIs" dxfId="290" priority="55" operator="between">
      <formula>0.8</formula>
      <formula>1</formula>
    </cfRule>
  </conditionalFormatting>
  <conditionalFormatting sqref="H45:H51">
    <cfRule type="cellIs" dxfId="289" priority="46" operator="between">
      <formula>0</formula>
      <formula>0.3999</formula>
    </cfRule>
    <cfRule type="cellIs" dxfId="288" priority="47" operator="between">
      <formula>0.4</formula>
      <formula>0.59</formula>
    </cfRule>
    <cfRule type="cellIs" dxfId="287" priority="48" operator="between">
      <formula>0.6</formula>
      <formula>0.69</formula>
    </cfRule>
    <cfRule type="cellIs" dxfId="286" priority="49" operator="between">
      <formula>0.7</formula>
      <formula>0.79</formula>
    </cfRule>
    <cfRule type="cellIs" dxfId="285" priority="50" operator="between">
      <formula>0.8</formula>
      <formula>1</formula>
    </cfRule>
  </conditionalFormatting>
  <conditionalFormatting sqref="H53:H55">
    <cfRule type="cellIs" dxfId="284" priority="41" operator="between">
      <formula>0</formula>
      <formula>0.3999</formula>
    </cfRule>
    <cfRule type="cellIs" dxfId="283" priority="42" operator="between">
      <formula>0.4</formula>
      <formula>0.59</formula>
    </cfRule>
    <cfRule type="cellIs" dxfId="282" priority="43" operator="between">
      <formula>0.6</formula>
      <formula>0.69</formula>
    </cfRule>
    <cfRule type="cellIs" dxfId="281" priority="44" operator="between">
      <formula>0.7</formula>
      <formula>0.79</formula>
    </cfRule>
    <cfRule type="cellIs" dxfId="280" priority="45" operator="between">
      <formula>0.8</formula>
      <formula>1</formula>
    </cfRule>
  </conditionalFormatting>
  <conditionalFormatting sqref="H57:H62">
    <cfRule type="cellIs" dxfId="279" priority="36" operator="between">
      <formula>0</formula>
      <formula>0.3999</formula>
    </cfRule>
    <cfRule type="cellIs" dxfId="278" priority="37" operator="between">
      <formula>0.4</formula>
      <formula>0.59</formula>
    </cfRule>
    <cfRule type="cellIs" dxfId="277" priority="38" operator="between">
      <formula>0.6</formula>
      <formula>0.69</formula>
    </cfRule>
    <cfRule type="cellIs" dxfId="276" priority="39" operator="between">
      <formula>0.7</formula>
      <formula>0.79</formula>
    </cfRule>
    <cfRule type="cellIs" dxfId="275" priority="40" operator="between">
      <formula>0.8</formula>
      <formula>1</formula>
    </cfRule>
  </conditionalFormatting>
  <conditionalFormatting sqref="H64:H65">
    <cfRule type="cellIs" dxfId="274" priority="31" operator="between">
      <formula>0</formula>
      <formula>0.3999</formula>
    </cfRule>
    <cfRule type="cellIs" dxfId="273" priority="32" operator="between">
      <formula>0.4</formula>
      <formula>0.59</formula>
    </cfRule>
    <cfRule type="cellIs" dxfId="272" priority="33" operator="between">
      <formula>0.6</formula>
      <formula>0.69</formula>
    </cfRule>
    <cfRule type="cellIs" dxfId="271" priority="34" operator="between">
      <formula>0.7</formula>
      <formula>0.79</formula>
    </cfRule>
    <cfRule type="cellIs" dxfId="270" priority="35" operator="between">
      <formula>0.8</formula>
      <formula>1</formula>
    </cfRule>
  </conditionalFormatting>
  <conditionalFormatting sqref="H67">
    <cfRule type="cellIs" dxfId="269" priority="26" operator="between">
      <formula>0</formula>
      <formula>0.3999</formula>
    </cfRule>
    <cfRule type="cellIs" dxfId="268" priority="27" operator="between">
      <formula>0.4</formula>
      <formula>0.59</formula>
    </cfRule>
    <cfRule type="cellIs" dxfId="267" priority="28" operator="between">
      <formula>0.6</formula>
      <formula>0.69</formula>
    </cfRule>
    <cfRule type="cellIs" dxfId="266" priority="29" operator="between">
      <formula>0.7</formula>
      <formula>0.79</formula>
    </cfRule>
    <cfRule type="cellIs" dxfId="265" priority="30" operator="between">
      <formula>0.8</formula>
      <formula>1</formula>
    </cfRule>
  </conditionalFormatting>
  <conditionalFormatting sqref="H69:H74">
    <cfRule type="cellIs" dxfId="264" priority="21" operator="between">
      <formula>0</formula>
      <formula>0.3999</formula>
    </cfRule>
    <cfRule type="cellIs" dxfId="263" priority="22" operator="between">
      <formula>0.4</formula>
      <formula>0.59</formula>
    </cfRule>
    <cfRule type="cellIs" dxfId="262" priority="23" operator="between">
      <formula>0.6</formula>
      <formula>0.69</formula>
    </cfRule>
    <cfRule type="cellIs" dxfId="261" priority="24" operator="between">
      <formula>0.695</formula>
      <formula>0.79</formula>
    </cfRule>
    <cfRule type="cellIs" dxfId="260" priority="25" operator="between">
      <formula>0.8</formula>
      <formula>1</formula>
    </cfRule>
  </conditionalFormatting>
  <conditionalFormatting sqref="H76:H78">
    <cfRule type="cellIs" dxfId="259" priority="16" operator="between">
      <formula>0</formula>
      <formula>0.3999</formula>
    </cfRule>
    <cfRule type="cellIs" dxfId="258" priority="17" operator="between">
      <formula>0.4</formula>
      <formula>0.59</formula>
    </cfRule>
    <cfRule type="cellIs" dxfId="257" priority="18" operator="between">
      <formula>0.6</formula>
      <formula>0.69</formula>
    </cfRule>
    <cfRule type="cellIs" dxfId="256" priority="19" operator="between">
      <formula>0.695</formula>
      <formula>0.79</formula>
    </cfRule>
    <cfRule type="cellIs" dxfId="255" priority="20" operator="between">
      <formula>0.8</formula>
      <formula>1</formula>
    </cfRule>
  </conditionalFormatting>
  <conditionalFormatting sqref="H80:H81">
    <cfRule type="cellIs" dxfId="254" priority="11" operator="between">
      <formula>0</formula>
      <formula>0.3999</formula>
    </cfRule>
    <cfRule type="cellIs" dxfId="253" priority="12" operator="between">
      <formula>0.4</formula>
      <formula>0.59</formula>
    </cfRule>
    <cfRule type="cellIs" dxfId="252" priority="13" operator="between">
      <formula>0.6</formula>
      <formula>0.69</formula>
    </cfRule>
    <cfRule type="cellIs" dxfId="251" priority="14" operator="between">
      <formula>0.695</formula>
      <formula>0.79</formula>
    </cfRule>
    <cfRule type="cellIs" dxfId="250" priority="15" operator="between">
      <formula>0.8</formula>
      <formula>1</formula>
    </cfRule>
  </conditionalFormatting>
  <conditionalFormatting sqref="H83">
    <cfRule type="cellIs" dxfId="249" priority="6" operator="between">
      <formula>0</formula>
      <formula>0.3999</formula>
    </cfRule>
    <cfRule type="cellIs" dxfId="248" priority="7" operator="between">
      <formula>0.4</formula>
      <formula>0.59</formula>
    </cfRule>
    <cfRule type="cellIs" dxfId="247" priority="8" operator="between">
      <formula>0.6</formula>
      <formula>0.69</formula>
    </cfRule>
    <cfRule type="cellIs" dxfId="246" priority="9" operator="between">
      <formula>0.695</formula>
      <formula>0.79</formula>
    </cfRule>
    <cfRule type="cellIs" dxfId="245" priority="10" operator="between">
      <formula>0.8</formula>
      <formula>1</formula>
    </cfRule>
  </conditionalFormatting>
  <conditionalFormatting sqref="H85">
    <cfRule type="cellIs" dxfId="244" priority="1" operator="between">
      <formula>0</formula>
      <formula>0.3999</formula>
    </cfRule>
    <cfRule type="cellIs" dxfId="243" priority="2" operator="between">
      <formula>0.4</formula>
      <formula>0.59</formula>
    </cfRule>
    <cfRule type="cellIs" dxfId="242" priority="3" operator="between">
      <formula>0.6</formula>
      <formula>0.69</formula>
    </cfRule>
    <cfRule type="cellIs" dxfId="241" priority="4" operator="between">
      <formula>0.695</formula>
      <formula>0.79</formula>
    </cfRule>
    <cfRule type="cellIs" dxfId="240" priority="5" operator="between">
      <formula>0.8</formula>
      <formula>1</formula>
    </cfRule>
  </conditionalFormatting>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B1:H19"/>
  <sheetViews>
    <sheetView showGridLines="0" zoomScale="70" zoomScaleNormal="70" workbookViewId="0">
      <selection activeCell="F16" sqref="F16"/>
    </sheetView>
  </sheetViews>
  <sheetFormatPr baseColWidth="10" defaultRowHeight="15" x14ac:dyDescent="0.25"/>
  <cols>
    <col min="2" max="2" width="49.5703125" customWidth="1"/>
    <col min="3" max="3" width="26.5703125" customWidth="1"/>
    <col min="4" max="4" width="17.5703125" customWidth="1"/>
    <col min="5" max="5" width="24.85546875" customWidth="1"/>
    <col min="6" max="6" width="24.7109375" customWidth="1"/>
    <col min="7" max="7" width="22.85546875" customWidth="1"/>
    <col min="8" max="8" width="19.85546875" customWidth="1"/>
  </cols>
  <sheetData>
    <row r="1" spans="2:8" ht="33.75" customHeight="1" x14ac:dyDescent="0.25">
      <c r="B1" s="667" t="s">
        <v>1537</v>
      </c>
      <c r="C1" s="668"/>
      <c r="D1" s="668"/>
      <c r="E1" s="668"/>
      <c r="F1" s="668"/>
      <c r="G1" s="668"/>
      <c r="H1" s="669"/>
    </row>
    <row r="2" spans="2:8" ht="33.75" customHeight="1" x14ac:dyDescent="0.25">
      <c r="B2" s="670"/>
      <c r="C2" s="671"/>
      <c r="D2" s="671"/>
      <c r="E2" s="671"/>
      <c r="F2" s="671"/>
      <c r="G2" s="671"/>
      <c r="H2" s="672"/>
    </row>
    <row r="3" spans="2:8" ht="33.75" customHeight="1" x14ac:dyDescent="0.25">
      <c r="B3" s="673"/>
      <c r="C3" s="674"/>
      <c r="D3" s="674"/>
      <c r="E3" s="674"/>
      <c r="F3" s="674"/>
      <c r="G3" s="674"/>
      <c r="H3" s="675"/>
    </row>
    <row r="4" spans="2:8" s="254" customFormat="1" ht="34.5" customHeight="1" x14ac:dyDescent="0.2">
      <c r="B4" s="130" t="s">
        <v>5</v>
      </c>
      <c r="C4" s="131" t="s">
        <v>1329</v>
      </c>
      <c r="D4" s="131" t="s">
        <v>1483</v>
      </c>
      <c r="E4" s="131" t="s">
        <v>1421</v>
      </c>
      <c r="F4" s="253" t="s">
        <v>1484</v>
      </c>
      <c r="G4" s="131" t="s">
        <v>1451</v>
      </c>
      <c r="H4" s="131" t="s">
        <v>1539</v>
      </c>
    </row>
    <row r="5" spans="2:8" ht="30.75" customHeight="1" x14ac:dyDescent="0.25">
      <c r="B5" s="94" t="s">
        <v>1195</v>
      </c>
      <c r="C5" s="256">
        <f>'RESUMEN PROGRAMAS'!E24+'RESUMEN PROGRAMAS'!E55+'RESUMEN PROGRAMAS'!E77+'RESUMEN PROGRAMAS'!E116+'RESUMEN PROGRAMAS'!E125+'RESUMEN PROGRAMAS'!E144+'RESUMEN PROGRAMAS'!E151+'RESUMEN PROGRAMAS'!E166+'RESUMEN PROGRAMAS'!E172</f>
        <v>335540530610.67004</v>
      </c>
      <c r="D5" s="216">
        <f>C5/C5</f>
        <v>1</v>
      </c>
      <c r="E5" s="256">
        <f>'RESUMEN PROGRAMAS'!G24+'RESUMEN PROGRAMAS'!G55+'RESUMEN PROGRAMAS'!G77+'RESUMEN PROGRAMAS'!G116+'RESUMEN PROGRAMAS'!G125+'RESUMEN PROGRAMAS'!G144+'RESUMEN PROGRAMAS'!G151+'RESUMEN PROGRAMAS'!G166+'RESUMEN PROGRAMAS'!G172</f>
        <v>293765707554.32996</v>
      </c>
      <c r="F5" s="273">
        <f>E5/C5</f>
        <v>0.87549991954679329</v>
      </c>
      <c r="G5" s="271">
        <f>'RESUMEN PROGRAMAS'!I24+'RESUMEN PROGRAMAS'!I55+'RESUMEN PROGRAMAS'!I77+'RESUMEN PROGRAMAS'!I116+'RESUMEN PROGRAMAS'!I125+'RESUMEN PROGRAMAS'!I144+'RESUMEN PROGRAMAS'!I151+'RESUMEN PROGRAMAS'!I166+'RESUMEN PROGRAMAS'!I172</f>
        <v>285760311454.92999</v>
      </c>
      <c r="H5" s="273">
        <f>G5/C5</f>
        <v>0.85164171057027871</v>
      </c>
    </row>
    <row r="6" spans="2:8" ht="30.75" customHeight="1" x14ac:dyDescent="0.25">
      <c r="B6" s="94" t="s">
        <v>1196</v>
      </c>
      <c r="C6" s="257">
        <f>'SGTO POAI 2022'!BF34+'SGTO POAI 2022'!BF35+'SGTO POAI 2022'!BF86+'SGTO POAI 2022'!BF87+'SGTO POAI 2022'!BF88+'SGTO POAI 2022'!BF89+'SGTO POAI 2022'!BF90+'SGTO POAI 2022'!BF91+'SGTO POAI 2022'!BF92+'SGTO POAI 2022'!BF93+'SGTO POAI 2022'!BF94+'SGTO POAI 2022'!BF95+'SGTO POAI 2022'!BF96+'SGTO POAI 2022'!BF97+'SGTO POAI 2022'!BF98+'SGTO POAI 2022'!BF99+'SGTO POAI 2022'!BF100+'SGTO POAI 2022'!BF101+'SGTO POAI 2022'!BF102+'SGTO POAI 2022'!BF103+'SGTO POAI 2022'!BF104+'SGTO POAI 2022'!BF105+'SGTO POAI 2022'!BF106+'SGTO POAI 2022'!BF107+'SGTO POAI 2022'!BF108+'SGTO POAI 2022'!BF109+'SGTO POAI 2022'!BF110+'SGTO POAI 2022'!BF111+'SGTO POAI 2022'!BF112+'SGTO POAI 2022'!BF113+'SGTO POAI 2022'!BF114+'SGTO POAI 2022'!BF115+'SGTO POAI 2022'!BF116+'SGTO POAI 2022'!BF117+'SGTO POAI 2022'!BF118+'SGTO POAI 2022'!BF119+'SGTO POAI 2022'!BF173+'SGTO POAI 2022'!BF198+'SGTO POAI 2022'!BF199+'SGTO POAI 2022'!BF278+'SGTO POAI 2022'!BF279+'SGTO POAI 2022'!BF280+'SGTO POAI 2022'!BF281</f>
        <v>5732820413.1099997</v>
      </c>
      <c r="D6" s="216">
        <f>C6/C6</f>
        <v>1</v>
      </c>
      <c r="E6" s="257">
        <f>'SGTO POAI 2022'!BG34+'SGTO POAI 2022'!BG35+'SGTO POAI 2022'!BG86+'SGTO POAI 2022'!BG87+'SGTO POAI 2022'!BG88+'SGTO POAI 2022'!BG89+'SGTO POAI 2022'!BG90+'SGTO POAI 2022'!BG91+'SGTO POAI 2022'!BG92+'SGTO POAI 2022'!BG93+'SGTO POAI 2022'!BG94+'SGTO POAI 2022'!BG95+'SGTO POAI 2022'!BG96+'SGTO POAI 2022'!BG97+'SGTO POAI 2022'!BG98+'SGTO POAI 2022'!BG99+'SGTO POAI 2022'!BG100+'SGTO POAI 2022'!BG101+'SGTO POAI 2022'!BG102+'SGTO POAI 2022'!BG103+'SGTO POAI 2022'!BG104+'SGTO POAI 2022'!BG105+'SGTO POAI 2022'!BG106+'SGTO POAI 2022'!BG107+'SGTO POAI 2022'!BG108+'SGTO POAI 2022'!BG109+'SGTO POAI 2022'!BG110+'SGTO POAI 2022'!BG111+'SGTO POAI 2022'!BG112+'SGTO POAI 2022'!BG113+'SGTO POAI 2022'!BG114+'SGTO POAI 2022'!BG115+'SGTO POAI 2022'!BG116+'SGTO POAI 2022'!BG117+'SGTO POAI 2022'!BG118+'SGTO POAI 2022'!BG119+'SGTO POAI 2022'!BG173+'SGTO POAI 2022'!BG198+'SGTO POAI 2022'!BG199+'SGTO POAI 2022'!BG278+'SGTO POAI 2022'!BG279+'SGTO POAI 2022'!BG280+'SGTO POAI 2022'!BG281</f>
        <v>4818717089.8499994</v>
      </c>
      <c r="F6" s="273">
        <f>E6/C6</f>
        <v>0.84054910892209367</v>
      </c>
      <c r="G6" s="272">
        <f>'SGTO POAI 2022'!BH34+'SGTO POAI 2022'!BH35+'SGTO POAI 2022'!BH86+'SGTO POAI 2022'!BH87+'SGTO POAI 2022'!BH88+'SGTO POAI 2022'!BH89+'SGTO POAI 2022'!BH90+'SGTO POAI 2022'!BH91+'SGTO POAI 2022'!BH92+'SGTO POAI 2022'!BH93+'SGTO POAI 2022'!BH94+'SGTO POAI 2022'!BH95+'SGTO POAI 2022'!BH96+'SGTO POAI 2022'!BH97+'SGTO POAI 2022'!BH98+'SGTO POAI 2022'!BH99+'SGTO POAI 2022'!BH100+'SGTO POAI 2022'!BH101+'SGTO POAI 2022'!BH102+'SGTO POAI 2022'!BH103+'SGTO POAI 2022'!BH104+'SGTO POAI 2022'!BH105+'SGTO POAI 2022'!BH106+'SGTO POAI 2022'!BH107+'SGTO POAI 2022'!BH108+'SGTO POAI 2022'!BH109+'SGTO POAI 2022'!BH110+'SGTO POAI 2022'!BH111+'SGTO POAI 2022'!BH112+'SGTO POAI 2022'!BH113+'SGTO POAI 2022'!BH114+'SGTO POAI 2022'!BH115+'SGTO POAI 2022'!BH116+'SGTO POAI 2022'!BH117+'SGTO POAI 2022'!BH118+'SGTO POAI 2022'!BH119+'SGTO POAI 2022'!BH173+'SGTO POAI 2022'!BH198+'SGTO POAI 2022'!BH199+'SGTO POAI 2022'!BH278+'SGTO POAI 2022'!BH279+'SGTO POAI 2022'!BH280+'SGTO POAI 2022'!BH281</f>
        <v>4511459314.1699991</v>
      </c>
      <c r="H6" s="273">
        <f t="shared" ref="H6:H9" si="0">G6/C6</f>
        <v>0.78695284154602985</v>
      </c>
    </row>
    <row r="7" spans="2:8" ht="30.75" customHeight="1" x14ac:dyDescent="0.25">
      <c r="B7" s="94" t="s">
        <v>1197</v>
      </c>
      <c r="C7" s="257">
        <f>'RESUMEN PROGRAMAS'!E41+'RESUMEN PROGRAMAS'!E67+'RESUMEN PROGRAMAS'!E101+'RESUMEN PROGRAMAS'!E177+'RESUMEN PROGRAMAS'!E187</f>
        <v>67826500327.5</v>
      </c>
      <c r="D7" s="216">
        <f>C7/C7</f>
        <v>1</v>
      </c>
      <c r="E7" s="257">
        <f>'SGTO POAI 2022'!BG36+'SGTO POAI 2022'!BG37+'SGTO POAI 2022'!BG38+'SGTO POAI 2022'!BG41+'SGTO POAI 2022'!BG42+'SGTO POAI 2022'!BG43+'SGTO POAI 2022'!BG44+'SGTO POAI 2022'!BG45+'SGTO POAI 2022'!BG46+'SGTO POAI 2022'!BG47+'SGTO POAI 2022'!BG48+'SGTO POAI 2022'!BG49+'SGTO POAI 2022'!BG67+'SGTO POAI 2022'!BG68+'SGTO POAI 2022'!BG69+'SGTO POAI 2022'!BG70+'SGTO POAI 2022'!BG120+'SGTO POAI 2022'!BG121+'SGTO POAI 2022'!BG122+'SGTO POAI 2022'!BG123+'SGTO POAI 2022'!BG124+'SGTO POAI 2022'!BG125+'SGTO POAI 2022'!BG126+'SGTO POAI 2022'!BG127+'SGTO POAI 2022'!BG128+'SGTO POAI 2022'!BG129+'SGTO POAI 2022'!BG130+'SGTO POAI 2022'!BG131+'SGTO POAI 2022'!BG132+'SGTO POAI 2022'!BG133+'SGTO POAI 2022'!BG296+'SGTO POAI 2022'!BG297+'SGTO POAI 2022'!BG298+'SGTO POAI 2022'!BG299+'SGTO POAI 2022'!BG300+'SGTO POAI 2022'!BG301+'SGTO POAI 2022'!BG302+'SGTO POAI 2022'!BG303+'SGTO POAI 2022'!BG305+'SGTO POAI 2022'!BG306+'SGTO POAI 2022'!BG307+'SGTO POAI 2022'!BG308</f>
        <v>17558466693.730003</v>
      </c>
      <c r="F7" s="273">
        <f>E7/C7</f>
        <v>0.25887325173713832</v>
      </c>
      <c r="G7" s="272">
        <f>'SGTO POAI 2022'!BH36+'SGTO POAI 2022'!BH37+'SGTO POAI 2022'!BH38+'SGTO POAI 2022'!BH41+'SGTO POAI 2022'!BH42+'SGTO POAI 2022'!BH43+'SGTO POAI 2022'!BH44+'SGTO POAI 2022'!BH45+'SGTO POAI 2022'!BH46+'SGTO POAI 2022'!BH47+'SGTO POAI 2022'!BH48+'SGTO POAI 2022'!BH49+'SGTO POAI 2022'!BH67+'SGTO POAI 2022'!BH68+'SGTO POAI 2022'!BH69+'SGTO POAI 2022'!BH70+'SGTO POAI 2022'!BH120+'SGTO POAI 2022'!BH121+'SGTO POAI 2022'!BH122+'SGTO POAI 2022'!BH123+'SGTO POAI 2022'!BH124+'SGTO POAI 2022'!BH125+'SGTO POAI 2022'!BH126+'SGTO POAI 2022'!BH127+'SGTO POAI 2022'!BH128+'SGTO POAI 2022'!BH129+'SGTO POAI 2022'!BH130+'SGTO POAI 2022'!BH131+'SGTO POAI 2022'!BH132+'SGTO POAI 2022'!BH133+'SGTO POAI 2022'!BH296+'SGTO POAI 2022'!BH297+'SGTO POAI 2022'!BH298+'SGTO POAI 2022'!BH299+'SGTO POAI 2022'!BH300+'SGTO POAI 2022'!BH301+'SGTO POAI 2022'!BH302+'SGTO POAI 2022'!BH303+'SGTO POAI 2022'!BH305+'SGTO POAI 2022'!BH306+'SGTO POAI 2022'!BH307+'SGTO POAI 2022'!BH308</f>
        <v>12443065818.51</v>
      </c>
      <c r="H7" s="273">
        <f t="shared" si="0"/>
        <v>0.18345433950489418</v>
      </c>
    </row>
    <row r="8" spans="2:8" ht="30.75" customHeight="1" x14ac:dyDescent="0.25">
      <c r="B8" s="94" t="s">
        <v>1191</v>
      </c>
      <c r="C8" s="257">
        <f>'RESUMEN PROGRAMAS'!E7+'RESUMEN PROGRAMAS'!E13+'RESUMEN PROGRAMAS'!E19+'RESUMEN PROGRAMAS'!E49+'RESUMEN PROGRAMAS'!E72+'RESUMEN PROGRAMAS'!E110+'RESUMEN PROGRAMAS'!E139+'RESUMEN PROGRAMAS'!E159+'RESUMEN PROGRAMAS'!E182</f>
        <v>19835349090.220001</v>
      </c>
      <c r="D8" s="216">
        <f>C8/C8</f>
        <v>1</v>
      </c>
      <c r="E8" s="257">
        <f>'SGTO POAI 2022'!BG8+'SGTO POAI 2022'!BG9+'SGTO POAI 2022'!BG10+'SGTO POAI 2022'!BG11+'SGTO POAI 2022'!BG13+'SGTO POAI 2022'!BG14+'SGTO POAI 2022'!BG15+'SGTO POAI 2022'!BG16+'SGTO POAI 2022'!BG17+'SGTO POAI 2022'!BG18+'SGTO POAI 2022'!BG19+'SGTO POAI 2022'!BG20+'SGTO POAI 2022'!BG21+'SGTO POAI 2022'!BG22+'SGTO POAI 2022'!BG23+'SGTO POAI 2022'!BG24+'SGTO POAI 2022'!BG25+'SGTO POAI 2022'!BG26+'SGTO POAI 2022'!BG50+'SGTO POAI 2022'!BG52+'SGTO POAI 2022'!BG71+'SGTO POAI 2022'!BG72+'SGTO POAI 2022'!BG73+'SGTO POAI 2022'!BG74+'SGTO POAI 2022'!BG75+'SGTO POAI 2022'!BG134+'SGTO POAI 2022'!BG135+'SGTO POAI 2022'!BG136+'SGTO POAI 2022'!BG137+'SGTO POAI 2022'!BG200+'SGTO POAI 2022'!BG201+'SGTO POAI 2022'!BG202+'SGTO POAI 2022'!BG203+'SGTO POAI 2022'!BG204+'SGTO POAI 2022'!BG282+'SGTO POAI 2022'!BG283+'SGTO POAI 2022'!BG284+'SGTO POAI 2022'!BG285+'SGTO POAI 2022'!BG286+'SGTO POAI 2022'!BG287+'SGTO POAI 2022'!BG304</f>
        <v>8782355230.3899994</v>
      </c>
      <c r="F8" s="273">
        <f>E8/C8</f>
        <v>0.44276282663057437</v>
      </c>
      <c r="G8" s="272">
        <f>'SGTO POAI 2022'!BH8+'SGTO POAI 2022'!BH9+'SGTO POAI 2022'!BH11+'SGTO POAI 2022'!BH13+'SGTO POAI 2022'!BH14+'SGTO POAI 2022'!BH15+'SGTO POAI 2022'!BH16+'SGTO POAI 2022'!BH17+'SGTO POAI 2022'!BH18+'SGTO POAI 2022'!BH19+'SGTO POAI 2022'!BH20+'SGTO POAI 2022'!BH21+'SGTO POAI 2022'!BH22+'SGTO POAI 2022'!BH23+'SGTO POAI 2022'!BH24+'SGTO POAI 2022'!BH25+'SGTO POAI 2022'!BH26+'SGTO POAI 2022'!BH50+'SGTO POAI 2022'!BH52+'SGTO POAI 2022'!BH71+'SGTO POAI 2022'!BH72+'SGTO POAI 2022'!BH73+'SGTO POAI 2022'!BH74+'SGTO POAI 2022'!BH75+'SGTO POAI 2022'!BH134+'SGTO POAI 2022'!BH135+'SGTO POAI 2022'!BH136+'SGTO POAI 2022'!BH137+'SGTO POAI 2022'!BH200+'SGTO POAI 2022'!BH201+'SGTO POAI 2022'!BH202+'SGTO POAI 2022'!BH203+'SGTO POAI 2022'!BH204+'SGTO POAI 2022'!BH282+'SGTO POAI 2022'!BH283+'SGTO POAI 2022'!BH284+'SGTO POAI 2022'!BH285+'SGTO POAI 2022'!BH286+'SGTO POAI 2022'!BH287+'SGTO POAI 2022'!BH304+'SGTO POAI 2022'!BH10</f>
        <v>8446807383.9899998</v>
      </c>
      <c r="H8" s="273">
        <f t="shared" si="0"/>
        <v>0.42584616714181123</v>
      </c>
    </row>
    <row r="9" spans="2:8" s="115" customFormat="1" ht="30.75" customHeight="1" x14ac:dyDescent="0.25">
      <c r="B9" s="239" t="s">
        <v>1274</v>
      </c>
      <c r="C9" s="258">
        <f>SUM(C5:C8)</f>
        <v>428935200441.5</v>
      </c>
      <c r="D9" s="240">
        <f>C9/C9</f>
        <v>1</v>
      </c>
      <c r="E9" s="258">
        <f>SUM(E5:E8)</f>
        <v>324925246568.29993</v>
      </c>
      <c r="F9" s="275">
        <f>E9/C9</f>
        <v>0.75751592835900772</v>
      </c>
      <c r="G9" s="274">
        <f>SUM(G5:G8)</f>
        <v>311161643971.59998</v>
      </c>
      <c r="H9" s="273">
        <f t="shared" si="0"/>
        <v>0.7254280918220829</v>
      </c>
    </row>
    <row r="13" spans="2:8" ht="15" customHeight="1" thickBot="1" x14ac:dyDescent="0.3"/>
    <row r="14" spans="2:8" ht="35.25" customHeight="1" x14ac:dyDescent="0.25">
      <c r="C14" s="656" t="s">
        <v>1482</v>
      </c>
      <c r="D14" s="676"/>
    </row>
    <row r="15" spans="2:8" ht="15" customHeight="1" x14ac:dyDescent="0.25">
      <c r="C15" s="658" t="s">
        <v>1440</v>
      </c>
      <c r="D15" s="677"/>
    </row>
    <row r="16" spans="2:8" ht="15" customHeight="1" x14ac:dyDescent="0.25">
      <c r="C16" s="660" t="s">
        <v>1442</v>
      </c>
      <c r="D16" s="678"/>
    </row>
    <row r="17" spans="3:4" x14ac:dyDescent="0.25">
      <c r="C17" s="641" t="s">
        <v>1444</v>
      </c>
      <c r="D17" s="679"/>
    </row>
    <row r="18" spans="3:4" x14ac:dyDescent="0.25">
      <c r="C18" s="643" t="s">
        <v>1446</v>
      </c>
      <c r="D18" s="664"/>
    </row>
    <row r="19" spans="3:4" x14ac:dyDescent="0.25">
      <c r="C19" s="665" t="s">
        <v>1447</v>
      </c>
      <c r="D19" s="666"/>
    </row>
  </sheetData>
  <mergeCells count="7">
    <mergeCell ref="C18:D18"/>
    <mergeCell ref="C19:D19"/>
    <mergeCell ref="B1:H3"/>
    <mergeCell ref="C14:D14"/>
    <mergeCell ref="C15:D15"/>
    <mergeCell ref="C16:D16"/>
    <mergeCell ref="C17:D17"/>
  </mergeCells>
  <conditionalFormatting sqref="F5:F8">
    <cfRule type="cellIs" dxfId="239" priority="21" operator="between">
      <formula>0</formula>
      <formula>0.3999</formula>
    </cfRule>
    <cfRule type="cellIs" dxfId="238" priority="22" operator="between">
      <formula>0.4</formula>
      <formula>0.59</formula>
    </cfRule>
    <cfRule type="cellIs" dxfId="237" priority="23" operator="between">
      <formula>0.6</formula>
      <formula>0.69</formula>
    </cfRule>
    <cfRule type="cellIs" dxfId="236" priority="24" operator="between">
      <formula>0.7</formula>
      <formula>0.79</formula>
    </cfRule>
    <cfRule type="cellIs" dxfId="235" priority="25" operator="between">
      <formula>0.8</formula>
      <formula>1</formula>
    </cfRule>
  </conditionalFormatting>
  <conditionalFormatting sqref="F9">
    <cfRule type="cellIs" dxfId="234" priority="16" operator="between">
      <formula>0</formula>
      <formula>0.3999</formula>
    </cfRule>
    <cfRule type="cellIs" dxfId="233" priority="17" operator="between">
      <formula>0.4</formula>
      <formula>0.59</formula>
    </cfRule>
    <cfRule type="cellIs" dxfId="232" priority="18" operator="between">
      <formula>0.6</formula>
      <formula>0.69</formula>
    </cfRule>
    <cfRule type="cellIs" dxfId="231" priority="19" operator="between">
      <formula>0.7</formula>
      <formula>0.79</formula>
    </cfRule>
    <cfRule type="cellIs" dxfId="230" priority="20" operator="between">
      <formula>0.8</formula>
      <formula>1</formula>
    </cfRule>
  </conditionalFormatting>
  <conditionalFormatting sqref="H5">
    <cfRule type="cellIs" dxfId="229" priority="11" operator="between">
      <formula>0</formula>
      <formula>0.3999</formula>
    </cfRule>
    <cfRule type="cellIs" dxfId="228" priority="12" operator="between">
      <formula>0.4</formula>
      <formula>0.59</formula>
    </cfRule>
    <cfRule type="cellIs" dxfId="227" priority="13" operator="between">
      <formula>0.6</formula>
      <formula>0.69</formula>
    </cfRule>
    <cfRule type="cellIs" dxfId="226" priority="14" operator="between">
      <formula>0.7</formula>
      <formula>0.79</formula>
    </cfRule>
    <cfRule type="cellIs" dxfId="225" priority="15" operator="between">
      <formula>0.8</formula>
      <formula>1</formula>
    </cfRule>
  </conditionalFormatting>
  <conditionalFormatting sqref="H6:H9">
    <cfRule type="cellIs" dxfId="224" priority="1" operator="between">
      <formula>0</formula>
      <formula>0.3999</formula>
    </cfRule>
    <cfRule type="cellIs" dxfId="223" priority="2" operator="between">
      <formula>0.4</formula>
      <formula>0.59</formula>
    </cfRule>
    <cfRule type="cellIs" dxfId="222" priority="3" operator="between">
      <formula>0.6</formula>
      <formula>0.69</formula>
    </cfRule>
    <cfRule type="cellIs" dxfId="221" priority="4" operator="between">
      <formula>0.7</formula>
      <formula>0.79</formula>
    </cfRule>
    <cfRule type="cellIs" dxfId="220" priority="5" operator="between">
      <formula>0.8</formula>
      <formula>1</formula>
    </cfRule>
  </conditionalFormatting>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Q78"/>
  <sheetViews>
    <sheetView showGridLines="0" zoomScale="80" zoomScaleNormal="80" workbookViewId="0">
      <selection activeCell="G33" sqref="G33"/>
    </sheetView>
  </sheetViews>
  <sheetFormatPr baseColWidth="10" defaultRowHeight="12.75" x14ac:dyDescent="0.2"/>
  <cols>
    <col min="1" max="1" width="13.28515625" style="153" customWidth="1"/>
    <col min="2" max="2" width="32.140625" style="160" customWidth="1"/>
    <col min="3" max="3" width="24.28515625" style="159" customWidth="1"/>
    <col min="4" max="4" width="10.140625" style="159" customWidth="1"/>
    <col min="5" max="5" width="25.5703125" style="159" customWidth="1"/>
    <col min="6" max="6" width="14" style="159" customWidth="1"/>
    <col min="7" max="7" width="25.7109375" style="159" customWidth="1"/>
    <col min="8" max="8" width="12.5703125" style="159" customWidth="1"/>
    <col min="9" max="9" width="24.7109375" style="159" customWidth="1"/>
    <col min="10" max="10" width="15.7109375" style="159" customWidth="1"/>
    <col min="11" max="11" width="22.85546875" style="159" customWidth="1"/>
    <col min="12" max="12" width="11.7109375" style="159" customWidth="1"/>
    <col min="13" max="13" width="23.140625" style="159" customWidth="1"/>
    <col min="14" max="14" width="13.5703125" style="153" customWidth="1"/>
    <col min="15" max="256" width="11.42578125" style="153"/>
    <col min="257" max="257" width="13.28515625" style="153" customWidth="1"/>
    <col min="258" max="258" width="32.140625" style="153" customWidth="1"/>
    <col min="259" max="259" width="20.7109375" style="153" customWidth="1"/>
    <col min="260" max="260" width="10.42578125" style="153" customWidth="1"/>
    <col min="261" max="261" width="18.5703125" style="153" customWidth="1"/>
    <col min="262" max="262" width="11.7109375" style="153" customWidth="1"/>
    <col min="263" max="263" width="19.28515625" style="153" customWidth="1"/>
    <col min="264" max="264" width="10.28515625" style="153" customWidth="1"/>
    <col min="265" max="265" width="19.42578125" style="153" customWidth="1"/>
    <col min="266" max="266" width="10.28515625" style="153" customWidth="1"/>
    <col min="267" max="267" width="19.5703125" style="153" customWidth="1"/>
    <col min="268" max="268" width="10.42578125" style="153" customWidth="1"/>
    <col min="269" max="269" width="21.140625" style="153" customWidth="1"/>
    <col min="270" max="270" width="11.7109375" style="153" customWidth="1"/>
    <col min="271" max="512" width="11.42578125" style="153"/>
    <col min="513" max="513" width="13.28515625" style="153" customWidth="1"/>
    <col min="514" max="514" width="32.140625" style="153" customWidth="1"/>
    <col min="515" max="515" width="20.7109375" style="153" customWidth="1"/>
    <col min="516" max="516" width="10.42578125" style="153" customWidth="1"/>
    <col min="517" max="517" width="18.5703125" style="153" customWidth="1"/>
    <col min="518" max="518" width="11.7109375" style="153" customWidth="1"/>
    <col min="519" max="519" width="19.28515625" style="153" customWidth="1"/>
    <col min="520" max="520" width="10.28515625" style="153" customWidth="1"/>
    <col min="521" max="521" width="19.42578125" style="153" customWidth="1"/>
    <col min="522" max="522" width="10.28515625" style="153" customWidth="1"/>
    <col min="523" max="523" width="19.5703125" style="153" customWidth="1"/>
    <col min="524" max="524" width="10.42578125" style="153" customWidth="1"/>
    <col min="525" max="525" width="21.140625" style="153" customWidth="1"/>
    <col min="526" max="526" width="11.7109375" style="153" customWidth="1"/>
    <col min="527" max="768" width="11.42578125" style="153"/>
    <col min="769" max="769" width="13.28515625" style="153" customWidth="1"/>
    <col min="770" max="770" width="32.140625" style="153" customWidth="1"/>
    <col min="771" max="771" width="20.7109375" style="153" customWidth="1"/>
    <col min="772" max="772" width="10.42578125" style="153" customWidth="1"/>
    <col min="773" max="773" width="18.5703125" style="153" customWidth="1"/>
    <col min="774" max="774" width="11.7109375" style="153" customWidth="1"/>
    <col min="775" max="775" width="19.28515625" style="153" customWidth="1"/>
    <col min="776" max="776" width="10.28515625" style="153" customWidth="1"/>
    <col min="777" max="777" width="19.42578125" style="153" customWidth="1"/>
    <col min="778" max="778" width="10.28515625" style="153" customWidth="1"/>
    <col min="779" max="779" width="19.5703125" style="153" customWidth="1"/>
    <col min="780" max="780" width="10.42578125" style="153" customWidth="1"/>
    <col min="781" max="781" width="21.140625" style="153" customWidth="1"/>
    <col min="782" max="782" width="11.7109375" style="153" customWidth="1"/>
    <col min="783" max="1024" width="11.42578125" style="153"/>
    <col min="1025" max="1025" width="13.28515625" style="153" customWidth="1"/>
    <col min="1026" max="1026" width="32.140625" style="153" customWidth="1"/>
    <col min="1027" max="1027" width="20.7109375" style="153" customWidth="1"/>
    <col min="1028" max="1028" width="10.42578125" style="153" customWidth="1"/>
    <col min="1029" max="1029" width="18.5703125" style="153" customWidth="1"/>
    <col min="1030" max="1030" width="11.7109375" style="153" customWidth="1"/>
    <col min="1031" max="1031" width="19.28515625" style="153" customWidth="1"/>
    <col min="1032" max="1032" width="10.28515625" style="153" customWidth="1"/>
    <col min="1033" max="1033" width="19.42578125" style="153" customWidth="1"/>
    <col min="1034" max="1034" width="10.28515625" style="153" customWidth="1"/>
    <col min="1035" max="1035" width="19.5703125" style="153" customWidth="1"/>
    <col min="1036" max="1036" width="10.42578125" style="153" customWidth="1"/>
    <col min="1037" max="1037" width="21.140625" style="153" customWidth="1"/>
    <col min="1038" max="1038" width="11.7109375" style="153" customWidth="1"/>
    <col min="1039" max="1280" width="11.42578125" style="153"/>
    <col min="1281" max="1281" width="13.28515625" style="153" customWidth="1"/>
    <col min="1282" max="1282" width="32.140625" style="153" customWidth="1"/>
    <col min="1283" max="1283" width="20.7109375" style="153" customWidth="1"/>
    <col min="1284" max="1284" width="10.42578125" style="153" customWidth="1"/>
    <col min="1285" max="1285" width="18.5703125" style="153" customWidth="1"/>
    <col min="1286" max="1286" width="11.7109375" style="153" customWidth="1"/>
    <col min="1287" max="1287" width="19.28515625" style="153" customWidth="1"/>
    <col min="1288" max="1288" width="10.28515625" style="153" customWidth="1"/>
    <col min="1289" max="1289" width="19.42578125" style="153" customWidth="1"/>
    <col min="1290" max="1290" width="10.28515625" style="153" customWidth="1"/>
    <col min="1291" max="1291" width="19.5703125" style="153" customWidth="1"/>
    <col min="1292" max="1292" width="10.42578125" style="153" customWidth="1"/>
    <col min="1293" max="1293" width="21.140625" style="153" customWidth="1"/>
    <col min="1294" max="1294" width="11.7109375" style="153" customWidth="1"/>
    <col min="1295" max="1536" width="11.42578125" style="153"/>
    <col min="1537" max="1537" width="13.28515625" style="153" customWidth="1"/>
    <col min="1538" max="1538" width="32.140625" style="153" customWidth="1"/>
    <col min="1539" max="1539" width="20.7109375" style="153" customWidth="1"/>
    <col min="1540" max="1540" width="10.42578125" style="153" customWidth="1"/>
    <col min="1541" max="1541" width="18.5703125" style="153" customWidth="1"/>
    <col min="1542" max="1542" width="11.7109375" style="153" customWidth="1"/>
    <col min="1543" max="1543" width="19.28515625" style="153" customWidth="1"/>
    <col min="1544" max="1544" width="10.28515625" style="153" customWidth="1"/>
    <col min="1545" max="1545" width="19.42578125" style="153" customWidth="1"/>
    <col min="1546" max="1546" width="10.28515625" style="153" customWidth="1"/>
    <col min="1547" max="1547" width="19.5703125" style="153" customWidth="1"/>
    <col min="1548" max="1548" width="10.42578125" style="153" customWidth="1"/>
    <col min="1549" max="1549" width="21.140625" style="153" customWidth="1"/>
    <col min="1550" max="1550" width="11.7109375" style="153" customWidth="1"/>
    <col min="1551" max="1792" width="11.42578125" style="153"/>
    <col min="1793" max="1793" width="13.28515625" style="153" customWidth="1"/>
    <col min="1794" max="1794" width="32.140625" style="153" customWidth="1"/>
    <col min="1795" max="1795" width="20.7109375" style="153" customWidth="1"/>
    <col min="1796" max="1796" width="10.42578125" style="153" customWidth="1"/>
    <col min="1797" max="1797" width="18.5703125" style="153" customWidth="1"/>
    <col min="1798" max="1798" width="11.7109375" style="153" customWidth="1"/>
    <col min="1799" max="1799" width="19.28515625" style="153" customWidth="1"/>
    <col min="1800" max="1800" width="10.28515625" style="153" customWidth="1"/>
    <col min="1801" max="1801" width="19.42578125" style="153" customWidth="1"/>
    <col min="1802" max="1802" width="10.28515625" style="153" customWidth="1"/>
    <col min="1803" max="1803" width="19.5703125" style="153" customWidth="1"/>
    <col min="1804" max="1804" width="10.42578125" style="153" customWidth="1"/>
    <col min="1805" max="1805" width="21.140625" style="153" customWidth="1"/>
    <col min="1806" max="1806" width="11.7109375" style="153" customWidth="1"/>
    <col min="1807" max="2048" width="11.42578125" style="153"/>
    <col min="2049" max="2049" width="13.28515625" style="153" customWidth="1"/>
    <col min="2050" max="2050" width="32.140625" style="153" customWidth="1"/>
    <col min="2051" max="2051" width="20.7109375" style="153" customWidth="1"/>
    <col min="2052" max="2052" width="10.42578125" style="153" customWidth="1"/>
    <col min="2053" max="2053" width="18.5703125" style="153" customWidth="1"/>
    <col min="2054" max="2054" width="11.7109375" style="153" customWidth="1"/>
    <col min="2055" max="2055" width="19.28515625" style="153" customWidth="1"/>
    <col min="2056" max="2056" width="10.28515625" style="153" customWidth="1"/>
    <col min="2057" max="2057" width="19.42578125" style="153" customWidth="1"/>
    <col min="2058" max="2058" width="10.28515625" style="153" customWidth="1"/>
    <col min="2059" max="2059" width="19.5703125" style="153" customWidth="1"/>
    <col min="2060" max="2060" width="10.42578125" style="153" customWidth="1"/>
    <col min="2061" max="2061" width="21.140625" style="153" customWidth="1"/>
    <col min="2062" max="2062" width="11.7109375" style="153" customWidth="1"/>
    <col min="2063" max="2304" width="11.42578125" style="153"/>
    <col min="2305" max="2305" width="13.28515625" style="153" customWidth="1"/>
    <col min="2306" max="2306" width="32.140625" style="153" customWidth="1"/>
    <col min="2307" max="2307" width="20.7109375" style="153" customWidth="1"/>
    <col min="2308" max="2308" width="10.42578125" style="153" customWidth="1"/>
    <col min="2309" max="2309" width="18.5703125" style="153" customWidth="1"/>
    <col min="2310" max="2310" width="11.7109375" style="153" customWidth="1"/>
    <col min="2311" max="2311" width="19.28515625" style="153" customWidth="1"/>
    <col min="2312" max="2312" width="10.28515625" style="153" customWidth="1"/>
    <col min="2313" max="2313" width="19.42578125" style="153" customWidth="1"/>
    <col min="2314" max="2314" width="10.28515625" style="153" customWidth="1"/>
    <col min="2315" max="2315" width="19.5703125" style="153" customWidth="1"/>
    <col min="2316" max="2316" width="10.42578125" style="153" customWidth="1"/>
    <col min="2317" max="2317" width="21.140625" style="153" customWidth="1"/>
    <col min="2318" max="2318" width="11.7109375" style="153" customWidth="1"/>
    <col min="2319" max="2560" width="11.42578125" style="153"/>
    <col min="2561" max="2561" width="13.28515625" style="153" customWidth="1"/>
    <col min="2562" max="2562" width="32.140625" style="153" customWidth="1"/>
    <col min="2563" max="2563" width="20.7109375" style="153" customWidth="1"/>
    <col min="2564" max="2564" width="10.42578125" style="153" customWidth="1"/>
    <col min="2565" max="2565" width="18.5703125" style="153" customWidth="1"/>
    <col min="2566" max="2566" width="11.7109375" style="153" customWidth="1"/>
    <col min="2567" max="2567" width="19.28515625" style="153" customWidth="1"/>
    <col min="2568" max="2568" width="10.28515625" style="153" customWidth="1"/>
    <col min="2569" max="2569" width="19.42578125" style="153" customWidth="1"/>
    <col min="2570" max="2570" width="10.28515625" style="153" customWidth="1"/>
    <col min="2571" max="2571" width="19.5703125" style="153" customWidth="1"/>
    <col min="2572" max="2572" width="10.42578125" style="153" customWidth="1"/>
    <col min="2573" max="2573" width="21.140625" style="153" customWidth="1"/>
    <col min="2574" max="2574" width="11.7109375" style="153" customWidth="1"/>
    <col min="2575" max="2816" width="11.42578125" style="153"/>
    <col min="2817" max="2817" width="13.28515625" style="153" customWidth="1"/>
    <col min="2818" max="2818" width="32.140625" style="153" customWidth="1"/>
    <col min="2819" max="2819" width="20.7109375" style="153" customWidth="1"/>
    <col min="2820" max="2820" width="10.42578125" style="153" customWidth="1"/>
    <col min="2821" max="2821" width="18.5703125" style="153" customWidth="1"/>
    <col min="2822" max="2822" width="11.7109375" style="153" customWidth="1"/>
    <col min="2823" max="2823" width="19.28515625" style="153" customWidth="1"/>
    <col min="2824" max="2824" width="10.28515625" style="153" customWidth="1"/>
    <col min="2825" max="2825" width="19.42578125" style="153" customWidth="1"/>
    <col min="2826" max="2826" width="10.28515625" style="153" customWidth="1"/>
    <col min="2827" max="2827" width="19.5703125" style="153" customWidth="1"/>
    <col min="2828" max="2828" width="10.42578125" style="153" customWidth="1"/>
    <col min="2829" max="2829" width="21.140625" style="153" customWidth="1"/>
    <col min="2830" max="2830" width="11.7109375" style="153" customWidth="1"/>
    <col min="2831" max="3072" width="11.42578125" style="153"/>
    <col min="3073" max="3073" width="13.28515625" style="153" customWidth="1"/>
    <col min="3074" max="3074" width="32.140625" style="153" customWidth="1"/>
    <col min="3075" max="3075" width="20.7109375" style="153" customWidth="1"/>
    <col min="3076" max="3076" width="10.42578125" style="153" customWidth="1"/>
    <col min="3077" max="3077" width="18.5703125" style="153" customWidth="1"/>
    <col min="3078" max="3078" width="11.7109375" style="153" customWidth="1"/>
    <col min="3079" max="3079" width="19.28515625" style="153" customWidth="1"/>
    <col min="3080" max="3080" width="10.28515625" style="153" customWidth="1"/>
    <col min="3081" max="3081" width="19.42578125" style="153" customWidth="1"/>
    <col min="3082" max="3082" width="10.28515625" style="153" customWidth="1"/>
    <col min="3083" max="3083" width="19.5703125" style="153" customWidth="1"/>
    <col min="3084" max="3084" width="10.42578125" style="153" customWidth="1"/>
    <col min="3085" max="3085" width="21.140625" style="153" customWidth="1"/>
    <col min="3086" max="3086" width="11.7109375" style="153" customWidth="1"/>
    <col min="3087" max="3328" width="11.42578125" style="153"/>
    <col min="3329" max="3329" width="13.28515625" style="153" customWidth="1"/>
    <col min="3330" max="3330" width="32.140625" style="153" customWidth="1"/>
    <col min="3331" max="3331" width="20.7109375" style="153" customWidth="1"/>
    <col min="3332" max="3332" width="10.42578125" style="153" customWidth="1"/>
    <col min="3333" max="3333" width="18.5703125" style="153" customWidth="1"/>
    <col min="3334" max="3334" width="11.7109375" style="153" customWidth="1"/>
    <col min="3335" max="3335" width="19.28515625" style="153" customWidth="1"/>
    <col min="3336" max="3336" width="10.28515625" style="153" customWidth="1"/>
    <col min="3337" max="3337" width="19.42578125" style="153" customWidth="1"/>
    <col min="3338" max="3338" width="10.28515625" style="153" customWidth="1"/>
    <col min="3339" max="3339" width="19.5703125" style="153" customWidth="1"/>
    <col min="3340" max="3340" width="10.42578125" style="153" customWidth="1"/>
    <col min="3341" max="3341" width="21.140625" style="153" customWidth="1"/>
    <col min="3342" max="3342" width="11.7109375" style="153" customWidth="1"/>
    <col min="3343" max="3584" width="11.42578125" style="153"/>
    <col min="3585" max="3585" width="13.28515625" style="153" customWidth="1"/>
    <col min="3586" max="3586" width="32.140625" style="153" customWidth="1"/>
    <col min="3587" max="3587" width="20.7109375" style="153" customWidth="1"/>
    <col min="3588" max="3588" width="10.42578125" style="153" customWidth="1"/>
    <col min="3589" max="3589" width="18.5703125" style="153" customWidth="1"/>
    <col min="3590" max="3590" width="11.7109375" style="153" customWidth="1"/>
    <col min="3591" max="3591" width="19.28515625" style="153" customWidth="1"/>
    <col min="3592" max="3592" width="10.28515625" style="153" customWidth="1"/>
    <col min="3593" max="3593" width="19.42578125" style="153" customWidth="1"/>
    <col min="3594" max="3594" width="10.28515625" style="153" customWidth="1"/>
    <col min="3595" max="3595" width="19.5703125" style="153" customWidth="1"/>
    <col min="3596" max="3596" width="10.42578125" style="153" customWidth="1"/>
    <col min="3597" max="3597" width="21.140625" style="153" customWidth="1"/>
    <col min="3598" max="3598" width="11.7109375" style="153" customWidth="1"/>
    <col min="3599" max="3840" width="11.42578125" style="153"/>
    <col min="3841" max="3841" width="13.28515625" style="153" customWidth="1"/>
    <col min="3842" max="3842" width="32.140625" style="153" customWidth="1"/>
    <col min="3843" max="3843" width="20.7109375" style="153" customWidth="1"/>
    <col min="3844" max="3844" width="10.42578125" style="153" customWidth="1"/>
    <col min="3845" max="3845" width="18.5703125" style="153" customWidth="1"/>
    <col min="3846" max="3846" width="11.7109375" style="153" customWidth="1"/>
    <col min="3847" max="3847" width="19.28515625" style="153" customWidth="1"/>
    <col min="3848" max="3848" width="10.28515625" style="153" customWidth="1"/>
    <col min="3849" max="3849" width="19.42578125" style="153" customWidth="1"/>
    <col min="3850" max="3850" width="10.28515625" style="153" customWidth="1"/>
    <col min="3851" max="3851" width="19.5703125" style="153" customWidth="1"/>
    <col min="3852" max="3852" width="10.42578125" style="153" customWidth="1"/>
    <col min="3853" max="3853" width="21.140625" style="153" customWidth="1"/>
    <col min="3854" max="3854" width="11.7109375" style="153" customWidth="1"/>
    <col min="3855" max="4096" width="11.42578125" style="153"/>
    <col min="4097" max="4097" width="13.28515625" style="153" customWidth="1"/>
    <col min="4098" max="4098" width="32.140625" style="153" customWidth="1"/>
    <col min="4099" max="4099" width="20.7109375" style="153" customWidth="1"/>
    <col min="4100" max="4100" width="10.42578125" style="153" customWidth="1"/>
    <col min="4101" max="4101" width="18.5703125" style="153" customWidth="1"/>
    <col min="4102" max="4102" width="11.7109375" style="153" customWidth="1"/>
    <col min="4103" max="4103" width="19.28515625" style="153" customWidth="1"/>
    <col min="4104" max="4104" width="10.28515625" style="153" customWidth="1"/>
    <col min="4105" max="4105" width="19.42578125" style="153" customWidth="1"/>
    <col min="4106" max="4106" width="10.28515625" style="153" customWidth="1"/>
    <col min="4107" max="4107" width="19.5703125" style="153" customWidth="1"/>
    <col min="4108" max="4108" width="10.42578125" style="153" customWidth="1"/>
    <col min="4109" max="4109" width="21.140625" style="153" customWidth="1"/>
    <col min="4110" max="4110" width="11.7109375" style="153" customWidth="1"/>
    <col min="4111" max="4352" width="11.42578125" style="153"/>
    <col min="4353" max="4353" width="13.28515625" style="153" customWidth="1"/>
    <col min="4354" max="4354" width="32.140625" style="153" customWidth="1"/>
    <col min="4355" max="4355" width="20.7109375" style="153" customWidth="1"/>
    <col min="4356" max="4356" width="10.42578125" style="153" customWidth="1"/>
    <col min="4357" max="4357" width="18.5703125" style="153" customWidth="1"/>
    <col min="4358" max="4358" width="11.7109375" style="153" customWidth="1"/>
    <col min="4359" max="4359" width="19.28515625" style="153" customWidth="1"/>
    <col min="4360" max="4360" width="10.28515625" style="153" customWidth="1"/>
    <col min="4361" max="4361" width="19.42578125" style="153" customWidth="1"/>
    <col min="4362" max="4362" width="10.28515625" style="153" customWidth="1"/>
    <col min="4363" max="4363" width="19.5703125" style="153" customWidth="1"/>
    <col min="4364" max="4364" width="10.42578125" style="153" customWidth="1"/>
    <col min="4365" max="4365" width="21.140625" style="153" customWidth="1"/>
    <col min="4366" max="4366" width="11.7109375" style="153" customWidth="1"/>
    <col min="4367" max="4608" width="11.42578125" style="153"/>
    <col min="4609" max="4609" width="13.28515625" style="153" customWidth="1"/>
    <col min="4610" max="4610" width="32.140625" style="153" customWidth="1"/>
    <col min="4611" max="4611" width="20.7109375" style="153" customWidth="1"/>
    <col min="4612" max="4612" width="10.42578125" style="153" customWidth="1"/>
    <col min="4613" max="4613" width="18.5703125" style="153" customWidth="1"/>
    <col min="4614" max="4614" width="11.7109375" style="153" customWidth="1"/>
    <col min="4615" max="4615" width="19.28515625" style="153" customWidth="1"/>
    <col min="4616" max="4616" width="10.28515625" style="153" customWidth="1"/>
    <col min="4617" max="4617" width="19.42578125" style="153" customWidth="1"/>
    <col min="4618" max="4618" width="10.28515625" style="153" customWidth="1"/>
    <col min="4619" max="4619" width="19.5703125" style="153" customWidth="1"/>
    <col min="4620" max="4620" width="10.42578125" style="153" customWidth="1"/>
    <col min="4621" max="4621" width="21.140625" style="153" customWidth="1"/>
    <col min="4622" max="4622" width="11.7109375" style="153" customWidth="1"/>
    <col min="4623" max="4864" width="11.42578125" style="153"/>
    <col min="4865" max="4865" width="13.28515625" style="153" customWidth="1"/>
    <col min="4866" max="4866" width="32.140625" style="153" customWidth="1"/>
    <col min="4867" max="4867" width="20.7109375" style="153" customWidth="1"/>
    <col min="4868" max="4868" width="10.42578125" style="153" customWidth="1"/>
    <col min="4869" max="4869" width="18.5703125" style="153" customWidth="1"/>
    <col min="4870" max="4870" width="11.7109375" style="153" customWidth="1"/>
    <col min="4871" max="4871" width="19.28515625" style="153" customWidth="1"/>
    <col min="4872" max="4872" width="10.28515625" style="153" customWidth="1"/>
    <col min="4873" max="4873" width="19.42578125" style="153" customWidth="1"/>
    <col min="4874" max="4874" width="10.28515625" style="153" customWidth="1"/>
    <col min="4875" max="4875" width="19.5703125" style="153" customWidth="1"/>
    <col min="4876" max="4876" width="10.42578125" style="153" customWidth="1"/>
    <col min="4877" max="4877" width="21.140625" style="153" customWidth="1"/>
    <col min="4878" max="4878" width="11.7109375" style="153" customWidth="1"/>
    <col min="4879" max="5120" width="11.42578125" style="153"/>
    <col min="5121" max="5121" width="13.28515625" style="153" customWidth="1"/>
    <col min="5122" max="5122" width="32.140625" style="153" customWidth="1"/>
    <col min="5123" max="5123" width="20.7109375" style="153" customWidth="1"/>
    <col min="5124" max="5124" width="10.42578125" style="153" customWidth="1"/>
    <col min="5125" max="5125" width="18.5703125" style="153" customWidth="1"/>
    <col min="5126" max="5126" width="11.7109375" style="153" customWidth="1"/>
    <col min="5127" max="5127" width="19.28515625" style="153" customWidth="1"/>
    <col min="5128" max="5128" width="10.28515625" style="153" customWidth="1"/>
    <col min="5129" max="5129" width="19.42578125" style="153" customWidth="1"/>
    <col min="5130" max="5130" width="10.28515625" style="153" customWidth="1"/>
    <col min="5131" max="5131" width="19.5703125" style="153" customWidth="1"/>
    <col min="5132" max="5132" width="10.42578125" style="153" customWidth="1"/>
    <col min="5133" max="5133" width="21.140625" style="153" customWidth="1"/>
    <col min="5134" max="5134" width="11.7109375" style="153" customWidth="1"/>
    <col min="5135" max="5376" width="11.42578125" style="153"/>
    <col min="5377" max="5377" width="13.28515625" style="153" customWidth="1"/>
    <col min="5378" max="5378" width="32.140625" style="153" customWidth="1"/>
    <col min="5379" max="5379" width="20.7109375" style="153" customWidth="1"/>
    <col min="5380" max="5380" width="10.42578125" style="153" customWidth="1"/>
    <col min="5381" max="5381" width="18.5703125" style="153" customWidth="1"/>
    <col min="5382" max="5382" width="11.7109375" style="153" customWidth="1"/>
    <col min="5383" max="5383" width="19.28515625" style="153" customWidth="1"/>
    <col min="5384" max="5384" width="10.28515625" style="153" customWidth="1"/>
    <col min="5385" max="5385" width="19.42578125" style="153" customWidth="1"/>
    <col min="5386" max="5386" width="10.28515625" style="153" customWidth="1"/>
    <col min="5387" max="5387" width="19.5703125" style="153" customWidth="1"/>
    <col min="5388" max="5388" width="10.42578125" style="153" customWidth="1"/>
    <col min="5389" max="5389" width="21.140625" style="153" customWidth="1"/>
    <col min="5390" max="5390" width="11.7109375" style="153" customWidth="1"/>
    <col min="5391" max="5632" width="11.42578125" style="153"/>
    <col min="5633" max="5633" width="13.28515625" style="153" customWidth="1"/>
    <col min="5634" max="5634" width="32.140625" style="153" customWidth="1"/>
    <col min="5635" max="5635" width="20.7109375" style="153" customWidth="1"/>
    <col min="5636" max="5636" width="10.42578125" style="153" customWidth="1"/>
    <col min="5637" max="5637" width="18.5703125" style="153" customWidth="1"/>
    <col min="5638" max="5638" width="11.7109375" style="153" customWidth="1"/>
    <col min="5639" max="5639" width="19.28515625" style="153" customWidth="1"/>
    <col min="5640" max="5640" width="10.28515625" style="153" customWidth="1"/>
    <col min="5641" max="5641" width="19.42578125" style="153" customWidth="1"/>
    <col min="5642" max="5642" width="10.28515625" style="153" customWidth="1"/>
    <col min="5643" max="5643" width="19.5703125" style="153" customWidth="1"/>
    <col min="5644" max="5644" width="10.42578125" style="153" customWidth="1"/>
    <col min="5645" max="5645" width="21.140625" style="153" customWidth="1"/>
    <col min="5646" max="5646" width="11.7109375" style="153" customWidth="1"/>
    <col min="5647" max="5888" width="11.42578125" style="153"/>
    <col min="5889" max="5889" width="13.28515625" style="153" customWidth="1"/>
    <col min="5890" max="5890" width="32.140625" style="153" customWidth="1"/>
    <col min="5891" max="5891" width="20.7109375" style="153" customWidth="1"/>
    <col min="5892" max="5892" width="10.42578125" style="153" customWidth="1"/>
    <col min="5893" max="5893" width="18.5703125" style="153" customWidth="1"/>
    <col min="5894" max="5894" width="11.7109375" style="153" customWidth="1"/>
    <col min="5895" max="5895" width="19.28515625" style="153" customWidth="1"/>
    <col min="5896" max="5896" width="10.28515625" style="153" customWidth="1"/>
    <col min="5897" max="5897" width="19.42578125" style="153" customWidth="1"/>
    <col min="5898" max="5898" width="10.28515625" style="153" customWidth="1"/>
    <col min="5899" max="5899" width="19.5703125" style="153" customWidth="1"/>
    <col min="5900" max="5900" width="10.42578125" style="153" customWidth="1"/>
    <col min="5901" max="5901" width="21.140625" style="153" customWidth="1"/>
    <col min="5902" max="5902" width="11.7109375" style="153" customWidth="1"/>
    <col min="5903" max="6144" width="11.42578125" style="153"/>
    <col min="6145" max="6145" width="13.28515625" style="153" customWidth="1"/>
    <col min="6146" max="6146" width="32.140625" style="153" customWidth="1"/>
    <col min="6147" max="6147" width="20.7109375" style="153" customWidth="1"/>
    <col min="6148" max="6148" width="10.42578125" style="153" customWidth="1"/>
    <col min="6149" max="6149" width="18.5703125" style="153" customWidth="1"/>
    <col min="6150" max="6150" width="11.7109375" style="153" customWidth="1"/>
    <col min="6151" max="6151" width="19.28515625" style="153" customWidth="1"/>
    <col min="6152" max="6152" width="10.28515625" style="153" customWidth="1"/>
    <col min="6153" max="6153" width="19.42578125" style="153" customWidth="1"/>
    <col min="6154" max="6154" width="10.28515625" style="153" customWidth="1"/>
    <col min="6155" max="6155" width="19.5703125" style="153" customWidth="1"/>
    <col min="6156" max="6156" width="10.42578125" style="153" customWidth="1"/>
    <col min="6157" max="6157" width="21.140625" style="153" customWidth="1"/>
    <col min="6158" max="6158" width="11.7109375" style="153" customWidth="1"/>
    <col min="6159" max="6400" width="11.42578125" style="153"/>
    <col min="6401" max="6401" width="13.28515625" style="153" customWidth="1"/>
    <col min="6402" max="6402" width="32.140625" style="153" customWidth="1"/>
    <col min="6403" max="6403" width="20.7109375" style="153" customWidth="1"/>
    <col min="6404" max="6404" width="10.42578125" style="153" customWidth="1"/>
    <col min="6405" max="6405" width="18.5703125" style="153" customWidth="1"/>
    <col min="6406" max="6406" width="11.7109375" style="153" customWidth="1"/>
    <col min="6407" max="6407" width="19.28515625" style="153" customWidth="1"/>
    <col min="6408" max="6408" width="10.28515625" style="153" customWidth="1"/>
    <col min="6409" max="6409" width="19.42578125" style="153" customWidth="1"/>
    <col min="6410" max="6410" width="10.28515625" style="153" customWidth="1"/>
    <col min="6411" max="6411" width="19.5703125" style="153" customWidth="1"/>
    <col min="6412" max="6412" width="10.42578125" style="153" customWidth="1"/>
    <col min="6413" max="6413" width="21.140625" style="153" customWidth="1"/>
    <col min="6414" max="6414" width="11.7109375" style="153" customWidth="1"/>
    <col min="6415" max="6656" width="11.42578125" style="153"/>
    <col min="6657" max="6657" width="13.28515625" style="153" customWidth="1"/>
    <col min="6658" max="6658" width="32.140625" style="153" customWidth="1"/>
    <col min="6659" max="6659" width="20.7109375" style="153" customWidth="1"/>
    <col min="6660" max="6660" width="10.42578125" style="153" customWidth="1"/>
    <col min="6661" max="6661" width="18.5703125" style="153" customWidth="1"/>
    <col min="6662" max="6662" width="11.7109375" style="153" customWidth="1"/>
    <col min="6663" max="6663" width="19.28515625" style="153" customWidth="1"/>
    <col min="6664" max="6664" width="10.28515625" style="153" customWidth="1"/>
    <col min="6665" max="6665" width="19.42578125" style="153" customWidth="1"/>
    <col min="6666" max="6666" width="10.28515625" style="153" customWidth="1"/>
    <col min="6667" max="6667" width="19.5703125" style="153" customWidth="1"/>
    <col min="6668" max="6668" width="10.42578125" style="153" customWidth="1"/>
    <col min="6669" max="6669" width="21.140625" style="153" customWidth="1"/>
    <col min="6670" max="6670" width="11.7109375" style="153" customWidth="1"/>
    <col min="6671" max="6912" width="11.42578125" style="153"/>
    <col min="6913" max="6913" width="13.28515625" style="153" customWidth="1"/>
    <col min="6914" max="6914" width="32.140625" style="153" customWidth="1"/>
    <col min="6915" max="6915" width="20.7109375" style="153" customWidth="1"/>
    <col min="6916" max="6916" width="10.42578125" style="153" customWidth="1"/>
    <col min="6917" max="6917" width="18.5703125" style="153" customWidth="1"/>
    <col min="6918" max="6918" width="11.7109375" style="153" customWidth="1"/>
    <col min="6919" max="6919" width="19.28515625" style="153" customWidth="1"/>
    <col min="6920" max="6920" width="10.28515625" style="153" customWidth="1"/>
    <col min="6921" max="6921" width="19.42578125" style="153" customWidth="1"/>
    <col min="6922" max="6922" width="10.28515625" style="153" customWidth="1"/>
    <col min="6923" max="6923" width="19.5703125" style="153" customWidth="1"/>
    <col min="6924" max="6924" width="10.42578125" style="153" customWidth="1"/>
    <col min="6925" max="6925" width="21.140625" style="153" customWidth="1"/>
    <col min="6926" max="6926" width="11.7109375" style="153" customWidth="1"/>
    <col min="6927" max="7168" width="11.42578125" style="153"/>
    <col min="7169" max="7169" width="13.28515625" style="153" customWidth="1"/>
    <col min="7170" max="7170" width="32.140625" style="153" customWidth="1"/>
    <col min="7171" max="7171" width="20.7109375" style="153" customWidth="1"/>
    <col min="7172" max="7172" width="10.42578125" style="153" customWidth="1"/>
    <col min="7173" max="7173" width="18.5703125" style="153" customWidth="1"/>
    <col min="7174" max="7174" width="11.7109375" style="153" customWidth="1"/>
    <col min="7175" max="7175" width="19.28515625" style="153" customWidth="1"/>
    <col min="7176" max="7176" width="10.28515625" style="153" customWidth="1"/>
    <col min="7177" max="7177" width="19.42578125" style="153" customWidth="1"/>
    <col min="7178" max="7178" width="10.28515625" style="153" customWidth="1"/>
    <col min="7179" max="7179" width="19.5703125" style="153" customWidth="1"/>
    <col min="7180" max="7180" width="10.42578125" style="153" customWidth="1"/>
    <col min="7181" max="7181" width="21.140625" style="153" customWidth="1"/>
    <col min="7182" max="7182" width="11.7109375" style="153" customWidth="1"/>
    <col min="7183" max="7424" width="11.42578125" style="153"/>
    <col min="7425" max="7425" width="13.28515625" style="153" customWidth="1"/>
    <col min="7426" max="7426" width="32.140625" style="153" customWidth="1"/>
    <col min="7427" max="7427" width="20.7109375" style="153" customWidth="1"/>
    <col min="7428" max="7428" width="10.42578125" style="153" customWidth="1"/>
    <col min="7429" max="7429" width="18.5703125" style="153" customWidth="1"/>
    <col min="7430" max="7430" width="11.7109375" style="153" customWidth="1"/>
    <col min="7431" max="7431" width="19.28515625" style="153" customWidth="1"/>
    <col min="7432" max="7432" width="10.28515625" style="153" customWidth="1"/>
    <col min="7433" max="7433" width="19.42578125" style="153" customWidth="1"/>
    <col min="7434" max="7434" width="10.28515625" style="153" customWidth="1"/>
    <col min="7435" max="7435" width="19.5703125" style="153" customWidth="1"/>
    <col min="7436" max="7436" width="10.42578125" style="153" customWidth="1"/>
    <col min="7437" max="7437" width="21.140625" style="153" customWidth="1"/>
    <col min="7438" max="7438" width="11.7109375" style="153" customWidth="1"/>
    <col min="7439" max="7680" width="11.42578125" style="153"/>
    <col min="7681" max="7681" width="13.28515625" style="153" customWidth="1"/>
    <col min="7682" max="7682" width="32.140625" style="153" customWidth="1"/>
    <col min="7683" max="7683" width="20.7109375" style="153" customWidth="1"/>
    <col min="7684" max="7684" width="10.42578125" style="153" customWidth="1"/>
    <col min="7685" max="7685" width="18.5703125" style="153" customWidth="1"/>
    <col min="7686" max="7686" width="11.7109375" style="153" customWidth="1"/>
    <col min="7687" max="7687" width="19.28515625" style="153" customWidth="1"/>
    <col min="7688" max="7688" width="10.28515625" style="153" customWidth="1"/>
    <col min="7689" max="7689" width="19.42578125" style="153" customWidth="1"/>
    <col min="7690" max="7690" width="10.28515625" style="153" customWidth="1"/>
    <col min="7691" max="7691" width="19.5703125" style="153" customWidth="1"/>
    <col min="7692" max="7692" width="10.42578125" style="153" customWidth="1"/>
    <col min="7693" max="7693" width="21.140625" style="153" customWidth="1"/>
    <col min="7694" max="7694" width="11.7109375" style="153" customWidth="1"/>
    <col min="7695" max="7936" width="11.42578125" style="153"/>
    <col min="7937" max="7937" width="13.28515625" style="153" customWidth="1"/>
    <col min="7938" max="7938" width="32.140625" style="153" customWidth="1"/>
    <col min="7939" max="7939" width="20.7109375" style="153" customWidth="1"/>
    <col min="7940" max="7940" width="10.42578125" style="153" customWidth="1"/>
    <col min="7941" max="7941" width="18.5703125" style="153" customWidth="1"/>
    <col min="7942" max="7942" width="11.7109375" style="153" customWidth="1"/>
    <col min="7943" max="7943" width="19.28515625" style="153" customWidth="1"/>
    <col min="7944" max="7944" width="10.28515625" style="153" customWidth="1"/>
    <col min="7945" max="7945" width="19.42578125" style="153" customWidth="1"/>
    <col min="7946" max="7946" width="10.28515625" style="153" customWidth="1"/>
    <col min="7947" max="7947" width="19.5703125" style="153" customWidth="1"/>
    <col min="7948" max="7948" width="10.42578125" style="153" customWidth="1"/>
    <col min="7949" max="7949" width="21.140625" style="153" customWidth="1"/>
    <col min="7950" max="7950" width="11.7109375" style="153" customWidth="1"/>
    <col min="7951" max="8192" width="11.42578125" style="153"/>
    <col min="8193" max="8193" width="13.28515625" style="153" customWidth="1"/>
    <col min="8194" max="8194" width="32.140625" style="153" customWidth="1"/>
    <col min="8195" max="8195" width="20.7109375" style="153" customWidth="1"/>
    <col min="8196" max="8196" width="10.42578125" style="153" customWidth="1"/>
    <col min="8197" max="8197" width="18.5703125" style="153" customWidth="1"/>
    <col min="8198" max="8198" width="11.7109375" style="153" customWidth="1"/>
    <col min="8199" max="8199" width="19.28515625" style="153" customWidth="1"/>
    <col min="8200" max="8200" width="10.28515625" style="153" customWidth="1"/>
    <col min="8201" max="8201" width="19.42578125" style="153" customWidth="1"/>
    <col min="8202" max="8202" width="10.28515625" style="153" customWidth="1"/>
    <col min="8203" max="8203" width="19.5703125" style="153" customWidth="1"/>
    <col min="8204" max="8204" width="10.42578125" style="153" customWidth="1"/>
    <col min="8205" max="8205" width="21.140625" style="153" customWidth="1"/>
    <col min="8206" max="8206" width="11.7109375" style="153" customWidth="1"/>
    <col min="8207" max="8448" width="11.42578125" style="153"/>
    <col min="8449" max="8449" width="13.28515625" style="153" customWidth="1"/>
    <col min="8450" max="8450" width="32.140625" style="153" customWidth="1"/>
    <col min="8451" max="8451" width="20.7109375" style="153" customWidth="1"/>
    <col min="8452" max="8452" width="10.42578125" style="153" customWidth="1"/>
    <col min="8453" max="8453" width="18.5703125" style="153" customWidth="1"/>
    <col min="8454" max="8454" width="11.7109375" style="153" customWidth="1"/>
    <col min="8455" max="8455" width="19.28515625" style="153" customWidth="1"/>
    <col min="8456" max="8456" width="10.28515625" style="153" customWidth="1"/>
    <col min="8457" max="8457" width="19.42578125" style="153" customWidth="1"/>
    <col min="8458" max="8458" width="10.28515625" style="153" customWidth="1"/>
    <col min="8459" max="8459" width="19.5703125" style="153" customWidth="1"/>
    <col min="8460" max="8460" width="10.42578125" style="153" customWidth="1"/>
    <col min="8461" max="8461" width="21.140625" style="153" customWidth="1"/>
    <col min="8462" max="8462" width="11.7109375" style="153" customWidth="1"/>
    <col min="8463" max="8704" width="11.42578125" style="153"/>
    <col min="8705" max="8705" width="13.28515625" style="153" customWidth="1"/>
    <col min="8706" max="8706" width="32.140625" style="153" customWidth="1"/>
    <col min="8707" max="8707" width="20.7109375" style="153" customWidth="1"/>
    <col min="8708" max="8708" width="10.42578125" style="153" customWidth="1"/>
    <col min="8709" max="8709" width="18.5703125" style="153" customWidth="1"/>
    <col min="8710" max="8710" width="11.7109375" style="153" customWidth="1"/>
    <col min="8711" max="8711" width="19.28515625" style="153" customWidth="1"/>
    <col min="8712" max="8712" width="10.28515625" style="153" customWidth="1"/>
    <col min="8713" max="8713" width="19.42578125" style="153" customWidth="1"/>
    <col min="8714" max="8714" width="10.28515625" style="153" customWidth="1"/>
    <col min="8715" max="8715" width="19.5703125" style="153" customWidth="1"/>
    <col min="8716" max="8716" width="10.42578125" style="153" customWidth="1"/>
    <col min="8717" max="8717" width="21.140625" style="153" customWidth="1"/>
    <col min="8718" max="8718" width="11.7109375" style="153" customWidth="1"/>
    <col min="8719" max="8960" width="11.42578125" style="153"/>
    <col min="8961" max="8961" width="13.28515625" style="153" customWidth="1"/>
    <col min="8962" max="8962" width="32.140625" style="153" customWidth="1"/>
    <col min="8963" max="8963" width="20.7109375" style="153" customWidth="1"/>
    <col min="8964" max="8964" width="10.42578125" style="153" customWidth="1"/>
    <col min="8965" max="8965" width="18.5703125" style="153" customWidth="1"/>
    <col min="8966" max="8966" width="11.7109375" style="153" customWidth="1"/>
    <col min="8967" max="8967" width="19.28515625" style="153" customWidth="1"/>
    <col min="8968" max="8968" width="10.28515625" style="153" customWidth="1"/>
    <col min="8969" max="8969" width="19.42578125" style="153" customWidth="1"/>
    <col min="8970" max="8970" width="10.28515625" style="153" customWidth="1"/>
    <col min="8971" max="8971" width="19.5703125" style="153" customWidth="1"/>
    <col min="8972" max="8972" width="10.42578125" style="153" customWidth="1"/>
    <col min="8973" max="8973" width="21.140625" style="153" customWidth="1"/>
    <col min="8974" max="8974" width="11.7109375" style="153" customWidth="1"/>
    <col min="8975" max="9216" width="11.42578125" style="153"/>
    <col min="9217" max="9217" width="13.28515625" style="153" customWidth="1"/>
    <col min="9218" max="9218" width="32.140625" style="153" customWidth="1"/>
    <col min="9219" max="9219" width="20.7109375" style="153" customWidth="1"/>
    <col min="9220" max="9220" width="10.42578125" style="153" customWidth="1"/>
    <col min="9221" max="9221" width="18.5703125" style="153" customWidth="1"/>
    <col min="9222" max="9222" width="11.7109375" style="153" customWidth="1"/>
    <col min="9223" max="9223" width="19.28515625" style="153" customWidth="1"/>
    <col min="9224" max="9224" width="10.28515625" style="153" customWidth="1"/>
    <col min="9225" max="9225" width="19.42578125" style="153" customWidth="1"/>
    <col min="9226" max="9226" width="10.28515625" style="153" customWidth="1"/>
    <col min="9227" max="9227" width="19.5703125" style="153" customWidth="1"/>
    <col min="9228" max="9228" width="10.42578125" style="153" customWidth="1"/>
    <col min="9229" max="9229" width="21.140625" style="153" customWidth="1"/>
    <col min="9230" max="9230" width="11.7109375" style="153" customWidth="1"/>
    <col min="9231" max="9472" width="11.42578125" style="153"/>
    <col min="9473" max="9473" width="13.28515625" style="153" customWidth="1"/>
    <col min="9474" max="9474" width="32.140625" style="153" customWidth="1"/>
    <col min="9475" max="9475" width="20.7109375" style="153" customWidth="1"/>
    <col min="9476" max="9476" width="10.42578125" style="153" customWidth="1"/>
    <col min="9477" max="9477" width="18.5703125" style="153" customWidth="1"/>
    <col min="9478" max="9478" width="11.7109375" style="153" customWidth="1"/>
    <col min="9479" max="9479" width="19.28515625" style="153" customWidth="1"/>
    <col min="9480" max="9480" width="10.28515625" style="153" customWidth="1"/>
    <col min="9481" max="9481" width="19.42578125" style="153" customWidth="1"/>
    <col min="9482" max="9482" width="10.28515625" style="153" customWidth="1"/>
    <col min="9483" max="9483" width="19.5703125" style="153" customWidth="1"/>
    <col min="9484" max="9484" width="10.42578125" style="153" customWidth="1"/>
    <col min="9485" max="9485" width="21.140625" style="153" customWidth="1"/>
    <col min="9486" max="9486" width="11.7109375" style="153" customWidth="1"/>
    <col min="9487" max="9728" width="11.42578125" style="153"/>
    <col min="9729" max="9729" width="13.28515625" style="153" customWidth="1"/>
    <col min="9730" max="9730" width="32.140625" style="153" customWidth="1"/>
    <col min="9731" max="9731" width="20.7109375" style="153" customWidth="1"/>
    <col min="9732" max="9732" width="10.42578125" style="153" customWidth="1"/>
    <col min="9733" max="9733" width="18.5703125" style="153" customWidth="1"/>
    <col min="9734" max="9734" width="11.7109375" style="153" customWidth="1"/>
    <col min="9735" max="9735" width="19.28515625" style="153" customWidth="1"/>
    <col min="9736" max="9736" width="10.28515625" style="153" customWidth="1"/>
    <col min="9737" max="9737" width="19.42578125" style="153" customWidth="1"/>
    <col min="9738" max="9738" width="10.28515625" style="153" customWidth="1"/>
    <col min="9739" max="9739" width="19.5703125" style="153" customWidth="1"/>
    <col min="9740" max="9740" width="10.42578125" style="153" customWidth="1"/>
    <col min="9741" max="9741" width="21.140625" style="153" customWidth="1"/>
    <col min="9742" max="9742" width="11.7109375" style="153" customWidth="1"/>
    <col min="9743" max="9984" width="11.42578125" style="153"/>
    <col min="9985" max="9985" width="13.28515625" style="153" customWidth="1"/>
    <col min="9986" max="9986" width="32.140625" style="153" customWidth="1"/>
    <col min="9987" max="9987" width="20.7109375" style="153" customWidth="1"/>
    <col min="9988" max="9988" width="10.42578125" style="153" customWidth="1"/>
    <col min="9989" max="9989" width="18.5703125" style="153" customWidth="1"/>
    <col min="9990" max="9990" width="11.7109375" style="153" customWidth="1"/>
    <col min="9991" max="9991" width="19.28515625" style="153" customWidth="1"/>
    <col min="9992" max="9992" width="10.28515625" style="153" customWidth="1"/>
    <col min="9993" max="9993" width="19.42578125" style="153" customWidth="1"/>
    <col min="9994" max="9994" width="10.28515625" style="153" customWidth="1"/>
    <col min="9995" max="9995" width="19.5703125" style="153" customWidth="1"/>
    <col min="9996" max="9996" width="10.42578125" style="153" customWidth="1"/>
    <col min="9997" max="9997" width="21.140625" style="153" customWidth="1"/>
    <col min="9998" max="9998" width="11.7109375" style="153" customWidth="1"/>
    <col min="9999" max="10240" width="11.42578125" style="153"/>
    <col min="10241" max="10241" width="13.28515625" style="153" customWidth="1"/>
    <col min="10242" max="10242" width="32.140625" style="153" customWidth="1"/>
    <col min="10243" max="10243" width="20.7109375" style="153" customWidth="1"/>
    <col min="10244" max="10244" width="10.42578125" style="153" customWidth="1"/>
    <col min="10245" max="10245" width="18.5703125" style="153" customWidth="1"/>
    <col min="10246" max="10246" width="11.7109375" style="153" customWidth="1"/>
    <col min="10247" max="10247" width="19.28515625" style="153" customWidth="1"/>
    <col min="10248" max="10248" width="10.28515625" style="153" customWidth="1"/>
    <col min="10249" max="10249" width="19.42578125" style="153" customWidth="1"/>
    <col min="10250" max="10250" width="10.28515625" style="153" customWidth="1"/>
    <col min="10251" max="10251" width="19.5703125" style="153" customWidth="1"/>
    <col min="10252" max="10252" width="10.42578125" style="153" customWidth="1"/>
    <col min="10253" max="10253" width="21.140625" style="153" customWidth="1"/>
    <col min="10254" max="10254" width="11.7109375" style="153" customWidth="1"/>
    <col min="10255" max="10496" width="11.42578125" style="153"/>
    <col min="10497" max="10497" width="13.28515625" style="153" customWidth="1"/>
    <col min="10498" max="10498" width="32.140625" style="153" customWidth="1"/>
    <col min="10499" max="10499" width="20.7109375" style="153" customWidth="1"/>
    <col min="10500" max="10500" width="10.42578125" style="153" customWidth="1"/>
    <col min="10501" max="10501" width="18.5703125" style="153" customWidth="1"/>
    <col min="10502" max="10502" width="11.7109375" style="153" customWidth="1"/>
    <col min="10503" max="10503" width="19.28515625" style="153" customWidth="1"/>
    <col min="10504" max="10504" width="10.28515625" style="153" customWidth="1"/>
    <col min="10505" max="10505" width="19.42578125" style="153" customWidth="1"/>
    <col min="10506" max="10506" width="10.28515625" style="153" customWidth="1"/>
    <col min="10507" max="10507" width="19.5703125" style="153" customWidth="1"/>
    <col min="10508" max="10508" width="10.42578125" style="153" customWidth="1"/>
    <col min="10509" max="10509" width="21.140625" style="153" customWidth="1"/>
    <col min="10510" max="10510" width="11.7109375" style="153" customWidth="1"/>
    <col min="10511" max="10752" width="11.42578125" style="153"/>
    <col min="10753" max="10753" width="13.28515625" style="153" customWidth="1"/>
    <col min="10754" max="10754" width="32.140625" style="153" customWidth="1"/>
    <col min="10755" max="10755" width="20.7109375" style="153" customWidth="1"/>
    <col min="10756" max="10756" width="10.42578125" style="153" customWidth="1"/>
    <col min="10757" max="10757" width="18.5703125" style="153" customWidth="1"/>
    <col min="10758" max="10758" width="11.7109375" style="153" customWidth="1"/>
    <col min="10759" max="10759" width="19.28515625" style="153" customWidth="1"/>
    <col min="10760" max="10760" width="10.28515625" style="153" customWidth="1"/>
    <col min="10761" max="10761" width="19.42578125" style="153" customWidth="1"/>
    <col min="10762" max="10762" width="10.28515625" style="153" customWidth="1"/>
    <col min="10763" max="10763" width="19.5703125" style="153" customWidth="1"/>
    <col min="10764" max="10764" width="10.42578125" style="153" customWidth="1"/>
    <col min="10765" max="10765" width="21.140625" style="153" customWidth="1"/>
    <col min="10766" max="10766" width="11.7109375" style="153" customWidth="1"/>
    <col min="10767" max="11008" width="11.42578125" style="153"/>
    <col min="11009" max="11009" width="13.28515625" style="153" customWidth="1"/>
    <col min="11010" max="11010" width="32.140625" style="153" customWidth="1"/>
    <col min="11011" max="11011" width="20.7109375" style="153" customWidth="1"/>
    <col min="11012" max="11012" width="10.42578125" style="153" customWidth="1"/>
    <col min="11013" max="11013" width="18.5703125" style="153" customWidth="1"/>
    <col min="11014" max="11014" width="11.7109375" style="153" customWidth="1"/>
    <col min="11015" max="11015" width="19.28515625" style="153" customWidth="1"/>
    <col min="11016" max="11016" width="10.28515625" style="153" customWidth="1"/>
    <col min="11017" max="11017" width="19.42578125" style="153" customWidth="1"/>
    <col min="11018" max="11018" width="10.28515625" style="153" customWidth="1"/>
    <col min="11019" max="11019" width="19.5703125" style="153" customWidth="1"/>
    <col min="11020" max="11020" width="10.42578125" style="153" customWidth="1"/>
    <col min="11021" max="11021" width="21.140625" style="153" customWidth="1"/>
    <col min="11022" max="11022" width="11.7109375" style="153" customWidth="1"/>
    <col min="11023" max="11264" width="11.42578125" style="153"/>
    <col min="11265" max="11265" width="13.28515625" style="153" customWidth="1"/>
    <col min="11266" max="11266" width="32.140625" style="153" customWidth="1"/>
    <col min="11267" max="11267" width="20.7109375" style="153" customWidth="1"/>
    <col min="11268" max="11268" width="10.42578125" style="153" customWidth="1"/>
    <col min="11269" max="11269" width="18.5703125" style="153" customWidth="1"/>
    <col min="11270" max="11270" width="11.7109375" style="153" customWidth="1"/>
    <col min="11271" max="11271" width="19.28515625" style="153" customWidth="1"/>
    <col min="11272" max="11272" width="10.28515625" style="153" customWidth="1"/>
    <col min="11273" max="11273" width="19.42578125" style="153" customWidth="1"/>
    <col min="11274" max="11274" width="10.28515625" style="153" customWidth="1"/>
    <col min="11275" max="11275" width="19.5703125" style="153" customWidth="1"/>
    <col min="11276" max="11276" width="10.42578125" style="153" customWidth="1"/>
    <col min="11277" max="11277" width="21.140625" style="153" customWidth="1"/>
    <col min="11278" max="11278" width="11.7109375" style="153" customWidth="1"/>
    <col min="11279" max="11520" width="11.42578125" style="153"/>
    <col min="11521" max="11521" width="13.28515625" style="153" customWidth="1"/>
    <col min="11522" max="11522" width="32.140625" style="153" customWidth="1"/>
    <col min="11523" max="11523" width="20.7109375" style="153" customWidth="1"/>
    <col min="11524" max="11524" width="10.42578125" style="153" customWidth="1"/>
    <col min="11525" max="11525" width="18.5703125" style="153" customWidth="1"/>
    <col min="11526" max="11526" width="11.7109375" style="153" customWidth="1"/>
    <col min="11527" max="11527" width="19.28515625" style="153" customWidth="1"/>
    <col min="11528" max="11528" width="10.28515625" style="153" customWidth="1"/>
    <col min="11529" max="11529" width="19.42578125" style="153" customWidth="1"/>
    <col min="11530" max="11530" width="10.28515625" style="153" customWidth="1"/>
    <col min="11531" max="11531" width="19.5703125" style="153" customWidth="1"/>
    <col min="11532" max="11532" width="10.42578125" style="153" customWidth="1"/>
    <col min="11533" max="11533" width="21.140625" style="153" customWidth="1"/>
    <col min="11534" max="11534" width="11.7109375" style="153" customWidth="1"/>
    <col min="11535" max="11776" width="11.42578125" style="153"/>
    <col min="11777" max="11777" width="13.28515625" style="153" customWidth="1"/>
    <col min="11778" max="11778" width="32.140625" style="153" customWidth="1"/>
    <col min="11779" max="11779" width="20.7109375" style="153" customWidth="1"/>
    <col min="11780" max="11780" width="10.42578125" style="153" customWidth="1"/>
    <col min="11781" max="11781" width="18.5703125" style="153" customWidth="1"/>
    <col min="11782" max="11782" width="11.7109375" style="153" customWidth="1"/>
    <col min="11783" max="11783" width="19.28515625" style="153" customWidth="1"/>
    <col min="11784" max="11784" width="10.28515625" style="153" customWidth="1"/>
    <col min="11785" max="11785" width="19.42578125" style="153" customWidth="1"/>
    <col min="11786" max="11786" width="10.28515625" style="153" customWidth="1"/>
    <col min="11787" max="11787" width="19.5703125" style="153" customWidth="1"/>
    <col min="11788" max="11788" width="10.42578125" style="153" customWidth="1"/>
    <col min="11789" max="11789" width="21.140625" style="153" customWidth="1"/>
    <col min="11790" max="11790" width="11.7109375" style="153" customWidth="1"/>
    <col min="11791" max="12032" width="11.42578125" style="153"/>
    <col min="12033" max="12033" width="13.28515625" style="153" customWidth="1"/>
    <col min="12034" max="12034" width="32.140625" style="153" customWidth="1"/>
    <col min="12035" max="12035" width="20.7109375" style="153" customWidth="1"/>
    <col min="12036" max="12036" width="10.42578125" style="153" customWidth="1"/>
    <col min="12037" max="12037" width="18.5703125" style="153" customWidth="1"/>
    <col min="12038" max="12038" width="11.7109375" style="153" customWidth="1"/>
    <col min="12039" max="12039" width="19.28515625" style="153" customWidth="1"/>
    <col min="12040" max="12040" width="10.28515625" style="153" customWidth="1"/>
    <col min="12041" max="12041" width="19.42578125" style="153" customWidth="1"/>
    <col min="12042" max="12042" width="10.28515625" style="153" customWidth="1"/>
    <col min="12043" max="12043" width="19.5703125" style="153" customWidth="1"/>
    <col min="12044" max="12044" width="10.42578125" style="153" customWidth="1"/>
    <col min="12045" max="12045" width="21.140625" style="153" customWidth="1"/>
    <col min="12046" max="12046" width="11.7109375" style="153" customWidth="1"/>
    <col min="12047" max="12288" width="11.42578125" style="153"/>
    <col min="12289" max="12289" width="13.28515625" style="153" customWidth="1"/>
    <col min="12290" max="12290" width="32.140625" style="153" customWidth="1"/>
    <col min="12291" max="12291" width="20.7109375" style="153" customWidth="1"/>
    <col min="12292" max="12292" width="10.42578125" style="153" customWidth="1"/>
    <col min="12293" max="12293" width="18.5703125" style="153" customWidth="1"/>
    <col min="12294" max="12294" width="11.7109375" style="153" customWidth="1"/>
    <col min="12295" max="12295" width="19.28515625" style="153" customWidth="1"/>
    <col min="12296" max="12296" width="10.28515625" style="153" customWidth="1"/>
    <col min="12297" max="12297" width="19.42578125" style="153" customWidth="1"/>
    <col min="12298" max="12298" width="10.28515625" style="153" customWidth="1"/>
    <col min="12299" max="12299" width="19.5703125" style="153" customWidth="1"/>
    <col min="12300" max="12300" width="10.42578125" style="153" customWidth="1"/>
    <col min="12301" max="12301" width="21.140625" style="153" customWidth="1"/>
    <col min="12302" max="12302" width="11.7109375" style="153" customWidth="1"/>
    <col min="12303" max="12544" width="11.42578125" style="153"/>
    <col min="12545" max="12545" width="13.28515625" style="153" customWidth="1"/>
    <col min="12546" max="12546" width="32.140625" style="153" customWidth="1"/>
    <col min="12547" max="12547" width="20.7109375" style="153" customWidth="1"/>
    <col min="12548" max="12548" width="10.42578125" style="153" customWidth="1"/>
    <col min="12549" max="12549" width="18.5703125" style="153" customWidth="1"/>
    <col min="12550" max="12550" width="11.7109375" style="153" customWidth="1"/>
    <col min="12551" max="12551" width="19.28515625" style="153" customWidth="1"/>
    <col min="12552" max="12552" width="10.28515625" style="153" customWidth="1"/>
    <col min="12553" max="12553" width="19.42578125" style="153" customWidth="1"/>
    <col min="12554" max="12554" width="10.28515625" style="153" customWidth="1"/>
    <col min="12555" max="12555" width="19.5703125" style="153" customWidth="1"/>
    <col min="12556" max="12556" width="10.42578125" style="153" customWidth="1"/>
    <col min="12557" max="12557" width="21.140625" style="153" customWidth="1"/>
    <col min="12558" max="12558" width="11.7109375" style="153" customWidth="1"/>
    <col min="12559" max="12800" width="11.42578125" style="153"/>
    <col min="12801" max="12801" width="13.28515625" style="153" customWidth="1"/>
    <col min="12802" max="12802" width="32.140625" style="153" customWidth="1"/>
    <col min="12803" max="12803" width="20.7109375" style="153" customWidth="1"/>
    <col min="12804" max="12804" width="10.42578125" style="153" customWidth="1"/>
    <col min="12805" max="12805" width="18.5703125" style="153" customWidth="1"/>
    <col min="12806" max="12806" width="11.7109375" style="153" customWidth="1"/>
    <col min="12807" max="12807" width="19.28515625" style="153" customWidth="1"/>
    <col min="12808" max="12808" width="10.28515625" style="153" customWidth="1"/>
    <col min="12809" max="12809" width="19.42578125" style="153" customWidth="1"/>
    <col min="12810" max="12810" width="10.28515625" style="153" customWidth="1"/>
    <col min="12811" max="12811" width="19.5703125" style="153" customWidth="1"/>
    <col min="12812" max="12812" width="10.42578125" style="153" customWidth="1"/>
    <col min="12813" max="12813" width="21.140625" style="153" customWidth="1"/>
    <col min="12814" max="12814" width="11.7109375" style="153" customWidth="1"/>
    <col min="12815" max="13056" width="11.42578125" style="153"/>
    <col min="13057" max="13057" width="13.28515625" style="153" customWidth="1"/>
    <col min="13058" max="13058" width="32.140625" style="153" customWidth="1"/>
    <col min="13059" max="13059" width="20.7109375" style="153" customWidth="1"/>
    <col min="13060" max="13060" width="10.42578125" style="153" customWidth="1"/>
    <col min="13061" max="13061" width="18.5703125" style="153" customWidth="1"/>
    <col min="13062" max="13062" width="11.7109375" style="153" customWidth="1"/>
    <col min="13063" max="13063" width="19.28515625" style="153" customWidth="1"/>
    <col min="13064" max="13064" width="10.28515625" style="153" customWidth="1"/>
    <col min="13065" max="13065" width="19.42578125" style="153" customWidth="1"/>
    <col min="13066" max="13066" width="10.28515625" style="153" customWidth="1"/>
    <col min="13067" max="13067" width="19.5703125" style="153" customWidth="1"/>
    <col min="13068" max="13068" width="10.42578125" style="153" customWidth="1"/>
    <col min="13069" max="13069" width="21.140625" style="153" customWidth="1"/>
    <col min="13070" max="13070" width="11.7109375" style="153" customWidth="1"/>
    <col min="13071" max="13312" width="11.42578125" style="153"/>
    <col min="13313" max="13313" width="13.28515625" style="153" customWidth="1"/>
    <col min="13314" max="13314" width="32.140625" style="153" customWidth="1"/>
    <col min="13315" max="13315" width="20.7109375" style="153" customWidth="1"/>
    <col min="13316" max="13316" width="10.42578125" style="153" customWidth="1"/>
    <col min="13317" max="13317" width="18.5703125" style="153" customWidth="1"/>
    <col min="13318" max="13318" width="11.7109375" style="153" customWidth="1"/>
    <col min="13319" max="13319" width="19.28515625" style="153" customWidth="1"/>
    <col min="13320" max="13320" width="10.28515625" style="153" customWidth="1"/>
    <col min="13321" max="13321" width="19.42578125" style="153" customWidth="1"/>
    <col min="13322" max="13322" width="10.28515625" style="153" customWidth="1"/>
    <col min="13323" max="13323" width="19.5703125" style="153" customWidth="1"/>
    <col min="13324" max="13324" width="10.42578125" style="153" customWidth="1"/>
    <col min="13325" max="13325" width="21.140625" style="153" customWidth="1"/>
    <col min="13326" max="13326" width="11.7109375" style="153" customWidth="1"/>
    <col min="13327" max="13568" width="11.42578125" style="153"/>
    <col min="13569" max="13569" width="13.28515625" style="153" customWidth="1"/>
    <col min="13570" max="13570" width="32.140625" style="153" customWidth="1"/>
    <col min="13571" max="13571" width="20.7109375" style="153" customWidth="1"/>
    <col min="13572" max="13572" width="10.42578125" style="153" customWidth="1"/>
    <col min="13573" max="13573" width="18.5703125" style="153" customWidth="1"/>
    <col min="13574" max="13574" width="11.7109375" style="153" customWidth="1"/>
    <col min="13575" max="13575" width="19.28515625" style="153" customWidth="1"/>
    <col min="13576" max="13576" width="10.28515625" style="153" customWidth="1"/>
    <col min="13577" max="13577" width="19.42578125" style="153" customWidth="1"/>
    <col min="13578" max="13578" width="10.28515625" style="153" customWidth="1"/>
    <col min="13579" max="13579" width="19.5703125" style="153" customWidth="1"/>
    <col min="13580" max="13580" width="10.42578125" style="153" customWidth="1"/>
    <col min="13581" max="13581" width="21.140625" style="153" customWidth="1"/>
    <col min="13582" max="13582" width="11.7109375" style="153" customWidth="1"/>
    <col min="13583" max="13824" width="11.42578125" style="153"/>
    <col min="13825" max="13825" width="13.28515625" style="153" customWidth="1"/>
    <col min="13826" max="13826" width="32.140625" style="153" customWidth="1"/>
    <col min="13827" max="13827" width="20.7109375" style="153" customWidth="1"/>
    <col min="13828" max="13828" width="10.42578125" style="153" customWidth="1"/>
    <col min="13829" max="13829" width="18.5703125" style="153" customWidth="1"/>
    <col min="13830" max="13830" width="11.7109375" style="153" customWidth="1"/>
    <col min="13831" max="13831" width="19.28515625" style="153" customWidth="1"/>
    <col min="13832" max="13832" width="10.28515625" style="153" customWidth="1"/>
    <col min="13833" max="13833" width="19.42578125" style="153" customWidth="1"/>
    <col min="13834" max="13834" width="10.28515625" style="153" customWidth="1"/>
    <col min="13835" max="13835" width="19.5703125" style="153" customWidth="1"/>
    <col min="13836" max="13836" width="10.42578125" style="153" customWidth="1"/>
    <col min="13837" max="13837" width="21.140625" style="153" customWidth="1"/>
    <col min="13838" max="13838" width="11.7109375" style="153" customWidth="1"/>
    <col min="13839" max="14080" width="11.42578125" style="153"/>
    <col min="14081" max="14081" width="13.28515625" style="153" customWidth="1"/>
    <col min="14082" max="14082" width="32.140625" style="153" customWidth="1"/>
    <col min="14083" max="14083" width="20.7109375" style="153" customWidth="1"/>
    <col min="14084" max="14084" width="10.42578125" style="153" customWidth="1"/>
    <col min="14085" max="14085" width="18.5703125" style="153" customWidth="1"/>
    <col min="14086" max="14086" width="11.7109375" style="153" customWidth="1"/>
    <col min="14087" max="14087" width="19.28515625" style="153" customWidth="1"/>
    <col min="14088" max="14088" width="10.28515625" style="153" customWidth="1"/>
    <col min="14089" max="14089" width="19.42578125" style="153" customWidth="1"/>
    <col min="14090" max="14090" width="10.28515625" style="153" customWidth="1"/>
    <col min="14091" max="14091" width="19.5703125" style="153" customWidth="1"/>
    <col min="14092" max="14092" width="10.42578125" style="153" customWidth="1"/>
    <col min="14093" max="14093" width="21.140625" style="153" customWidth="1"/>
    <col min="14094" max="14094" width="11.7109375" style="153" customWidth="1"/>
    <col min="14095" max="14336" width="11.42578125" style="153"/>
    <col min="14337" max="14337" width="13.28515625" style="153" customWidth="1"/>
    <col min="14338" max="14338" width="32.140625" style="153" customWidth="1"/>
    <col min="14339" max="14339" width="20.7109375" style="153" customWidth="1"/>
    <col min="14340" max="14340" width="10.42578125" style="153" customWidth="1"/>
    <col min="14341" max="14341" width="18.5703125" style="153" customWidth="1"/>
    <col min="14342" max="14342" width="11.7109375" style="153" customWidth="1"/>
    <col min="14343" max="14343" width="19.28515625" style="153" customWidth="1"/>
    <col min="14344" max="14344" width="10.28515625" style="153" customWidth="1"/>
    <col min="14345" max="14345" width="19.42578125" style="153" customWidth="1"/>
    <col min="14346" max="14346" width="10.28515625" style="153" customWidth="1"/>
    <col min="14347" max="14347" width="19.5703125" style="153" customWidth="1"/>
    <col min="14348" max="14348" width="10.42578125" style="153" customWidth="1"/>
    <col min="14349" max="14349" width="21.140625" style="153" customWidth="1"/>
    <col min="14350" max="14350" width="11.7109375" style="153" customWidth="1"/>
    <col min="14351" max="14592" width="11.42578125" style="153"/>
    <col min="14593" max="14593" width="13.28515625" style="153" customWidth="1"/>
    <col min="14594" max="14594" width="32.140625" style="153" customWidth="1"/>
    <col min="14595" max="14595" width="20.7109375" style="153" customWidth="1"/>
    <col min="14596" max="14596" width="10.42578125" style="153" customWidth="1"/>
    <col min="14597" max="14597" width="18.5703125" style="153" customWidth="1"/>
    <col min="14598" max="14598" width="11.7109375" style="153" customWidth="1"/>
    <col min="14599" max="14599" width="19.28515625" style="153" customWidth="1"/>
    <col min="14600" max="14600" width="10.28515625" style="153" customWidth="1"/>
    <col min="14601" max="14601" width="19.42578125" style="153" customWidth="1"/>
    <col min="14602" max="14602" width="10.28515625" style="153" customWidth="1"/>
    <col min="14603" max="14603" width="19.5703125" style="153" customWidth="1"/>
    <col min="14604" max="14604" width="10.42578125" style="153" customWidth="1"/>
    <col min="14605" max="14605" width="21.140625" style="153" customWidth="1"/>
    <col min="14606" max="14606" width="11.7109375" style="153" customWidth="1"/>
    <col min="14607" max="14848" width="11.42578125" style="153"/>
    <col min="14849" max="14849" width="13.28515625" style="153" customWidth="1"/>
    <col min="14850" max="14850" width="32.140625" style="153" customWidth="1"/>
    <col min="14851" max="14851" width="20.7109375" style="153" customWidth="1"/>
    <col min="14852" max="14852" width="10.42578125" style="153" customWidth="1"/>
    <col min="14853" max="14853" width="18.5703125" style="153" customWidth="1"/>
    <col min="14854" max="14854" width="11.7109375" style="153" customWidth="1"/>
    <col min="14855" max="14855" width="19.28515625" style="153" customWidth="1"/>
    <col min="14856" max="14856" width="10.28515625" style="153" customWidth="1"/>
    <col min="14857" max="14857" width="19.42578125" style="153" customWidth="1"/>
    <col min="14858" max="14858" width="10.28515625" style="153" customWidth="1"/>
    <col min="14859" max="14859" width="19.5703125" style="153" customWidth="1"/>
    <col min="14860" max="14860" width="10.42578125" style="153" customWidth="1"/>
    <col min="14861" max="14861" width="21.140625" style="153" customWidth="1"/>
    <col min="14862" max="14862" width="11.7109375" style="153" customWidth="1"/>
    <col min="14863" max="15104" width="11.42578125" style="153"/>
    <col min="15105" max="15105" width="13.28515625" style="153" customWidth="1"/>
    <col min="15106" max="15106" width="32.140625" style="153" customWidth="1"/>
    <col min="15107" max="15107" width="20.7109375" style="153" customWidth="1"/>
    <col min="15108" max="15108" width="10.42578125" style="153" customWidth="1"/>
    <col min="15109" max="15109" width="18.5703125" style="153" customWidth="1"/>
    <col min="15110" max="15110" width="11.7109375" style="153" customWidth="1"/>
    <col min="15111" max="15111" width="19.28515625" style="153" customWidth="1"/>
    <col min="15112" max="15112" width="10.28515625" style="153" customWidth="1"/>
    <col min="15113" max="15113" width="19.42578125" style="153" customWidth="1"/>
    <col min="15114" max="15114" width="10.28515625" style="153" customWidth="1"/>
    <col min="15115" max="15115" width="19.5703125" style="153" customWidth="1"/>
    <col min="15116" max="15116" width="10.42578125" style="153" customWidth="1"/>
    <col min="15117" max="15117" width="21.140625" style="153" customWidth="1"/>
    <col min="15118" max="15118" width="11.7109375" style="153" customWidth="1"/>
    <col min="15119" max="15360" width="11.42578125" style="153"/>
    <col min="15361" max="15361" width="13.28515625" style="153" customWidth="1"/>
    <col min="15362" max="15362" width="32.140625" style="153" customWidth="1"/>
    <col min="15363" max="15363" width="20.7109375" style="153" customWidth="1"/>
    <col min="15364" max="15364" width="10.42578125" style="153" customWidth="1"/>
    <col min="15365" max="15365" width="18.5703125" style="153" customWidth="1"/>
    <col min="15366" max="15366" width="11.7109375" style="153" customWidth="1"/>
    <col min="15367" max="15367" width="19.28515625" style="153" customWidth="1"/>
    <col min="15368" max="15368" width="10.28515625" style="153" customWidth="1"/>
    <col min="15369" max="15369" width="19.42578125" style="153" customWidth="1"/>
    <col min="15370" max="15370" width="10.28515625" style="153" customWidth="1"/>
    <col min="15371" max="15371" width="19.5703125" style="153" customWidth="1"/>
    <col min="15372" max="15372" width="10.42578125" style="153" customWidth="1"/>
    <col min="15373" max="15373" width="21.140625" style="153" customWidth="1"/>
    <col min="15374" max="15374" width="11.7109375" style="153" customWidth="1"/>
    <col min="15375" max="15616" width="11.42578125" style="153"/>
    <col min="15617" max="15617" width="13.28515625" style="153" customWidth="1"/>
    <col min="15618" max="15618" width="32.140625" style="153" customWidth="1"/>
    <col min="15619" max="15619" width="20.7109375" style="153" customWidth="1"/>
    <col min="15620" max="15620" width="10.42578125" style="153" customWidth="1"/>
    <col min="15621" max="15621" width="18.5703125" style="153" customWidth="1"/>
    <col min="15622" max="15622" width="11.7109375" style="153" customWidth="1"/>
    <col min="15623" max="15623" width="19.28515625" style="153" customWidth="1"/>
    <col min="15624" max="15624" width="10.28515625" style="153" customWidth="1"/>
    <col min="15625" max="15625" width="19.42578125" style="153" customWidth="1"/>
    <col min="15626" max="15626" width="10.28515625" style="153" customWidth="1"/>
    <col min="15627" max="15627" width="19.5703125" style="153" customWidth="1"/>
    <col min="15628" max="15628" width="10.42578125" style="153" customWidth="1"/>
    <col min="15629" max="15629" width="21.140625" style="153" customWidth="1"/>
    <col min="15630" max="15630" width="11.7109375" style="153" customWidth="1"/>
    <col min="15631" max="15872" width="11.42578125" style="153"/>
    <col min="15873" max="15873" width="13.28515625" style="153" customWidth="1"/>
    <col min="15874" max="15874" width="32.140625" style="153" customWidth="1"/>
    <col min="15875" max="15875" width="20.7109375" style="153" customWidth="1"/>
    <col min="15876" max="15876" width="10.42578125" style="153" customWidth="1"/>
    <col min="15877" max="15877" width="18.5703125" style="153" customWidth="1"/>
    <col min="15878" max="15878" width="11.7109375" style="153" customWidth="1"/>
    <col min="15879" max="15879" width="19.28515625" style="153" customWidth="1"/>
    <col min="15880" max="15880" width="10.28515625" style="153" customWidth="1"/>
    <col min="15881" max="15881" width="19.42578125" style="153" customWidth="1"/>
    <col min="15882" max="15882" width="10.28515625" style="153" customWidth="1"/>
    <col min="15883" max="15883" width="19.5703125" style="153" customWidth="1"/>
    <col min="15884" max="15884" width="10.42578125" style="153" customWidth="1"/>
    <col min="15885" max="15885" width="21.140625" style="153" customWidth="1"/>
    <col min="15886" max="15886" width="11.7109375" style="153" customWidth="1"/>
    <col min="15887" max="16128" width="11.42578125" style="153"/>
    <col min="16129" max="16129" width="13.28515625" style="153" customWidth="1"/>
    <col min="16130" max="16130" width="32.140625" style="153" customWidth="1"/>
    <col min="16131" max="16131" width="20.7109375" style="153" customWidth="1"/>
    <col min="16132" max="16132" width="10.42578125" style="153" customWidth="1"/>
    <col min="16133" max="16133" width="18.5703125" style="153" customWidth="1"/>
    <col min="16134" max="16134" width="11.7109375" style="153" customWidth="1"/>
    <col min="16135" max="16135" width="19.28515625" style="153" customWidth="1"/>
    <col min="16136" max="16136" width="10.28515625" style="153" customWidth="1"/>
    <col min="16137" max="16137" width="19.42578125" style="153" customWidth="1"/>
    <col min="16138" max="16138" width="10.28515625" style="153" customWidth="1"/>
    <col min="16139" max="16139" width="19.5703125" style="153" customWidth="1"/>
    <col min="16140" max="16140" width="10.42578125" style="153" customWidth="1"/>
    <col min="16141" max="16141" width="21.140625" style="153" customWidth="1"/>
    <col min="16142" max="16142" width="11.7109375" style="153" customWidth="1"/>
    <col min="16143" max="16384" width="11.42578125" style="153"/>
  </cols>
  <sheetData>
    <row r="1" spans="1:14" ht="67.5" customHeight="1" x14ac:dyDescent="0.2">
      <c r="A1" s="682" t="s">
        <v>1526</v>
      </c>
      <c r="B1" s="683"/>
      <c r="C1" s="683"/>
      <c r="D1" s="683"/>
      <c r="E1" s="683"/>
      <c r="F1" s="683"/>
      <c r="G1" s="683"/>
      <c r="H1" s="683"/>
      <c r="I1" s="683"/>
      <c r="J1" s="683"/>
      <c r="K1" s="683"/>
      <c r="L1" s="683"/>
      <c r="M1" s="683"/>
      <c r="N1" s="684"/>
    </row>
    <row r="2" spans="1:14" s="154" customFormat="1" ht="44.25" customHeight="1" x14ac:dyDescent="0.2">
      <c r="A2" s="192"/>
      <c r="B2" s="193" t="s">
        <v>4</v>
      </c>
      <c r="C2" s="194" t="s">
        <v>1418</v>
      </c>
      <c r="D2" s="194" t="s">
        <v>1419</v>
      </c>
      <c r="E2" s="194" t="s">
        <v>1420</v>
      </c>
      <c r="F2" s="194" t="s">
        <v>1540</v>
      </c>
      <c r="G2" s="194" t="s">
        <v>1421</v>
      </c>
      <c r="H2" s="194" t="s">
        <v>1541</v>
      </c>
      <c r="I2" s="194" t="s">
        <v>1422</v>
      </c>
      <c r="J2" s="194" t="s">
        <v>1542</v>
      </c>
      <c r="K2" s="194" t="s">
        <v>1423</v>
      </c>
      <c r="L2" s="194" t="s">
        <v>1543</v>
      </c>
      <c r="M2" s="195" t="s">
        <v>1424</v>
      </c>
      <c r="N2" s="194" t="s">
        <v>1544</v>
      </c>
    </row>
    <row r="3" spans="1:14" s="156" customFormat="1" x14ac:dyDescent="0.25">
      <c r="A3" s="572">
        <v>304</v>
      </c>
      <c r="B3" s="573" t="s">
        <v>1425</v>
      </c>
      <c r="C3" s="574">
        <f>'RESUMEN PROGRAMAS'!E6</f>
        <v>9759340000</v>
      </c>
      <c r="D3" s="575">
        <f>C3/C3</f>
        <v>1</v>
      </c>
      <c r="E3" s="576">
        <f>G3</f>
        <v>358972330</v>
      </c>
      <c r="F3" s="577">
        <f>E3/C3</f>
        <v>3.6782439181338084E-2</v>
      </c>
      <c r="G3" s="576">
        <f>'RESUMEN PROGRAMAS'!G6</f>
        <v>358972330</v>
      </c>
      <c r="H3" s="509">
        <f>G3/C3</f>
        <v>3.6782439181338084E-2</v>
      </c>
      <c r="I3" s="578">
        <f>'RESUMEN PROGRAMAS'!I6</f>
        <v>358972330</v>
      </c>
      <c r="J3" s="509">
        <f>I3/C3</f>
        <v>3.6782439181338084E-2</v>
      </c>
      <c r="K3" s="580">
        <f t="shared" ref="K3:K8" si="0">I3</f>
        <v>358972330</v>
      </c>
      <c r="L3" s="579">
        <f>K3/C3</f>
        <v>3.6782439181338084E-2</v>
      </c>
      <c r="M3" s="581">
        <f t="shared" ref="M3:M15" si="1">C3-E3</f>
        <v>9400367670</v>
      </c>
      <c r="N3" s="582">
        <f>M3/C3</f>
        <v>0.96321756081866194</v>
      </c>
    </row>
    <row r="4" spans="1:14" s="156" customFormat="1" x14ac:dyDescent="0.25">
      <c r="A4" s="572">
        <v>305</v>
      </c>
      <c r="B4" s="573" t="s">
        <v>1275</v>
      </c>
      <c r="C4" s="574">
        <f>'RESUMEN PROGRAMAS'!E12</f>
        <v>1278787082</v>
      </c>
      <c r="D4" s="575">
        <f t="shared" ref="D4:D22" si="2">C4/C4</f>
        <v>1</v>
      </c>
      <c r="E4" s="576">
        <f t="shared" ref="E4:E15" si="3">G4</f>
        <v>1212130248.53</v>
      </c>
      <c r="F4" s="577">
        <f t="shared" ref="F4:F15" si="4">E4/C4</f>
        <v>0.94787495556668433</v>
      </c>
      <c r="G4" s="576">
        <f>'RESUMEN PROGRAMAS'!G12</f>
        <v>1212130248.53</v>
      </c>
      <c r="H4" s="509">
        <f t="shared" ref="H4:H16" si="5">G4/C4</f>
        <v>0.94787495556668433</v>
      </c>
      <c r="I4" s="578">
        <f>'RESUMEN PROGRAMAS'!I12</f>
        <v>1190104251.8299999</v>
      </c>
      <c r="J4" s="509">
        <f t="shared" ref="J4:J20" si="6">I4/C4</f>
        <v>0.93065082419248268</v>
      </c>
      <c r="K4" s="580">
        <f t="shared" si="0"/>
        <v>1190104251.8299999</v>
      </c>
      <c r="L4" s="579">
        <f t="shared" ref="L4:L20" si="7">K4/C4</f>
        <v>0.93065082419248268</v>
      </c>
      <c r="M4" s="581">
        <f t="shared" si="1"/>
        <v>66656833.470000029</v>
      </c>
      <c r="N4" s="582">
        <f t="shared" ref="N4:N15" si="8">M4/C4</f>
        <v>5.2125044433315622E-2</v>
      </c>
    </row>
    <row r="5" spans="1:14" s="156" customFormat="1" x14ac:dyDescent="0.25">
      <c r="A5" s="572">
        <v>307</v>
      </c>
      <c r="B5" s="573" t="s">
        <v>1426</v>
      </c>
      <c r="C5" s="574">
        <f>'RESUMEN PROGRAMAS'!E18</f>
        <v>3898048606.2399998</v>
      </c>
      <c r="D5" s="575">
        <f t="shared" si="2"/>
        <v>1</v>
      </c>
      <c r="E5" s="576">
        <f t="shared" si="3"/>
        <v>3727294869.73</v>
      </c>
      <c r="F5" s="577">
        <f t="shared" si="4"/>
        <v>0.95619507251996372</v>
      </c>
      <c r="G5" s="576">
        <f>'RESUMEN PROGRAMAS'!G18</f>
        <v>3727294869.73</v>
      </c>
      <c r="H5" s="509">
        <f t="shared" si="5"/>
        <v>0.95619507251996372</v>
      </c>
      <c r="I5" s="578">
        <f>'RESUMEN PROGRAMAS'!I18</f>
        <v>3424623024.1800003</v>
      </c>
      <c r="J5" s="509">
        <f t="shared" si="6"/>
        <v>0.87854805573687833</v>
      </c>
      <c r="K5" s="580">
        <f t="shared" si="0"/>
        <v>3424623024.1800003</v>
      </c>
      <c r="L5" s="579">
        <f t="shared" si="7"/>
        <v>0.87854805573687833</v>
      </c>
      <c r="M5" s="581">
        <f t="shared" si="1"/>
        <v>170753736.50999975</v>
      </c>
      <c r="N5" s="582">
        <f t="shared" si="8"/>
        <v>4.3804927480036296E-2</v>
      </c>
    </row>
    <row r="6" spans="1:14" s="156" customFormat="1" x14ac:dyDescent="0.25">
      <c r="A6" s="572">
        <v>308</v>
      </c>
      <c r="B6" s="573" t="s">
        <v>1276</v>
      </c>
      <c r="C6" s="581">
        <f>'RESUMEN PROGRAMAS'!E23</f>
        <v>99269447044.62001</v>
      </c>
      <c r="D6" s="575">
        <f t="shared" si="2"/>
        <v>1</v>
      </c>
      <c r="E6" s="576">
        <f t="shared" si="3"/>
        <v>21244189256.639999</v>
      </c>
      <c r="F6" s="577">
        <f t="shared" si="4"/>
        <v>0.2140053147177407</v>
      </c>
      <c r="G6" s="583">
        <f>'RESUMEN PROGRAMAS'!G23</f>
        <v>21244189256.639999</v>
      </c>
      <c r="H6" s="509">
        <f t="shared" si="5"/>
        <v>0.2140053147177407</v>
      </c>
      <c r="I6" s="578">
        <f>'RESUMEN PROGRAMAS'!I23</f>
        <v>12813040463.540001</v>
      </c>
      <c r="J6" s="509">
        <f t="shared" si="6"/>
        <v>0.12907335383646035</v>
      </c>
      <c r="K6" s="580">
        <f t="shared" si="0"/>
        <v>12813040463.540001</v>
      </c>
      <c r="L6" s="579">
        <f t="shared" si="7"/>
        <v>0.12907335383646035</v>
      </c>
      <c r="M6" s="581">
        <f t="shared" si="1"/>
        <v>78025257787.980011</v>
      </c>
      <c r="N6" s="582">
        <f t="shared" si="8"/>
        <v>0.78599468528225935</v>
      </c>
    </row>
    <row r="7" spans="1:14" s="156" customFormat="1" x14ac:dyDescent="0.25">
      <c r="A7" s="572">
        <v>309</v>
      </c>
      <c r="B7" s="573" t="s">
        <v>1277</v>
      </c>
      <c r="C7" s="581">
        <f>'RESUMEN PROGRAMAS'!E54</f>
        <v>6612694612.1799994</v>
      </c>
      <c r="D7" s="575">
        <f t="shared" si="2"/>
        <v>1</v>
      </c>
      <c r="E7" s="576">
        <f t="shared" si="3"/>
        <v>4549683616.4499998</v>
      </c>
      <c r="F7" s="577">
        <f t="shared" si="4"/>
        <v>0.68802264179414618</v>
      </c>
      <c r="G7" s="583">
        <f>'RESUMEN PROGRAMAS'!G54</f>
        <v>4549683616.4499998</v>
      </c>
      <c r="H7" s="509">
        <f t="shared" si="5"/>
        <v>0.68802264179414618</v>
      </c>
      <c r="I7" s="578">
        <f>'RESUMEN PROGRAMAS'!I54</f>
        <v>3983280360.1799998</v>
      </c>
      <c r="J7" s="509">
        <f t="shared" si="6"/>
        <v>0.60236871559789695</v>
      </c>
      <c r="K7" s="580">
        <f t="shared" si="0"/>
        <v>3983280360.1799998</v>
      </c>
      <c r="L7" s="579">
        <f t="shared" si="7"/>
        <v>0.60236871559789695</v>
      </c>
      <c r="M7" s="581">
        <f t="shared" si="1"/>
        <v>2063010995.7299995</v>
      </c>
      <c r="N7" s="582">
        <f t="shared" si="8"/>
        <v>0.31197735820585387</v>
      </c>
    </row>
    <row r="8" spans="1:14" s="156" customFormat="1" x14ac:dyDescent="0.25">
      <c r="A8" s="572">
        <v>310</v>
      </c>
      <c r="B8" s="573" t="s">
        <v>132</v>
      </c>
      <c r="C8" s="574">
        <f>'RESUMEN PROGRAMAS'!E76</f>
        <v>3921066964.4700003</v>
      </c>
      <c r="D8" s="575">
        <f t="shared" si="2"/>
        <v>1</v>
      </c>
      <c r="E8" s="576">
        <f t="shared" si="3"/>
        <v>3451106037.3400002</v>
      </c>
      <c r="F8" s="577">
        <f t="shared" si="4"/>
        <v>0.88014463119644182</v>
      </c>
      <c r="G8" s="583">
        <f>'RESUMEN PROGRAMAS'!G76</f>
        <v>3451106037.3400002</v>
      </c>
      <c r="H8" s="509">
        <f t="shared" si="5"/>
        <v>0.88014463119644182</v>
      </c>
      <c r="I8" s="578">
        <f>'RESUMEN PROGRAMAS'!I76</f>
        <v>3437118732.5</v>
      </c>
      <c r="J8" s="509">
        <f t="shared" si="6"/>
        <v>0.87657741212909523</v>
      </c>
      <c r="K8" s="580">
        <f t="shared" si="0"/>
        <v>3437118732.5</v>
      </c>
      <c r="L8" s="579">
        <f t="shared" si="7"/>
        <v>0.87657741212909523</v>
      </c>
      <c r="M8" s="581">
        <f t="shared" si="1"/>
        <v>469960927.13000011</v>
      </c>
      <c r="N8" s="582">
        <f t="shared" si="8"/>
        <v>0.11985536880355815</v>
      </c>
    </row>
    <row r="9" spans="1:14" s="156" customFormat="1" ht="19.5" customHeight="1" x14ac:dyDescent="0.25">
      <c r="A9" s="572">
        <v>311</v>
      </c>
      <c r="B9" s="584" t="s">
        <v>1278</v>
      </c>
      <c r="C9" s="574">
        <f>'RESUMEN PROGRAMAS'!E82</f>
        <v>3366376735.1100001</v>
      </c>
      <c r="D9" s="575">
        <f t="shared" si="2"/>
        <v>1</v>
      </c>
      <c r="E9" s="576">
        <f t="shared" si="3"/>
        <v>2611899246.9899998</v>
      </c>
      <c r="F9" s="577">
        <f t="shared" si="4"/>
        <v>0.77587847484475114</v>
      </c>
      <c r="G9" s="583">
        <f>'RESUMEN PROGRAMAS'!G82</f>
        <v>2611899246.9899998</v>
      </c>
      <c r="H9" s="509">
        <f t="shared" si="5"/>
        <v>0.77587847484475114</v>
      </c>
      <c r="I9" s="578">
        <f>'RESUMEN PROGRAMAS'!I82</f>
        <v>2309275832.9499998</v>
      </c>
      <c r="J9" s="509">
        <f t="shared" si="6"/>
        <v>0.68598259038126985</v>
      </c>
      <c r="K9" s="580">
        <f t="shared" ref="K9:K15" si="9">I9</f>
        <v>2309275832.9499998</v>
      </c>
      <c r="L9" s="579">
        <f t="shared" si="7"/>
        <v>0.68598259038126985</v>
      </c>
      <c r="M9" s="581">
        <f t="shared" si="1"/>
        <v>754477488.12000036</v>
      </c>
      <c r="N9" s="582">
        <f t="shared" si="8"/>
        <v>0.22412152515524883</v>
      </c>
    </row>
    <row r="10" spans="1:14" s="156" customFormat="1" ht="25.5" x14ac:dyDescent="0.25">
      <c r="A10" s="572">
        <v>312</v>
      </c>
      <c r="B10" s="584" t="s">
        <v>1427</v>
      </c>
      <c r="C10" s="574">
        <f>'RESUMEN PROGRAMAS'!E89</f>
        <v>4664234480.8400002</v>
      </c>
      <c r="D10" s="575">
        <f t="shared" si="2"/>
        <v>1</v>
      </c>
      <c r="E10" s="576">
        <f t="shared" si="3"/>
        <v>3043611763.2299995</v>
      </c>
      <c r="F10" s="577">
        <f t="shared" si="4"/>
        <v>0.65254261459896923</v>
      </c>
      <c r="G10" s="583">
        <f>'RESUMEN PROGRAMAS'!G89</f>
        <v>3043611763.2299995</v>
      </c>
      <c r="H10" s="509">
        <f t="shared" si="5"/>
        <v>0.65254261459896923</v>
      </c>
      <c r="I10" s="578">
        <f>'RESUMEN PROGRAMAS'!I89</f>
        <v>3015547168.5899997</v>
      </c>
      <c r="J10" s="509">
        <f t="shared" si="6"/>
        <v>0.64652563694587628</v>
      </c>
      <c r="K10" s="580">
        <f t="shared" si="9"/>
        <v>3015547168.5899997</v>
      </c>
      <c r="L10" s="579">
        <f t="shared" si="7"/>
        <v>0.64652563694587628</v>
      </c>
      <c r="M10" s="581">
        <f t="shared" si="1"/>
        <v>1620622717.6100006</v>
      </c>
      <c r="N10" s="582">
        <f t="shared" si="8"/>
        <v>0.34745738540103077</v>
      </c>
    </row>
    <row r="11" spans="1:14" s="157" customFormat="1" x14ac:dyDescent="0.25">
      <c r="A11" s="585">
        <v>313</v>
      </c>
      <c r="B11" s="573" t="s">
        <v>1494</v>
      </c>
      <c r="C11" s="586">
        <f>'RESUMEN PROGRAMAS'!E109</f>
        <v>2672052800</v>
      </c>
      <c r="D11" s="575">
        <f t="shared" si="2"/>
        <v>1</v>
      </c>
      <c r="E11" s="576">
        <f t="shared" si="3"/>
        <v>2265396855.1300001</v>
      </c>
      <c r="F11" s="577">
        <f t="shared" si="4"/>
        <v>0.84781141118543768</v>
      </c>
      <c r="G11" s="583">
        <f>'RESUMEN PROGRAMAS'!G109</f>
        <v>2265396855.1300001</v>
      </c>
      <c r="H11" s="509">
        <f t="shared" si="5"/>
        <v>0.84781141118543768</v>
      </c>
      <c r="I11" s="578">
        <f>'RESUMEN PROGRAMAS'!I111</f>
        <v>2254546850.98</v>
      </c>
      <c r="J11" s="509">
        <f t="shared" si="6"/>
        <v>0.84375086112819331</v>
      </c>
      <c r="K11" s="580">
        <f t="shared" si="9"/>
        <v>2254546850.98</v>
      </c>
      <c r="L11" s="579">
        <f t="shared" si="7"/>
        <v>0.84375086112819331</v>
      </c>
      <c r="M11" s="581">
        <f t="shared" si="1"/>
        <v>406655944.86999989</v>
      </c>
      <c r="N11" s="582">
        <f t="shared" si="8"/>
        <v>0.15218858881456229</v>
      </c>
    </row>
    <row r="12" spans="1:14" s="157" customFormat="1" x14ac:dyDescent="0.25">
      <c r="A12" s="585">
        <v>314</v>
      </c>
      <c r="B12" s="573" t="s">
        <v>124</v>
      </c>
      <c r="C12" s="587">
        <f>'RESUMEN PROGRAMAS'!E115</f>
        <v>196347005987.70999</v>
      </c>
      <c r="D12" s="575">
        <f t="shared" si="2"/>
        <v>1</v>
      </c>
      <c r="E12" s="576">
        <f t="shared" si="3"/>
        <v>193873956157.17996</v>
      </c>
      <c r="F12" s="577">
        <f t="shared" si="4"/>
        <v>0.98740469803402642</v>
      </c>
      <c r="G12" s="583">
        <f>'RESUMEN PROGRAMAS'!G115</f>
        <v>193873956157.17996</v>
      </c>
      <c r="H12" s="509">
        <f t="shared" si="5"/>
        <v>0.98740469803402642</v>
      </c>
      <c r="I12" s="578">
        <f>'RESUMEN PROGRAMAS'!I115</f>
        <v>191120032866.86996</v>
      </c>
      <c r="J12" s="509">
        <f t="shared" si="6"/>
        <v>0.97337890081620493</v>
      </c>
      <c r="K12" s="580">
        <f t="shared" si="9"/>
        <v>191120032866.86996</v>
      </c>
      <c r="L12" s="579">
        <f t="shared" si="7"/>
        <v>0.97337890081620493</v>
      </c>
      <c r="M12" s="581">
        <f t="shared" si="1"/>
        <v>2473049830.5300293</v>
      </c>
      <c r="N12" s="582">
        <f t="shared" si="8"/>
        <v>1.2595301965973577E-2</v>
      </c>
    </row>
    <row r="13" spans="1:14" s="156" customFormat="1" x14ac:dyDescent="0.25">
      <c r="A13" s="572">
        <v>316</v>
      </c>
      <c r="B13" s="573" t="s">
        <v>1279</v>
      </c>
      <c r="C13" s="586">
        <f>'RESUMEN PROGRAMAS'!E124</f>
        <v>9813525250.4799995</v>
      </c>
      <c r="D13" s="575">
        <f t="shared" si="2"/>
        <v>1</v>
      </c>
      <c r="E13" s="576">
        <f t="shared" si="3"/>
        <v>8815268025.170002</v>
      </c>
      <c r="F13" s="577">
        <f t="shared" si="4"/>
        <v>0.8982774079822976</v>
      </c>
      <c r="G13" s="583">
        <f>'RESUMEN PROGRAMAS'!G124</f>
        <v>8815268025.170002</v>
      </c>
      <c r="H13" s="509">
        <f t="shared" si="5"/>
        <v>0.8982774079822976</v>
      </c>
      <c r="I13" s="578">
        <f>'RESUMEN PROGRAMAS'!I124</f>
        <v>8768692425.170002</v>
      </c>
      <c r="J13" s="509">
        <f t="shared" si="6"/>
        <v>0.89353134590865879</v>
      </c>
      <c r="K13" s="580">
        <f t="shared" si="9"/>
        <v>8768692425.170002</v>
      </c>
      <c r="L13" s="579">
        <f t="shared" si="7"/>
        <v>0.89353134590865879</v>
      </c>
      <c r="M13" s="581">
        <f t="shared" si="1"/>
        <v>998257225.30999756</v>
      </c>
      <c r="N13" s="582">
        <f t="shared" si="8"/>
        <v>0.10172259201770238</v>
      </c>
    </row>
    <row r="14" spans="1:14" s="156" customFormat="1" x14ac:dyDescent="0.25">
      <c r="A14" s="572">
        <v>318</v>
      </c>
      <c r="B14" s="573" t="s">
        <v>1280</v>
      </c>
      <c r="C14" s="574">
        <f>'RESUMEN PROGRAMAS'!E143</f>
        <v>75585964556.720001</v>
      </c>
      <c r="D14" s="575">
        <f t="shared" si="2"/>
        <v>1</v>
      </c>
      <c r="E14" s="576">
        <f t="shared" si="3"/>
        <v>70267070745.26001</v>
      </c>
      <c r="F14" s="577">
        <f t="shared" si="4"/>
        <v>0.92963119750269674</v>
      </c>
      <c r="G14" s="583">
        <f>'RESUMEN PROGRAMAS'!G143</f>
        <v>70267070745.26001</v>
      </c>
      <c r="H14" s="509">
        <f t="shared" si="5"/>
        <v>0.92963119750269674</v>
      </c>
      <c r="I14" s="578">
        <f>'RESUMEN PROGRAMAS'!I143</f>
        <v>69609471626.580002</v>
      </c>
      <c r="J14" s="509">
        <f t="shared" si="6"/>
        <v>0.92093118126904083</v>
      </c>
      <c r="K14" s="580">
        <f t="shared" si="9"/>
        <v>69609471626.580002</v>
      </c>
      <c r="L14" s="579">
        <f t="shared" si="7"/>
        <v>0.92093118126904083</v>
      </c>
      <c r="M14" s="581">
        <f t="shared" si="1"/>
        <v>5318893811.4599915</v>
      </c>
      <c r="N14" s="582">
        <f t="shared" si="8"/>
        <v>7.0368802497303221E-2</v>
      </c>
    </row>
    <row r="15" spans="1:14" s="156" customFormat="1" ht="25.5" x14ac:dyDescent="0.25">
      <c r="A15" s="572">
        <v>324</v>
      </c>
      <c r="B15" s="584" t="s">
        <v>1428</v>
      </c>
      <c r="C15" s="574">
        <f>'RESUMEN PROGRAMAS'!E150</f>
        <v>1713227031</v>
      </c>
      <c r="D15" s="575">
        <f t="shared" si="2"/>
        <v>1</v>
      </c>
      <c r="E15" s="576">
        <f t="shared" si="3"/>
        <v>1677051604.0900002</v>
      </c>
      <c r="F15" s="577">
        <f t="shared" si="4"/>
        <v>0.97888462751554617</v>
      </c>
      <c r="G15" s="583">
        <f>'RESUMEN PROGRAMAS'!G150</f>
        <v>1677051604.0900002</v>
      </c>
      <c r="H15" s="509">
        <f t="shared" si="5"/>
        <v>0.97888462751554617</v>
      </c>
      <c r="I15" s="578">
        <f>'RESUMEN PROGRAMAS'!I150</f>
        <v>1655991566.0900002</v>
      </c>
      <c r="J15" s="509">
        <f t="shared" si="6"/>
        <v>0.96659201385785287</v>
      </c>
      <c r="K15" s="580">
        <f t="shared" si="9"/>
        <v>1655991566.0900002</v>
      </c>
      <c r="L15" s="579">
        <f t="shared" si="7"/>
        <v>0.96659201385785287</v>
      </c>
      <c r="M15" s="581">
        <f t="shared" si="1"/>
        <v>36175426.909999847</v>
      </c>
      <c r="N15" s="582">
        <f t="shared" si="8"/>
        <v>2.1115372484453783E-2</v>
      </c>
    </row>
    <row r="16" spans="1:14" s="158" customFormat="1" ht="16.5" customHeight="1" x14ac:dyDescent="0.25">
      <c r="A16" s="588"/>
      <c r="B16" s="588" t="s">
        <v>1429</v>
      </c>
      <c r="C16" s="589">
        <f>SUM(C3:C15)</f>
        <v>418901771151.37</v>
      </c>
      <c r="D16" s="590">
        <f t="shared" si="2"/>
        <v>1</v>
      </c>
      <c r="E16" s="589">
        <f>SUM(E3:E15)</f>
        <v>317097630755.74005</v>
      </c>
      <c r="F16" s="591">
        <f>E16/C16</f>
        <v>0.75697371697470561</v>
      </c>
      <c r="G16" s="589">
        <f>SUM(G3:G15)</f>
        <v>317097630755.74005</v>
      </c>
      <c r="H16" s="509">
        <f t="shared" si="5"/>
        <v>0.75697371697470561</v>
      </c>
      <c r="I16" s="589">
        <f>SUM(I3:I15)</f>
        <v>303940697499.46002</v>
      </c>
      <c r="J16" s="509">
        <f t="shared" si="6"/>
        <v>0.72556555839825077</v>
      </c>
      <c r="K16" s="589">
        <f>SUM(K3:K15)</f>
        <v>303940697499.46002</v>
      </c>
      <c r="L16" s="592">
        <f t="shared" si="7"/>
        <v>0.72556555839825077</v>
      </c>
      <c r="M16" s="589">
        <f>SUM(M3:M15)</f>
        <v>101804140395.63002</v>
      </c>
      <c r="N16" s="591">
        <f>M16/C16</f>
        <v>0.24302628302529458</v>
      </c>
    </row>
    <row r="17" spans="1:17" x14ac:dyDescent="0.2">
      <c r="A17" s="572">
        <v>319</v>
      </c>
      <c r="B17" s="573" t="s">
        <v>1430</v>
      </c>
      <c r="C17" s="586">
        <f>'RESUMEN PROGRAMAS'!E165</f>
        <v>6744858478.1300011</v>
      </c>
      <c r="D17" s="575">
        <f t="shared" si="2"/>
        <v>1</v>
      </c>
      <c r="E17" s="593">
        <v>6413513299.9299984</v>
      </c>
      <c r="F17" s="577">
        <f>E17/C17</f>
        <v>0.95087440614589924</v>
      </c>
      <c r="G17" s="583">
        <f>'RESUMEN PROGRAMAS'!G165</f>
        <v>6061375487.4200001</v>
      </c>
      <c r="H17" s="509">
        <f>G17/C17</f>
        <v>0.89866607388039732</v>
      </c>
      <c r="I17" s="578">
        <f>'RESUMEN PROGRAMAS'!I165</f>
        <v>5604257003</v>
      </c>
      <c r="J17" s="509">
        <f t="shared" si="6"/>
        <v>0.83089319385597682</v>
      </c>
      <c r="K17" s="580">
        <v>5604257003.5100002</v>
      </c>
      <c r="L17" s="579">
        <f t="shared" si="7"/>
        <v>0.83089319393159</v>
      </c>
      <c r="M17" s="581">
        <f>C17-E17</f>
        <v>331345178.20000267</v>
      </c>
      <c r="N17" s="582">
        <f>M17/C17</f>
        <v>4.9125593854100771E-2</v>
      </c>
    </row>
    <row r="18" spans="1:17" s="159" customFormat="1" x14ac:dyDescent="0.2">
      <c r="A18" s="572">
        <v>320</v>
      </c>
      <c r="B18" s="573" t="s">
        <v>1491</v>
      </c>
      <c r="C18" s="574">
        <f>'RESUMEN PROGRAMAS'!E171</f>
        <v>3175054512</v>
      </c>
      <c r="D18" s="575">
        <f t="shared" si="2"/>
        <v>1</v>
      </c>
      <c r="E18" s="593">
        <v>2201182859.0200005</v>
      </c>
      <c r="F18" s="577">
        <f>E18/C18</f>
        <v>0.69327403693407841</v>
      </c>
      <c r="G18" s="583">
        <f>'RESUMEN PROGRAMAS'!G171</f>
        <v>1653436281.1399999</v>
      </c>
      <c r="H18" s="509">
        <f>G18/C18</f>
        <v>0.52075839167198523</v>
      </c>
      <c r="I18" s="578">
        <f>'RESUMEN PROGRAMAS'!I171</f>
        <v>1503885425.1399999</v>
      </c>
      <c r="J18" s="509">
        <f t="shared" si="6"/>
        <v>0.47365656855846761</v>
      </c>
      <c r="K18" s="580">
        <v>1296763500.7</v>
      </c>
      <c r="L18" s="579">
        <f t="shared" si="7"/>
        <v>0.40842243677988233</v>
      </c>
      <c r="M18" s="581">
        <f>C18-E18</f>
        <v>973871652.97999954</v>
      </c>
      <c r="N18" s="582">
        <f>M18/C18</f>
        <v>0.30672596306592154</v>
      </c>
    </row>
    <row r="19" spans="1:17" s="159" customFormat="1" x14ac:dyDescent="0.2">
      <c r="A19" s="572">
        <v>321</v>
      </c>
      <c r="B19" s="584" t="s">
        <v>1431</v>
      </c>
      <c r="C19" s="574">
        <f>'RESUMEN PROGRAMAS'!E186</f>
        <v>113516300</v>
      </c>
      <c r="D19" s="575">
        <f t="shared" si="2"/>
        <v>1</v>
      </c>
      <c r="E19" s="593">
        <f>G19</f>
        <v>112804044</v>
      </c>
      <c r="F19" s="577">
        <f>E19/C19</f>
        <v>0.9937255178331218</v>
      </c>
      <c r="G19" s="583">
        <f>'RESUMEN PROGRAMAS'!G186</f>
        <v>112804044</v>
      </c>
      <c r="H19" s="509">
        <f>G19/C19</f>
        <v>0.9937255178331218</v>
      </c>
      <c r="I19" s="578">
        <f>'RESUMEN PROGRAMAS'!I186</f>
        <v>112804044</v>
      </c>
      <c r="J19" s="509">
        <f t="shared" si="6"/>
        <v>0.9937255178331218</v>
      </c>
      <c r="K19" s="580">
        <f>I19</f>
        <v>112804044</v>
      </c>
      <c r="L19" s="579">
        <f t="shared" si="7"/>
        <v>0.9937255178331218</v>
      </c>
      <c r="M19" s="581">
        <f>C19-E19</f>
        <v>712256</v>
      </c>
      <c r="N19" s="582">
        <f>M19/C19</f>
        <v>6.2744821668782366E-3</v>
      </c>
    </row>
    <row r="20" spans="1:17" s="159" customFormat="1" x14ac:dyDescent="0.2">
      <c r="A20" s="594"/>
      <c r="B20" s="595" t="s">
        <v>1432</v>
      </c>
      <c r="C20" s="589">
        <f>SUM(C17:C19)</f>
        <v>10033429290.130001</v>
      </c>
      <c r="D20" s="590">
        <f t="shared" si="2"/>
        <v>1</v>
      </c>
      <c r="E20" s="589">
        <f>SUM(E17:E19)</f>
        <v>8727500202.9499989</v>
      </c>
      <c r="F20" s="591">
        <f>E20/C20</f>
        <v>0.86984219956932773</v>
      </c>
      <c r="G20" s="589">
        <f>SUM(G17:G19)</f>
        <v>7827615812.5599995</v>
      </c>
      <c r="H20" s="596">
        <f>G20/C20</f>
        <v>0.78015358320809758</v>
      </c>
      <c r="I20" s="589">
        <f>SUM(I17:I19)</f>
        <v>7220946472.1399994</v>
      </c>
      <c r="J20" s="509">
        <f t="shared" si="6"/>
        <v>0.7196887787153019</v>
      </c>
      <c r="K20" s="589">
        <f>SUM(K17:K19)</f>
        <v>7013824548.21</v>
      </c>
      <c r="L20" s="592">
        <f t="shared" si="7"/>
        <v>0.69904559501999775</v>
      </c>
      <c r="M20" s="589">
        <f>SUM(M17:M19)</f>
        <v>1305929087.1800022</v>
      </c>
      <c r="N20" s="591">
        <f>M20/C20</f>
        <v>0.13015780043067224</v>
      </c>
    </row>
    <row r="21" spans="1:17" s="159" customFormat="1" x14ac:dyDescent="0.2">
      <c r="A21" s="153"/>
      <c r="B21" s="160"/>
      <c r="C21" s="161"/>
      <c r="D21" s="162"/>
      <c r="E21" s="162"/>
      <c r="F21" s="163"/>
      <c r="H21" s="164"/>
      <c r="J21" s="164"/>
      <c r="L21" s="164"/>
      <c r="N21" s="165"/>
    </row>
    <row r="22" spans="1:17" s="159" customFormat="1" x14ac:dyDescent="0.2">
      <c r="A22" s="597"/>
      <c r="B22" s="598" t="s">
        <v>1433</v>
      </c>
      <c r="C22" s="599">
        <f>C16+C20</f>
        <v>428935200441.5</v>
      </c>
      <c r="D22" s="600">
        <f t="shared" si="2"/>
        <v>1</v>
      </c>
      <c r="E22" s="599">
        <f>E16+E20</f>
        <v>325825130958.69006</v>
      </c>
      <c r="F22" s="601">
        <f>E22/C22</f>
        <v>0.75961387786155232</v>
      </c>
      <c r="G22" s="599">
        <f>G16+G20</f>
        <v>324925246568.30005</v>
      </c>
      <c r="H22" s="602">
        <f>G22/C22</f>
        <v>0.75751592835900805</v>
      </c>
      <c r="I22" s="599">
        <f>I16+I20</f>
        <v>311161643971.60004</v>
      </c>
      <c r="J22" s="509">
        <f>I22/C22</f>
        <v>0.72542809182208301</v>
      </c>
      <c r="K22" s="599">
        <f>K16+K20</f>
        <v>310954522047.67004</v>
      </c>
      <c r="L22" s="603">
        <f>K22/C22</f>
        <v>0.72494521719739191</v>
      </c>
      <c r="M22" s="599">
        <f>M16+M20</f>
        <v>103110069482.81003</v>
      </c>
      <c r="N22" s="601">
        <f>M22/C22</f>
        <v>0.24038612213844784</v>
      </c>
    </row>
    <row r="23" spans="1:17" s="310" customFormat="1" ht="14.25" x14ac:dyDescent="0.2">
      <c r="A23" s="305"/>
      <c r="B23" s="305"/>
      <c r="C23" s="306"/>
      <c r="D23" s="307"/>
      <c r="E23" s="306"/>
      <c r="F23" s="308"/>
      <c r="G23" s="306"/>
      <c r="H23" s="306"/>
      <c r="I23" s="306"/>
      <c r="J23" s="309"/>
      <c r="K23" s="306"/>
      <c r="L23" s="309"/>
      <c r="M23" s="306"/>
      <c r="N23" s="308"/>
    </row>
    <row r="24" spans="1:17" s="159" customFormat="1" ht="15" x14ac:dyDescent="0.25">
      <c r="A24" s="153"/>
      <c r="B24" s="605" t="s">
        <v>1434</v>
      </c>
      <c r="C24" s="606" t="s">
        <v>1273</v>
      </c>
      <c r="D24" s="607" t="s">
        <v>1435</v>
      </c>
      <c r="E24" s="168"/>
      <c r="F24" s="168"/>
      <c r="K24" s="169"/>
      <c r="M24" s="166"/>
      <c r="N24" s="167"/>
      <c r="O24" s="168"/>
      <c r="P24" s="170"/>
      <c r="Q24" s="170"/>
    </row>
    <row r="25" spans="1:17" s="159" customFormat="1" ht="16.5" thickBot="1" x14ac:dyDescent="0.3">
      <c r="A25" s="153"/>
      <c r="B25" s="171" t="s">
        <v>1436</v>
      </c>
      <c r="C25" s="172">
        <f>C16</f>
        <v>418901771151.37</v>
      </c>
      <c r="D25" s="173">
        <f>C25/C25</f>
        <v>1</v>
      </c>
      <c r="E25" s="173"/>
      <c r="F25" s="174"/>
      <c r="M25" s="175"/>
      <c r="N25" s="176"/>
      <c r="O25" s="174"/>
      <c r="P25" s="170"/>
      <c r="Q25" s="170"/>
    </row>
    <row r="26" spans="1:17" s="159" customFormat="1" ht="15.75" x14ac:dyDescent="0.25">
      <c r="A26" s="153"/>
      <c r="B26" s="171" t="s">
        <v>1437</v>
      </c>
      <c r="C26" s="172">
        <f>E16</f>
        <v>317097630755.74005</v>
      </c>
      <c r="D26" s="608">
        <f>C26/C25</f>
        <v>0.75697371697470561</v>
      </c>
      <c r="E26" s="685" t="s">
        <v>1438</v>
      </c>
      <c r="F26" s="686"/>
      <c r="G26" s="170"/>
      <c r="M26" s="175"/>
      <c r="N26" s="176"/>
      <c r="O26" s="177"/>
      <c r="P26" s="170"/>
      <c r="Q26" s="170"/>
    </row>
    <row r="27" spans="1:17" s="159" customFormat="1" ht="15.75" x14ac:dyDescent="0.25">
      <c r="A27" s="153"/>
      <c r="B27" s="171" t="s">
        <v>1439</v>
      </c>
      <c r="C27" s="172">
        <f>G16</f>
        <v>317097630755.74005</v>
      </c>
      <c r="D27" s="609">
        <f>C27/C25</f>
        <v>0.75697371697470561</v>
      </c>
      <c r="E27" s="687" t="s">
        <v>1440</v>
      </c>
      <c r="F27" s="688"/>
      <c r="G27" s="170"/>
      <c r="M27" s="175"/>
      <c r="N27" s="176"/>
      <c r="O27" s="178"/>
      <c r="P27" s="170"/>
      <c r="Q27" s="170"/>
    </row>
    <row r="28" spans="1:17" s="159" customFormat="1" ht="15.75" x14ac:dyDescent="0.25">
      <c r="A28" s="153"/>
      <c r="B28" s="171" t="s">
        <v>1441</v>
      </c>
      <c r="C28" s="172">
        <f>I16</f>
        <v>303940697499.46002</v>
      </c>
      <c r="D28" s="609">
        <f>C28/C25</f>
        <v>0.72556555839825077</v>
      </c>
      <c r="E28" s="689" t="s">
        <v>1442</v>
      </c>
      <c r="F28" s="690"/>
      <c r="G28" s="170"/>
      <c r="M28" s="175"/>
      <c r="N28" s="176"/>
      <c r="O28" s="178"/>
      <c r="P28" s="170"/>
      <c r="Q28" s="170"/>
    </row>
    <row r="29" spans="1:17" s="159" customFormat="1" ht="15.75" x14ac:dyDescent="0.25">
      <c r="A29" s="153"/>
      <c r="B29" s="171" t="s">
        <v>1443</v>
      </c>
      <c r="C29" s="172">
        <f>K16</f>
        <v>303940697499.46002</v>
      </c>
      <c r="D29" s="609">
        <f>C29/C25</f>
        <v>0.72556555839825077</v>
      </c>
      <c r="E29" s="691" t="s">
        <v>1444</v>
      </c>
      <c r="F29" s="692"/>
      <c r="G29" s="170"/>
      <c r="M29" s="175"/>
      <c r="N29" s="176"/>
      <c r="O29" s="178"/>
      <c r="P29" s="170"/>
      <c r="Q29" s="170"/>
    </row>
    <row r="30" spans="1:17" ht="15.75" x14ac:dyDescent="0.25">
      <c r="B30" s="179" t="s">
        <v>1445</v>
      </c>
      <c r="C30" s="172">
        <f>M16</f>
        <v>101804140395.63002</v>
      </c>
      <c r="D30" s="609">
        <f>C30/C25</f>
        <v>0.24302628302529458</v>
      </c>
      <c r="E30" s="693" t="s">
        <v>1446</v>
      </c>
      <c r="F30" s="694"/>
      <c r="G30" s="170"/>
      <c r="M30" s="180"/>
      <c r="N30" s="176"/>
      <c r="O30" s="178"/>
      <c r="P30" s="181"/>
      <c r="Q30" s="181"/>
    </row>
    <row r="31" spans="1:17" ht="15" x14ac:dyDescent="0.2">
      <c r="B31" s="610"/>
      <c r="C31" s="611"/>
      <c r="D31" s="611"/>
      <c r="E31" s="680" t="s">
        <v>1447</v>
      </c>
      <c r="F31" s="681"/>
      <c r="G31" s="170"/>
      <c r="M31" s="170"/>
      <c r="N31" s="181"/>
      <c r="O31" s="181"/>
      <c r="P31" s="181"/>
      <c r="Q31" s="181"/>
    </row>
    <row r="32" spans="1:17" x14ac:dyDescent="0.2">
      <c r="B32" s="182"/>
      <c r="C32" s="183"/>
      <c r="D32" s="184"/>
      <c r="E32" s="185"/>
      <c r="F32" s="185"/>
      <c r="G32" s="170"/>
      <c r="M32" s="170"/>
      <c r="N32" s="181"/>
      <c r="O32" s="181"/>
      <c r="P32" s="181"/>
      <c r="Q32" s="181"/>
    </row>
    <row r="33" spans="1:17" x14ac:dyDescent="0.2">
      <c r="B33" s="182"/>
      <c r="C33" s="183"/>
      <c r="D33" s="184"/>
      <c r="E33" s="185"/>
      <c r="F33" s="185"/>
      <c r="G33" s="170"/>
      <c r="M33" s="170"/>
      <c r="N33" s="181"/>
      <c r="O33" s="181"/>
      <c r="P33" s="181"/>
      <c r="Q33" s="181"/>
    </row>
    <row r="34" spans="1:17" ht="15" x14ac:dyDescent="0.2">
      <c r="B34" s="182" t="s">
        <v>1448</v>
      </c>
      <c r="C34" s="172">
        <f>C20</f>
        <v>10033429290.130001</v>
      </c>
      <c r="D34" s="173">
        <f>C34/C34</f>
        <v>1</v>
      </c>
      <c r="E34" s="185"/>
      <c r="F34" s="185"/>
      <c r="G34" s="170"/>
      <c r="M34" s="170"/>
      <c r="N34" s="181"/>
      <c r="O34" s="181"/>
      <c r="P34" s="181"/>
      <c r="Q34" s="181"/>
    </row>
    <row r="35" spans="1:17" ht="15.75" x14ac:dyDescent="0.25">
      <c r="B35" s="171" t="s">
        <v>1437</v>
      </c>
      <c r="C35" s="172">
        <f>E20</f>
        <v>8727500202.9499989</v>
      </c>
      <c r="D35" s="608">
        <f>C35/C34</f>
        <v>0.86984219956932773</v>
      </c>
      <c r="E35" s="185"/>
      <c r="F35" s="185"/>
      <c r="G35" s="170"/>
      <c r="M35" s="170"/>
      <c r="N35" s="181"/>
      <c r="O35" s="181"/>
      <c r="P35" s="181"/>
      <c r="Q35" s="181"/>
    </row>
    <row r="36" spans="1:17" ht="15.75" x14ac:dyDescent="0.25">
      <c r="B36" s="171" t="s">
        <v>1439</v>
      </c>
      <c r="C36" s="172">
        <f>G20</f>
        <v>7827615812.5599995</v>
      </c>
      <c r="D36" s="609">
        <f>C36/C34</f>
        <v>0.78015358320809758</v>
      </c>
      <c r="E36" s="185"/>
      <c r="F36" s="185"/>
      <c r="G36" s="170"/>
      <c r="M36" s="170"/>
      <c r="N36" s="181"/>
      <c r="O36" s="181"/>
      <c r="P36" s="181"/>
      <c r="Q36" s="181"/>
    </row>
    <row r="37" spans="1:17" ht="15.75" x14ac:dyDescent="0.25">
      <c r="B37" s="171" t="s">
        <v>1441</v>
      </c>
      <c r="C37" s="172">
        <f>I20</f>
        <v>7220946472.1399994</v>
      </c>
      <c r="D37" s="609">
        <f>C37/C34</f>
        <v>0.7196887787153019</v>
      </c>
      <c r="E37" s="185"/>
      <c r="F37" s="185"/>
      <c r="G37" s="170"/>
      <c r="M37" s="170"/>
      <c r="N37" s="181"/>
      <c r="O37" s="181"/>
      <c r="P37" s="181"/>
      <c r="Q37" s="181"/>
    </row>
    <row r="38" spans="1:17" ht="15.75" x14ac:dyDescent="0.25">
      <c r="B38" s="171" t="s">
        <v>1443</v>
      </c>
      <c r="C38" s="172">
        <f>K20</f>
        <v>7013824548.21</v>
      </c>
      <c r="D38" s="609">
        <f>C38/C34</f>
        <v>0.69904559501999775</v>
      </c>
      <c r="E38" s="185"/>
      <c r="F38" s="185"/>
      <c r="G38" s="170"/>
      <c r="M38" s="170"/>
      <c r="N38" s="181"/>
      <c r="O38" s="181"/>
      <c r="P38" s="181"/>
      <c r="Q38" s="181"/>
    </row>
    <row r="39" spans="1:17" ht="15.75" x14ac:dyDescent="0.25">
      <c r="B39" s="179" t="s">
        <v>1445</v>
      </c>
      <c r="C39" s="172">
        <f>M20</f>
        <v>1305929087.1800022</v>
      </c>
      <c r="D39" s="609">
        <f>C39/C34</f>
        <v>0.13015780043067224</v>
      </c>
      <c r="E39" s="185"/>
      <c r="F39" s="185"/>
      <c r="G39" s="170"/>
      <c r="M39" s="170"/>
      <c r="N39" s="181"/>
      <c r="O39" s="181"/>
      <c r="P39" s="181"/>
      <c r="Q39" s="181"/>
    </row>
    <row r="40" spans="1:17" x14ac:dyDescent="0.2">
      <c r="B40" s="182"/>
      <c r="C40" s="183"/>
      <c r="D40" s="183"/>
      <c r="E40" s="162"/>
      <c r="F40" s="162"/>
      <c r="G40" s="170"/>
      <c r="M40" s="170"/>
      <c r="N40" s="181"/>
      <c r="O40" s="181"/>
      <c r="P40" s="181"/>
      <c r="Q40" s="181"/>
    </row>
    <row r="41" spans="1:17" s="159" customFormat="1" x14ac:dyDescent="0.2">
      <c r="A41" s="153"/>
      <c r="B41" s="182"/>
      <c r="C41" s="183"/>
      <c r="D41" s="183"/>
      <c r="E41" s="162"/>
      <c r="F41" s="162"/>
      <c r="G41" s="170"/>
      <c r="N41" s="153"/>
      <c r="O41" s="153"/>
      <c r="P41" s="153"/>
      <c r="Q41" s="153"/>
    </row>
    <row r="42" spans="1:17" s="159" customFormat="1" x14ac:dyDescent="0.2">
      <c r="A42" s="153"/>
      <c r="B42" s="610"/>
      <c r="C42" s="611"/>
      <c r="D42" s="611"/>
      <c r="E42" s="170"/>
      <c r="F42" s="170"/>
      <c r="G42" s="170"/>
      <c r="N42" s="153"/>
      <c r="O42" s="153"/>
      <c r="P42" s="153"/>
      <c r="Q42" s="153"/>
    </row>
    <row r="43" spans="1:17" x14ac:dyDescent="0.2">
      <c r="B43" s="610"/>
      <c r="C43" s="611"/>
      <c r="D43" s="611"/>
      <c r="E43" s="170"/>
      <c r="F43" s="170"/>
      <c r="G43" s="170"/>
    </row>
    <row r="44" spans="1:17" x14ac:dyDescent="0.2">
      <c r="B44" s="610"/>
      <c r="C44" s="611"/>
      <c r="D44" s="611"/>
      <c r="E44" s="170"/>
      <c r="F44" s="170"/>
      <c r="G44" s="170"/>
    </row>
    <row r="45" spans="1:17" x14ac:dyDescent="0.2">
      <c r="B45" s="610"/>
      <c r="C45" s="611"/>
      <c r="D45" s="611"/>
      <c r="E45" s="170"/>
      <c r="F45" s="170"/>
      <c r="G45" s="170"/>
    </row>
    <row r="46" spans="1:17" x14ac:dyDescent="0.2">
      <c r="B46" s="610"/>
      <c r="C46" s="611"/>
      <c r="D46" s="611"/>
      <c r="E46" s="170"/>
      <c r="F46" s="170"/>
      <c r="G46" s="170"/>
    </row>
    <row r="47" spans="1:17" x14ac:dyDescent="0.2">
      <c r="B47" s="610"/>
      <c r="C47" s="611"/>
      <c r="D47" s="611"/>
      <c r="E47" s="170"/>
      <c r="F47" s="170"/>
      <c r="G47" s="170"/>
    </row>
    <row r="48" spans="1:17" ht="15" x14ac:dyDescent="0.2">
      <c r="B48" s="182" t="s">
        <v>1449</v>
      </c>
      <c r="C48" s="172">
        <f>C22</f>
        <v>428935200441.5</v>
      </c>
      <c r="D48" s="173">
        <f>C48/C48</f>
        <v>1</v>
      </c>
      <c r="E48" s="170"/>
      <c r="F48" s="170"/>
      <c r="G48" s="170"/>
    </row>
    <row r="49" spans="2:7" ht="15.75" x14ac:dyDescent="0.25">
      <c r="B49" s="171" t="s">
        <v>1437</v>
      </c>
      <c r="C49" s="172">
        <f>E22</f>
        <v>325825130958.69006</v>
      </c>
      <c r="D49" s="608">
        <f>C49/C48</f>
        <v>0.75961387786155232</v>
      </c>
      <c r="E49" s="170"/>
      <c r="F49" s="170"/>
      <c r="G49" s="170"/>
    </row>
    <row r="50" spans="2:7" ht="15.75" x14ac:dyDescent="0.25">
      <c r="B50" s="171" t="s">
        <v>1439</v>
      </c>
      <c r="C50" s="172">
        <f>G22</f>
        <v>324925246568.30005</v>
      </c>
      <c r="D50" s="609">
        <f>C50/C48</f>
        <v>0.75751592835900805</v>
      </c>
      <c r="E50" s="170"/>
      <c r="F50" s="170"/>
      <c r="G50" s="170"/>
    </row>
    <row r="51" spans="2:7" ht="15.75" x14ac:dyDescent="0.25">
      <c r="B51" s="171" t="s">
        <v>1441</v>
      </c>
      <c r="C51" s="172">
        <f>I22</f>
        <v>311161643971.60004</v>
      </c>
      <c r="D51" s="609">
        <f>C51/C48</f>
        <v>0.72542809182208301</v>
      </c>
      <c r="E51" s="170"/>
      <c r="F51" s="170"/>
      <c r="G51" s="170"/>
    </row>
    <row r="52" spans="2:7" ht="15.75" x14ac:dyDescent="0.25">
      <c r="B52" s="171" t="s">
        <v>1443</v>
      </c>
      <c r="C52" s="172">
        <f>K22</f>
        <v>310954522047.67004</v>
      </c>
      <c r="D52" s="609">
        <f>C52/C48</f>
        <v>0.72494521719739191</v>
      </c>
      <c r="E52" s="170"/>
      <c r="F52" s="170"/>
      <c r="G52" s="170"/>
    </row>
    <row r="53" spans="2:7" ht="15.75" x14ac:dyDescent="0.25">
      <c r="B53" s="179" t="s">
        <v>1445</v>
      </c>
      <c r="C53" s="172">
        <f>M22</f>
        <v>103110069482.81003</v>
      </c>
      <c r="D53" s="609">
        <f>C53/C48</f>
        <v>0.24038612213844784</v>
      </c>
      <c r="E53" s="170"/>
      <c r="F53" s="170"/>
      <c r="G53" s="170"/>
    </row>
    <row r="54" spans="2:7" x14ac:dyDescent="0.2">
      <c r="B54" s="604"/>
      <c r="C54" s="170"/>
      <c r="D54" s="170"/>
      <c r="E54" s="170"/>
      <c r="F54" s="170"/>
      <c r="G54" s="170"/>
    </row>
    <row r="55" spans="2:7" x14ac:dyDescent="0.2">
      <c r="B55" s="604"/>
      <c r="C55" s="170"/>
      <c r="D55" s="170"/>
      <c r="E55" s="170"/>
      <c r="F55" s="170"/>
      <c r="G55" s="170"/>
    </row>
    <row r="56" spans="2:7" x14ac:dyDescent="0.2">
      <c r="B56" s="604"/>
      <c r="C56" s="170"/>
      <c r="D56" s="170"/>
      <c r="E56" s="170"/>
      <c r="F56" s="170"/>
      <c r="G56" s="170"/>
    </row>
    <row r="57" spans="2:7" x14ac:dyDescent="0.2">
      <c r="B57" s="604"/>
      <c r="C57" s="170"/>
      <c r="D57" s="170"/>
      <c r="E57" s="170"/>
      <c r="F57" s="170"/>
      <c r="G57" s="170"/>
    </row>
    <row r="58" spans="2:7" x14ac:dyDescent="0.2">
      <c r="B58" s="181"/>
      <c r="C58" s="170"/>
      <c r="D58" s="170"/>
      <c r="E58" s="170"/>
      <c r="F58" s="170"/>
      <c r="G58" s="170"/>
    </row>
    <row r="59" spans="2:7" x14ac:dyDescent="0.2">
      <c r="B59" s="181"/>
      <c r="C59" s="170"/>
      <c r="D59" s="170"/>
      <c r="E59" s="170"/>
      <c r="F59" s="170"/>
      <c r="G59" s="170"/>
    </row>
    <row r="60" spans="2:7" x14ac:dyDescent="0.2">
      <c r="B60" s="181"/>
      <c r="C60" s="170"/>
      <c r="D60" s="170"/>
      <c r="E60" s="170"/>
      <c r="F60" s="170"/>
      <c r="G60" s="170"/>
    </row>
    <row r="61" spans="2:7" x14ac:dyDescent="0.2">
      <c r="B61" s="153"/>
      <c r="C61" s="170"/>
      <c r="D61" s="170"/>
      <c r="E61" s="170"/>
      <c r="F61" s="170"/>
      <c r="G61" s="170"/>
    </row>
    <row r="62" spans="2:7" x14ac:dyDescent="0.2">
      <c r="B62" s="153"/>
      <c r="C62" s="170"/>
      <c r="D62" s="170"/>
      <c r="E62" s="170"/>
      <c r="F62" s="170"/>
      <c r="G62" s="170"/>
    </row>
    <row r="63" spans="2:7" x14ac:dyDescent="0.2">
      <c r="B63" s="153"/>
      <c r="C63" s="170"/>
      <c r="D63" s="170"/>
      <c r="E63" s="170"/>
      <c r="F63" s="170"/>
      <c r="G63" s="170"/>
    </row>
    <row r="64" spans="2:7" x14ac:dyDescent="0.2">
      <c r="C64" s="170"/>
      <c r="D64" s="170"/>
      <c r="E64" s="170"/>
      <c r="F64" s="170"/>
      <c r="G64" s="170"/>
    </row>
    <row r="65" spans="1:17" x14ac:dyDescent="0.2">
      <c r="C65" s="170"/>
      <c r="D65" s="170"/>
      <c r="E65" s="170"/>
      <c r="F65" s="170"/>
      <c r="G65" s="170"/>
    </row>
    <row r="66" spans="1:17" x14ac:dyDescent="0.2">
      <c r="C66" s="170"/>
      <c r="D66" s="170"/>
      <c r="E66" s="170"/>
      <c r="F66" s="170"/>
      <c r="G66" s="170"/>
    </row>
    <row r="67" spans="1:17" x14ac:dyDescent="0.2">
      <c r="C67" s="170"/>
      <c r="D67" s="170"/>
      <c r="E67" s="170"/>
      <c r="F67" s="170"/>
      <c r="G67" s="170"/>
    </row>
    <row r="68" spans="1:17" x14ac:dyDescent="0.2">
      <c r="C68" s="170"/>
      <c r="D68" s="170"/>
      <c r="E68" s="170"/>
      <c r="F68" s="170"/>
      <c r="G68" s="170"/>
    </row>
    <row r="69" spans="1:17" x14ac:dyDescent="0.2">
      <c r="C69" s="170"/>
      <c r="D69" s="170"/>
      <c r="E69" s="170"/>
      <c r="F69" s="170"/>
      <c r="G69" s="170"/>
    </row>
    <row r="70" spans="1:17" x14ac:dyDescent="0.2">
      <c r="C70" s="170"/>
      <c r="D70" s="170"/>
      <c r="E70" s="170"/>
      <c r="F70" s="170"/>
      <c r="G70" s="170"/>
    </row>
    <row r="72" spans="1:17" s="159" customFormat="1" x14ac:dyDescent="0.2">
      <c r="A72" s="153"/>
      <c r="B72" s="160"/>
      <c r="N72" s="153"/>
      <c r="O72" s="153"/>
      <c r="P72" s="153"/>
      <c r="Q72" s="153"/>
    </row>
    <row r="73" spans="1:17" s="159" customFormat="1" x14ac:dyDescent="0.2">
      <c r="N73" s="153"/>
      <c r="O73" s="153"/>
      <c r="P73" s="153"/>
      <c r="Q73" s="153"/>
    </row>
    <row r="74" spans="1:17" s="159" customFormat="1" x14ac:dyDescent="0.2">
      <c r="N74" s="153"/>
      <c r="O74" s="153"/>
      <c r="P74" s="153"/>
      <c r="Q74" s="153"/>
    </row>
    <row r="75" spans="1:17" s="159" customFormat="1" x14ac:dyDescent="0.2">
      <c r="N75" s="153"/>
      <c r="O75" s="153"/>
      <c r="P75" s="153"/>
      <c r="Q75" s="153"/>
    </row>
    <row r="76" spans="1:17" s="159" customFormat="1" x14ac:dyDescent="0.2">
      <c r="N76" s="153"/>
      <c r="O76" s="153"/>
      <c r="P76" s="153"/>
      <c r="Q76" s="153"/>
    </row>
    <row r="77" spans="1:17" s="159" customFormat="1" x14ac:dyDescent="0.2">
      <c r="N77" s="153"/>
      <c r="O77" s="153"/>
      <c r="P77" s="153"/>
      <c r="Q77" s="153"/>
    </row>
    <row r="78" spans="1:17" s="159" customFormat="1" x14ac:dyDescent="0.2">
      <c r="N78" s="153"/>
      <c r="O78" s="153"/>
      <c r="P78" s="153"/>
      <c r="Q78" s="153"/>
    </row>
  </sheetData>
  <mergeCells count="7">
    <mergeCell ref="E31:F31"/>
    <mergeCell ref="A1:N1"/>
    <mergeCell ref="E26:F26"/>
    <mergeCell ref="E27:F27"/>
    <mergeCell ref="E28:F28"/>
    <mergeCell ref="E29:F29"/>
    <mergeCell ref="E30:F30"/>
  </mergeCells>
  <conditionalFormatting sqref="H3">
    <cfRule type="cellIs" dxfId="219" priority="66" operator="between">
      <formula>0</formula>
      <formula>0.3999</formula>
    </cfRule>
    <cfRule type="cellIs" dxfId="218" priority="67" operator="between">
      <formula>0.4</formula>
      <formula>0.59</formula>
    </cfRule>
    <cfRule type="cellIs" dxfId="217" priority="68" operator="between">
      <formula>0.6</formula>
      <formula>0.69</formula>
    </cfRule>
    <cfRule type="cellIs" dxfId="216" priority="69" operator="between">
      <formula>0.7</formula>
      <formula>0.79</formula>
    </cfRule>
    <cfRule type="cellIs" dxfId="215" priority="70" operator="between">
      <formula>0.8</formula>
      <formula>1</formula>
    </cfRule>
  </conditionalFormatting>
  <conditionalFormatting sqref="H4:H15">
    <cfRule type="cellIs" dxfId="214" priority="61" operator="between">
      <formula>0</formula>
      <formula>0.3999</formula>
    </cfRule>
    <cfRule type="cellIs" dxfId="213" priority="62" operator="between">
      <formula>0.395</formula>
      <formula>0.5949</formula>
    </cfRule>
    <cfRule type="cellIs" dxfId="212" priority="63" operator="between">
      <formula>0.6</formula>
      <formula>0.695</formula>
    </cfRule>
    <cfRule type="cellIs" dxfId="211" priority="64" operator="between">
      <formula>0.695</formula>
      <formula>0.7949</formula>
    </cfRule>
    <cfRule type="cellIs" dxfId="210" priority="65" operator="between">
      <formula>0.795</formula>
      <formula>1</formula>
    </cfRule>
  </conditionalFormatting>
  <conditionalFormatting sqref="H17:H19">
    <cfRule type="cellIs" dxfId="209" priority="56" operator="between">
      <formula>0</formula>
      <formula>0.3999</formula>
    </cfRule>
    <cfRule type="cellIs" dxfId="208" priority="57" operator="between">
      <formula>0.4</formula>
      <formula>0.59</formula>
    </cfRule>
    <cfRule type="cellIs" dxfId="207" priority="58" operator="between">
      <formula>0.6</formula>
      <formula>0.695</formula>
    </cfRule>
    <cfRule type="cellIs" dxfId="206" priority="59" operator="between">
      <formula>0.695</formula>
      <formula>0.7949</formula>
    </cfRule>
    <cfRule type="cellIs" dxfId="205" priority="60" operator="between">
      <formula>0.8</formula>
      <formula>1</formula>
    </cfRule>
  </conditionalFormatting>
  <conditionalFormatting sqref="H20">
    <cfRule type="cellIs" dxfId="204" priority="51" operator="between">
      <formula>0</formula>
      <formula>0.3999</formula>
    </cfRule>
    <cfRule type="cellIs" dxfId="203" priority="52" operator="between">
      <formula>0.4</formula>
      <formula>0.59</formula>
    </cfRule>
    <cfRule type="cellIs" dxfId="202" priority="53" operator="between">
      <formula>0.595</formula>
      <formula>0.6949</formula>
    </cfRule>
    <cfRule type="cellIs" dxfId="201" priority="54" operator="between">
      <formula>0.69</formula>
      <formula>0.79</formula>
    </cfRule>
    <cfRule type="cellIs" dxfId="200" priority="55" operator="between">
      <formula>0.8</formula>
      <formula>1</formula>
    </cfRule>
  </conditionalFormatting>
  <conditionalFormatting sqref="H22">
    <cfRule type="cellIs" dxfId="199" priority="46" operator="between">
      <formula>0</formula>
      <formula>0.3999</formula>
    </cfRule>
    <cfRule type="cellIs" dxfId="198" priority="47" operator="between">
      <formula>0.4</formula>
      <formula>0.59</formula>
    </cfRule>
    <cfRule type="cellIs" dxfId="197" priority="48" operator="between">
      <formula>0.595</formula>
      <formula>0.6949</formula>
    </cfRule>
    <cfRule type="cellIs" dxfId="196" priority="49" operator="between">
      <formula>0.7</formula>
      <formula>0.79</formula>
    </cfRule>
    <cfRule type="cellIs" dxfId="195" priority="50" operator="between">
      <formula>0.8</formula>
      <formula>1</formula>
    </cfRule>
  </conditionalFormatting>
  <conditionalFormatting sqref="H16">
    <cfRule type="cellIs" dxfId="194" priority="41" operator="between">
      <formula>0</formula>
      <formula>0.3999</formula>
    </cfRule>
    <cfRule type="cellIs" dxfId="193" priority="42" operator="between">
      <formula>0.4</formula>
      <formula>0.59</formula>
    </cfRule>
    <cfRule type="cellIs" dxfId="192" priority="43" operator="between">
      <formula>0.6</formula>
      <formula>0.695</formula>
    </cfRule>
    <cfRule type="cellIs" dxfId="191" priority="44" operator="between">
      <formula>0.695</formula>
      <formula>0.7949</formula>
    </cfRule>
    <cfRule type="cellIs" dxfId="190" priority="45" operator="greaterThan">
      <formula>0.795</formula>
    </cfRule>
  </conditionalFormatting>
  <conditionalFormatting sqref="J3">
    <cfRule type="cellIs" dxfId="189" priority="36" operator="between">
      <formula>0</formula>
      <formula>0.3999</formula>
    </cfRule>
    <cfRule type="cellIs" dxfId="188" priority="37" operator="between">
      <formula>0.4</formula>
      <formula>0.59</formula>
    </cfRule>
    <cfRule type="cellIs" dxfId="187" priority="38" operator="between">
      <formula>0.6</formula>
      <formula>0.69</formula>
    </cfRule>
    <cfRule type="cellIs" dxfId="186" priority="39" operator="between">
      <formula>0.7</formula>
      <formula>0.79</formula>
    </cfRule>
    <cfRule type="cellIs" dxfId="185" priority="40" operator="between">
      <formula>0.8</formula>
      <formula>1</formula>
    </cfRule>
  </conditionalFormatting>
  <conditionalFormatting sqref="J4:J20">
    <cfRule type="cellIs" dxfId="184" priority="6" operator="between">
      <formula>0</formula>
      <formula>0.3999</formula>
    </cfRule>
    <cfRule type="cellIs" dxfId="183" priority="7" operator="between">
      <formula>0.4</formula>
      <formula>0.59</formula>
    </cfRule>
    <cfRule type="cellIs" dxfId="182" priority="8" operator="between">
      <formula>0.6</formula>
      <formula>0.69</formula>
    </cfRule>
    <cfRule type="cellIs" dxfId="181" priority="9" operator="between">
      <formula>0.7</formula>
      <formula>0.79</formula>
    </cfRule>
    <cfRule type="cellIs" dxfId="180" priority="10" operator="between">
      <formula>0.8</formula>
      <formula>1</formula>
    </cfRule>
  </conditionalFormatting>
  <conditionalFormatting sqref="J22">
    <cfRule type="cellIs" dxfId="179" priority="1" operator="between">
      <formula>0</formula>
      <formula>0.3999</formula>
    </cfRule>
    <cfRule type="cellIs" dxfId="178" priority="2" operator="between">
      <formula>0.4</formula>
      <formula>0.59</formula>
    </cfRule>
    <cfRule type="cellIs" dxfId="177" priority="3" operator="between">
      <formula>0.6</formula>
      <formula>0.69</formula>
    </cfRule>
    <cfRule type="cellIs" dxfId="176" priority="4" operator="between">
      <formula>0.7</formula>
      <formula>0.79</formula>
    </cfRule>
    <cfRule type="cellIs" dxfId="175" priority="5" operator="between">
      <formula>0.8</formula>
      <formula>1</formula>
    </cfRule>
  </conditionalFormatting>
  <pageMargins left="0.7" right="0.7" top="0.75" bottom="0.75" header="0.3" footer="0.3"/>
  <pageSetup orientation="portrait"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H212"/>
  <sheetViews>
    <sheetView showGridLines="0" zoomScale="80" zoomScaleNormal="80" workbookViewId="0">
      <selection sqref="A1:H1"/>
    </sheetView>
  </sheetViews>
  <sheetFormatPr baseColWidth="10" defaultRowHeight="15" x14ac:dyDescent="0.2"/>
  <cols>
    <col min="1" max="1" width="18.140625" style="63" bestFit="1" customWidth="1"/>
    <col min="2" max="2" width="65" style="63" bestFit="1" customWidth="1"/>
    <col min="3" max="3" width="30.85546875" style="63" customWidth="1"/>
    <col min="4" max="4" width="20.140625" style="293" customWidth="1"/>
    <col min="5" max="5" width="24" style="63" customWidth="1"/>
    <col min="6" max="6" width="18.85546875" style="63" customWidth="1"/>
    <col min="7" max="7" width="25" style="63" customWidth="1"/>
    <col min="8" max="8" width="21.140625" style="294" customWidth="1"/>
    <col min="9" max="16384" width="11.42578125" style="63"/>
  </cols>
  <sheetData>
    <row r="1" spans="1:8" ht="71.25" customHeight="1" x14ac:dyDescent="0.2">
      <c r="A1" s="699" t="s">
        <v>1545</v>
      </c>
      <c r="B1" s="700"/>
      <c r="C1" s="700"/>
      <c r="D1" s="700"/>
      <c r="E1" s="700"/>
      <c r="F1" s="700"/>
      <c r="G1" s="700"/>
      <c r="H1" s="701"/>
    </row>
    <row r="2" spans="1:8" ht="49.5" customHeight="1" thickBot="1" x14ac:dyDescent="0.25">
      <c r="A2" s="489" t="s">
        <v>21</v>
      </c>
      <c r="B2" s="490" t="s">
        <v>22</v>
      </c>
      <c r="C2" s="491" t="s">
        <v>1329</v>
      </c>
      <c r="D2" s="492" t="s">
        <v>1483</v>
      </c>
      <c r="E2" s="491" t="s">
        <v>1421</v>
      </c>
      <c r="F2" s="253" t="s">
        <v>1488</v>
      </c>
      <c r="G2" s="493" t="s">
        <v>1451</v>
      </c>
      <c r="H2" s="494" t="s">
        <v>1539</v>
      </c>
    </row>
    <row r="3" spans="1:8" ht="30" customHeight="1" thickBot="1" x14ac:dyDescent="0.25">
      <c r="A3" s="705" t="s">
        <v>1294</v>
      </c>
      <c r="B3" s="706"/>
      <c r="C3" s="495">
        <f>C4</f>
        <v>9759340000</v>
      </c>
      <c r="D3" s="496">
        <f>C3/C3</f>
        <v>1</v>
      </c>
      <c r="E3" s="497">
        <f>E4</f>
        <v>358972330</v>
      </c>
      <c r="F3" s="498">
        <f>E3/C3</f>
        <v>3.6782439181338084E-2</v>
      </c>
      <c r="G3" s="495">
        <f>G4</f>
        <v>358972330</v>
      </c>
      <c r="H3" s="498">
        <f>G3/C3</f>
        <v>3.6782439181338084E-2</v>
      </c>
    </row>
    <row r="4" spans="1:8" s="292" customFormat="1" ht="33.75" customHeight="1" thickBot="1" x14ac:dyDescent="0.3">
      <c r="A4" s="499">
        <v>4</v>
      </c>
      <c r="B4" s="500" t="s">
        <v>27</v>
      </c>
      <c r="C4" s="501">
        <f>SUM(C5:C9)</f>
        <v>9759340000</v>
      </c>
      <c r="D4" s="502">
        <f t="shared" ref="D4:D87" si="0">C4/C4</f>
        <v>1</v>
      </c>
      <c r="E4" s="501">
        <f>SUM(E5:E9)</f>
        <v>358972330</v>
      </c>
      <c r="F4" s="503">
        <f t="shared" ref="F4:F73" si="1">E4/C4</f>
        <v>3.6782439181338084E-2</v>
      </c>
      <c r="G4" s="501">
        <f>SUM(G5:G9)</f>
        <v>358972330</v>
      </c>
      <c r="H4" s="498">
        <f t="shared" ref="H4:H67" si="2">G4/C4</f>
        <v>3.6782439181338084E-2</v>
      </c>
    </row>
    <row r="5" spans="1:8" ht="90.75" customHeight="1" thickBot="1" x14ac:dyDescent="0.25">
      <c r="A5" s="504">
        <v>2020003630006</v>
      </c>
      <c r="B5" s="505" t="s">
        <v>36</v>
      </c>
      <c r="C5" s="506">
        <f>'SGTO POAI 2022'!BF8</f>
        <v>114775000</v>
      </c>
      <c r="D5" s="507">
        <f t="shared" si="0"/>
        <v>1</v>
      </c>
      <c r="E5" s="508">
        <f>'SGTO POAI 2022'!BG8</f>
        <v>114635000</v>
      </c>
      <c r="F5" s="509">
        <f t="shared" si="1"/>
        <v>0.99878022217381834</v>
      </c>
      <c r="G5" s="510">
        <f>'SGTO POAI 2022'!BH8</f>
        <v>114635000</v>
      </c>
      <c r="H5" s="498">
        <f t="shared" si="2"/>
        <v>0.99878022217381834</v>
      </c>
    </row>
    <row r="6" spans="1:8" ht="66" customHeight="1" thickBot="1" x14ac:dyDescent="0.25">
      <c r="A6" s="511">
        <v>2020003630007</v>
      </c>
      <c r="B6" s="512" t="s">
        <v>41</v>
      </c>
      <c r="C6" s="513">
        <f>'SGTO POAI 2022'!BF9</f>
        <v>145810000</v>
      </c>
      <c r="D6" s="514">
        <f t="shared" si="0"/>
        <v>1</v>
      </c>
      <c r="E6" s="515">
        <f>'SGTO POAI 2022'!BG9</f>
        <v>145700497</v>
      </c>
      <c r="F6" s="509">
        <f t="shared" si="1"/>
        <v>0.9992490021260545</v>
      </c>
      <c r="G6" s="516">
        <f>'SGTO POAI 2022'!BH9</f>
        <v>145700497</v>
      </c>
      <c r="H6" s="498">
        <f t="shared" si="2"/>
        <v>0.9992490021260545</v>
      </c>
    </row>
    <row r="7" spans="1:8" ht="66" customHeight="1" thickBot="1" x14ac:dyDescent="0.25">
      <c r="A7" s="511">
        <v>2020003630041</v>
      </c>
      <c r="B7" s="517" t="s">
        <v>1295</v>
      </c>
      <c r="C7" s="518">
        <f>'SGTO POAI 2022'!BF10</f>
        <v>30740000</v>
      </c>
      <c r="D7" s="519">
        <f t="shared" si="0"/>
        <v>1</v>
      </c>
      <c r="E7" s="520">
        <f>'SGTO POAI 2022'!BG10</f>
        <v>30700000</v>
      </c>
      <c r="F7" s="509">
        <f t="shared" si="1"/>
        <v>0.99869876382563438</v>
      </c>
      <c r="G7" s="521">
        <f>'SGTO POAI 2022'!BH10</f>
        <v>30700000</v>
      </c>
      <c r="H7" s="498">
        <f t="shared" si="2"/>
        <v>0.99869876382563438</v>
      </c>
    </row>
    <row r="8" spans="1:8" ht="66" customHeight="1" thickBot="1" x14ac:dyDescent="0.25">
      <c r="A8" s="522">
        <v>2020003630005</v>
      </c>
      <c r="B8" s="523" t="s">
        <v>53</v>
      </c>
      <c r="C8" s="515">
        <f>'SGTO POAI 2022'!BF11</f>
        <v>68015000</v>
      </c>
      <c r="D8" s="524">
        <f t="shared" si="0"/>
        <v>1</v>
      </c>
      <c r="E8" s="515">
        <f>'SGTO POAI 2022'!BG11</f>
        <v>67936833</v>
      </c>
      <c r="F8" s="509">
        <f t="shared" si="1"/>
        <v>0.99885073880761599</v>
      </c>
      <c r="G8" s="515">
        <f>'SGTO POAI 2022'!BH11</f>
        <v>67936833</v>
      </c>
      <c r="H8" s="498">
        <f t="shared" si="2"/>
        <v>0.99885073880761599</v>
      </c>
    </row>
    <row r="9" spans="1:8" ht="66" customHeight="1" thickBot="1" x14ac:dyDescent="0.25">
      <c r="A9" s="525">
        <v>2022003630011</v>
      </c>
      <c r="B9" s="526" t="s">
        <v>1508</v>
      </c>
      <c r="C9" s="527">
        <f>'SGTO POAI 2022'!BF12</f>
        <v>9400000000</v>
      </c>
      <c r="D9" s="528">
        <f t="shared" si="0"/>
        <v>1</v>
      </c>
      <c r="E9" s="527">
        <f>'SGTO POAI 2022'!BG12</f>
        <v>0</v>
      </c>
      <c r="F9" s="529">
        <f>E9/C9</f>
        <v>0</v>
      </c>
      <c r="G9" s="527">
        <f>'SGTO POAI 2022'!BH12</f>
        <v>0</v>
      </c>
      <c r="H9" s="498">
        <f t="shared" si="2"/>
        <v>0</v>
      </c>
    </row>
    <row r="10" spans="1:8" ht="30" customHeight="1" thickBot="1" x14ac:dyDescent="0.25">
      <c r="A10" s="695" t="s">
        <v>1296</v>
      </c>
      <c r="B10" s="696"/>
      <c r="C10" s="530">
        <f>C11</f>
        <v>1278787082</v>
      </c>
      <c r="D10" s="531">
        <f t="shared" si="0"/>
        <v>1</v>
      </c>
      <c r="E10" s="532">
        <f>E11</f>
        <v>1212130248.53</v>
      </c>
      <c r="F10" s="498">
        <f t="shared" si="1"/>
        <v>0.94787495556668433</v>
      </c>
      <c r="G10" s="533">
        <f>G11</f>
        <v>1190104251.8299999</v>
      </c>
      <c r="H10" s="498">
        <f t="shared" si="2"/>
        <v>0.93065082419248268</v>
      </c>
    </row>
    <row r="11" spans="1:8" s="292" customFormat="1" ht="33.75" customHeight="1" thickBot="1" x14ac:dyDescent="0.3">
      <c r="A11" s="499">
        <v>4</v>
      </c>
      <c r="B11" s="534" t="s">
        <v>27</v>
      </c>
      <c r="C11" s="535">
        <f>SUM(C12:C18)</f>
        <v>1278787082</v>
      </c>
      <c r="D11" s="536">
        <f>C11/C11</f>
        <v>1</v>
      </c>
      <c r="E11" s="535">
        <f>SUM(E12:E18)</f>
        <v>1212130248.53</v>
      </c>
      <c r="F11" s="537">
        <f t="shared" si="1"/>
        <v>0.94787495556668433</v>
      </c>
      <c r="G11" s="538">
        <f>SUM(G12:G18)</f>
        <v>1190104251.8299999</v>
      </c>
      <c r="H11" s="498">
        <f t="shared" si="2"/>
        <v>0.93065082419248268</v>
      </c>
    </row>
    <row r="12" spans="1:8" ht="66" customHeight="1" thickBot="1" x14ac:dyDescent="0.25">
      <c r="A12" s="504">
        <v>2020003630042</v>
      </c>
      <c r="B12" s="505" t="s">
        <v>1297</v>
      </c>
      <c r="C12" s="506">
        <f>'SGTO POAI 2022'!BF13</f>
        <v>155787082</v>
      </c>
      <c r="D12" s="507">
        <f t="shared" si="0"/>
        <v>1</v>
      </c>
      <c r="E12" s="508">
        <f>'SGTO POAI 2022'!BG13</f>
        <v>140276273</v>
      </c>
      <c r="F12" s="509">
        <f t="shared" si="1"/>
        <v>0.90043584615058136</v>
      </c>
      <c r="G12" s="510">
        <f>'SGTO POAI 2022'!BH13</f>
        <v>140276273</v>
      </c>
      <c r="H12" s="498">
        <f t="shared" si="2"/>
        <v>0.90043584615058136</v>
      </c>
    </row>
    <row r="13" spans="1:8" ht="66" customHeight="1" thickBot="1" x14ac:dyDescent="0.25">
      <c r="A13" s="511">
        <v>2020003630043</v>
      </c>
      <c r="B13" s="517" t="s">
        <v>65</v>
      </c>
      <c r="C13" s="513">
        <f>'SGTO POAI 2022'!BF14</f>
        <v>28484167</v>
      </c>
      <c r="D13" s="514">
        <f t="shared" si="0"/>
        <v>1</v>
      </c>
      <c r="E13" s="515">
        <f>'SGTO POAI 2022'!BG14</f>
        <v>28313000</v>
      </c>
      <c r="F13" s="509">
        <f t="shared" si="1"/>
        <v>0.99399080197781453</v>
      </c>
      <c r="G13" s="516">
        <f>'SGTO POAI 2022'!BH14</f>
        <v>28313000</v>
      </c>
      <c r="H13" s="498">
        <f t="shared" si="2"/>
        <v>0.99399080197781453</v>
      </c>
    </row>
    <row r="14" spans="1:8" ht="66" customHeight="1" thickBot="1" x14ac:dyDescent="0.25">
      <c r="A14" s="511">
        <v>2020003630044</v>
      </c>
      <c r="B14" s="517" t="s">
        <v>71</v>
      </c>
      <c r="C14" s="513">
        <f>'SGTO POAI 2022'!BF15</f>
        <v>249339150</v>
      </c>
      <c r="D14" s="514">
        <f t="shared" si="0"/>
        <v>1</v>
      </c>
      <c r="E14" s="515">
        <f>'SGTO POAI 2022'!BG15</f>
        <v>236833968</v>
      </c>
      <c r="F14" s="509">
        <f t="shared" si="1"/>
        <v>0.94984669675821065</v>
      </c>
      <c r="G14" s="516">
        <f>'SGTO POAI 2022'!BH15</f>
        <v>236833968</v>
      </c>
      <c r="H14" s="498">
        <f t="shared" si="2"/>
        <v>0.94984669675821065</v>
      </c>
    </row>
    <row r="15" spans="1:8" ht="66" customHeight="1" thickBot="1" x14ac:dyDescent="0.25">
      <c r="A15" s="511">
        <v>2020003630045</v>
      </c>
      <c r="B15" s="512" t="s">
        <v>77</v>
      </c>
      <c r="C15" s="513">
        <f>'SGTO POAI 2022'!BF16</f>
        <v>101308000</v>
      </c>
      <c r="D15" s="514">
        <f t="shared" si="0"/>
        <v>1</v>
      </c>
      <c r="E15" s="515">
        <f>'SGTO POAI 2022'!BG16</f>
        <v>99939465.010000005</v>
      </c>
      <c r="F15" s="509">
        <f t="shared" si="1"/>
        <v>0.98649134332925337</v>
      </c>
      <c r="G15" s="516">
        <f>'SGTO POAI 2022'!BH16</f>
        <v>99544993.640000001</v>
      </c>
      <c r="H15" s="498">
        <f t="shared" si="2"/>
        <v>0.98259756031113044</v>
      </c>
    </row>
    <row r="16" spans="1:8" ht="66" customHeight="1" thickBot="1" x14ac:dyDescent="0.25">
      <c r="A16" s="511">
        <v>2020003630046</v>
      </c>
      <c r="B16" s="512" t="s">
        <v>80</v>
      </c>
      <c r="C16" s="513">
        <f>'SGTO POAI 2022'!BF17</f>
        <v>453579167</v>
      </c>
      <c r="D16" s="514">
        <f t="shared" si="0"/>
        <v>1</v>
      </c>
      <c r="E16" s="515">
        <f>'SGTO POAI 2022'!BG17</f>
        <v>441048543.51999998</v>
      </c>
      <c r="F16" s="509">
        <f t="shared" si="1"/>
        <v>0.97237389987975342</v>
      </c>
      <c r="G16" s="516">
        <f>'SGTO POAI 2022'!BH17</f>
        <v>419417018.19</v>
      </c>
      <c r="H16" s="498">
        <f t="shared" si="2"/>
        <v>0.92468316162765918</v>
      </c>
    </row>
    <row r="17" spans="1:8" ht="66" customHeight="1" thickBot="1" x14ac:dyDescent="0.25">
      <c r="A17" s="511">
        <v>2020003630047</v>
      </c>
      <c r="B17" s="517" t="s">
        <v>87</v>
      </c>
      <c r="C17" s="513">
        <f>SUM('SGTO POAI 2022'!BF18:BF23)</f>
        <v>218289516</v>
      </c>
      <c r="D17" s="514">
        <f t="shared" si="0"/>
        <v>1</v>
      </c>
      <c r="E17" s="515">
        <f>SUM('SGTO POAI 2022'!BG18:BG23)</f>
        <v>195428999</v>
      </c>
      <c r="F17" s="509">
        <f t="shared" si="1"/>
        <v>0.8952743245809387</v>
      </c>
      <c r="G17" s="516">
        <f>SUM('SGTO POAI 2022'!BH18:BH23)</f>
        <v>195428999</v>
      </c>
      <c r="H17" s="498">
        <f t="shared" si="2"/>
        <v>0.8952743245809387</v>
      </c>
    </row>
    <row r="18" spans="1:8" ht="55.5" customHeight="1" thickBot="1" x14ac:dyDescent="0.25">
      <c r="A18" s="522">
        <v>2020003630008</v>
      </c>
      <c r="B18" s="539" t="s">
        <v>98</v>
      </c>
      <c r="C18" s="518">
        <f>'SGTO POAI 2022'!BF24</f>
        <v>72000000</v>
      </c>
      <c r="D18" s="519">
        <f t="shared" si="0"/>
        <v>1</v>
      </c>
      <c r="E18" s="520">
        <f>'SGTO POAI 2022'!BG24</f>
        <v>70290000</v>
      </c>
      <c r="F18" s="540">
        <f t="shared" si="1"/>
        <v>0.97624999999999995</v>
      </c>
      <c r="G18" s="521">
        <f>'SGTO POAI 2022'!BH24</f>
        <v>70290000</v>
      </c>
      <c r="H18" s="498">
        <f t="shared" si="2"/>
        <v>0.97624999999999995</v>
      </c>
    </row>
    <row r="19" spans="1:8" ht="33" customHeight="1" thickBot="1" x14ac:dyDescent="0.25">
      <c r="A19" s="695" t="s">
        <v>1298</v>
      </c>
      <c r="B19" s="696"/>
      <c r="C19" s="530">
        <f>C20</f>
        <v>3898048606.2399998</v>
      </c>
      <c r="D19" s="496">
        <f t="shared" si="0"/>
        <v>1</v>
      </c>
      <c r="E19" s="530">
        <f>E20</f>
        <v>3727294869.73</v>
      </c>
      <c r="F19" s="498">
        <f t="shared" si="1"/>
        <v>0.95619507251996372</v>
      </c>
      <c r="G19" s="533">
        <f>G20</f>
        <v>3424623024.1800003</v>
      </c>
      <c r="H19" s="498">
        <f t="shared" si="2"/>
        <v>0.87854805573687833</v>
      </c>
    </row>
    <row r="20" spans="1:8" s="292" customFormat="1" ht="45" customHeight="1" thickBot="1" x14ac:dyDescent="0.3">
      <c r="A20" s="499">
        <v>4</v>
      </c>
      <c r="B20" s="534" t="s">
        <v>27</v>
      </c>
      <c r="C20" s="535">
        <f>SUM(C21:C22)</f>
        <v>3898048606.2399998</v>
      </c>
      <c r="D20" s="536">
        <f t="shared" si="0"/>
        <v>1</v>
      </c>
      <c r="E20" s="535">
        <f>SUM(E21:E22)</f>
        <v>3727294869.73</v>
      </c>
      <c r="F20" s="537">
        <f t="shared" si="1"/>
        <v>0.95619507251996372</v>
      </c>
      <c r="G20" s="541">
        <f>SUM(G21:G22)</f>
        <v>3424623024.1800003</v>
      </c>
      <c r="H20" s="498">
        <f t="shared" si="2"/>
        <v>0.87854805573687833</v>
      </c>
    </row>
    <row r="21" spans="1:8" ht="48" customHeight="1" thickBot="1" x14ac:dyDescent="0.25">
      <c r="A21" s="504">
        <v>2020003630048</v>
      </c>
      <c r="B21" s="542" t="s">
        <v>104</v>
      </c>
      <c r="C21" s="506">
        <f>'SGTO POAI 2022'!BF25</f>
        <v>3205356174.1599998</v>
      </c>
      <c r="D21" s="507">
        <f t="shared" si="0"/>
        <v>1</v>
      </c>
      <c r="E21" s="508">
        <f>'SGTO POAI 2022'!BG25</f>
        <v>3065523304.73</v>
      </c>
      <c r="F21" s="509">
        <f t="shared" si="1"/>
        <v>0.95637524760672044</v>
      </c>
      <c r="G21" s="510">
        <f>'SGTO POAI 2022'!BH25</f>
        <v>2762851459.1800003</v>
      </c>
      <c r="H21" s="498">
        <f t="shared" si="2"/>
        <v>0.86194834803468823</v>
      </c>
    </row>
    <row r="22" spans="1:8" ht="66" customHeight="1" thickBot="1" x14ac:dyDescent="0.25">
      <c r="A22" s="522">
        <v>2020003630049</v>
      </c>
      <c r="B22" s="523" t="s">
        <v>1299</v>
      </c>
      <c r="C22" s="518">
        <f>'SGTO POAI 2022'!BF26</f>
        <v>692692432.08000004</v>
      </c>
      <c r="D22" s="519">
        <f t="shared" si="0"/>
        <v>1</v>
      </c>
      <c r="E22" s="520">
        <f>'SGTO POAI 2022'!BG26</f>
        <v>661771565</v>
      </c>
      <c r="F22" s="540">
        <f t="shared" si="1"/>
        <v>0.95536133260882961</v>
      </c>
      <c r="G22" s="521">
        <f>'SGTO POAI 2022'!BH26</f>
        <v>661771565</v>
      </c>
      <c r="H22" s="498">
        <f t="shared" si="2"/>
        <v>0.95536133260882961</v>
      </c>
    </row>
    <row r="23" spans="1:8" ht="31.5" customHeight="1" thickBot="1" x14ac:dyDescent="0.25">
      <c r="A23" s="695" t="s">
        <v>1300</v>
      </c>
      <c r="B23" s="696"/>
      <c r="C23" s="543">
        <f>C24+C33+C36+C45</f>
        <v>99269447044.62001</v>
      </c>
      <c r="D23" s="531">
        <f t="shared" si="0"/>
        <v>1</v>
      </c>
      <c r="E23" s="543">
        <f>E24+E33+E36+E45</f>
        <v>21244189256.639999</v>
      </c>
      <c r="F23" s="498">
        <f t="shared" si="1"/>
        <v>0.2140053147177407</v>
      </c>
      <c r="G23" s="543">
        <f>G24+G33+G36+G45</f>
        <v>12813040463.540001</v>
      </c>
      <c r="H23" s="498">
        <f t="shared" si="2"/>
        <v>0.12907335383646035</v>
      </c>
    </row>
    <row r="24" spans="1:8" s="292" customFormat="1" ht="38.25" customHeight="1" thickBot="1" x14ac:dyDescent="0.3">
      <c r="A24" s="499">
        <v>1</v>
      </c>
      <c r="B24" s="544" t="s">
        <v>112</v>
      </c>
      <c r="C24" s="535">
        <f>SUM(C25:C32)</f>
        <v>35321546436.010002</v>
      </c>
      <c r="D24" s="536">
        <f t="shared" si="0"/>
        <v>1</v>
      </c>
      <c r="E24" s="535">
        <f>SUM(E25:E32)</f>
        <v>6045263550.0900002</v>
      </c>
      <c r="F24" s="537">
        <f t="shared" si="1"/>
        <v>0.17114945861846265</v>
      </c>
      <c r="G24" s="535">
        <f>SUM(G25:G32)</f>
        <v>2584131861.0900002</v>
      </c>
      <c r="H24" s="498">
        <f t="shared" si="2"/>
        <v>7.3160213009685809E-2</v>
      </c>
    </row>
    <row r="25" spans="1:8" ht="66" customHeight="1" thickBot="1" x14ac:dyDescent="0.25">
      <c r="A25" s="504">
        <v>2020003630017</v>
      </c>
      <c r="B25" s="542" t="s">
        <v>120</v>
      </c>
      <c r="C25" s="513">
        <f>'SGTO POAI 2022'!BF27</f>
        <v>64250000</v>
      </c>
      <c r="D25" s="514">
        <f t="shared" si="0"/>
        <v>1</v>
      </c>
      <c r="E25" s="515">
        <f>'SGTO POAI 2022'!BG27</f>
        <v>59013333</v>
      </c>
      <c r="F25" s="509">
        <f t="shared" si="1"/>
        <v>0.91849545525291831</v>
      </c>
      <c r="G25" s="510">
        <f>'SGTO POAI 2022'!BH27</f>
        <v>59013333</v>
      </c>
      <c r="H25" s="498">
        <f t="shared" si="2"/>
        <v>0.91849545525291831</v>
      </c>
    </row>
    <row r="26" spans="1:8" ht="66" customHeight="1" thickBot="1" x14ac:dyDescent="0.25">
      <c r="A26" s="511">
        <v>2020003630050</v>
      </c>
      <c r="B26" s="517" t="s">
        <v>1301</v>
      </c>
      <c r="C26" s="513">
        <f>'SGTO POAI 2022'!BF29</f>
        <v>3923276899.8800001</v>
      </c>
      <c r="D26" s="514">
        <f t="shared" si="0"/>
        <v>1</v>
      </c>
      <c r="E26" s="515">
        <f>'SGTO POAI 2022'!BG29</f>
        <v>3404684462</v>
      </c>
      <c r="F26" s="509">
        <f t="shared" si="1"/>
        <v>0.86781650872109939</v>
      </c>
      <c r="G26" s="516">
        <f>'SGTO POAI 2022'!BH29</f>
        <v>1123778167</v>
      </c>
      <c r="H26" s="498">
        <f t="shared" si="2"/>
        <v>0.28643865719352429</v>
      </c>
    </row>
    <row r="27" spans="1:8" ht="66" customHeight="1" thickBot="1" x14ac:dyDescent="0.25">
      <c r="A27" s="511">
        <v>2021003630001</v>
      </c>
      <c r="B27" s="517" t="s">
        <v>139</v>
      </c>
      <c r="C27" s="513">
        <f>'SGTO POAI 2022'!BF30</f>
        <v>67500000</v>
      </c>
      <c r="D27" s="514">
        <f t="shared" si="0"/>
        <v>1</v>
      </c>
      <c r="E27" s="515">
        <f>'SGTO POAI 2022'!BG30</f>
        <v>62221898</v>
      </c>
      <c r="F27" s="509">
        <f t="shared" si="1"/>
        <v>0.92180589629629628</v>
      </c>
      <c r="G27" s="516">
        <f>'SGTO POAI 2022'!BH30</f>
        <v>26500000</v>
      </c>
      <c r="H27" s="498">
        <f t="shared" si="2"/>
        <v>0.3925925925925926</v>
      </c>
    </row>
    <row r="28" spans="1:8" ht="66" customHeight="1" thickBot="1" x14ac:dyDescent="0.25">
      <c r="A28" s="511">
        <v>2020003630018</v>
      </c>
      <c r="B28" s="517" t="s">
        <v>1391</v>
      </c>
      <c r="C28" s="513">
        <f>'SGTO POAI 2022'!BF28</f>
        <v>516811948</v>
      </c>
      <c r="D28" s="514">
        <f t="shared" si="0"/>
        <v>1</v>
      </c>
      <c r="E28" s="515">
        <f>'SGTO POAI 2022'!BG28</f>
        <v>516811948</v>
      </c>
      <c r="F28" s="509">
        <f t="shared" si="1"/>
        <v>1</v>
      </c>
      <c r="G28" s="516">
        <f>'SGTO POAI 2022'!BH28</f>
        <v>147543584</v>
      </c>
      <c r="H28" s="498">
        <f t="shared" si="2"/>
        <v>0.28548795083197265</v>
      </c>
    </row>
    <row r="29" spans="1:8" ht="66" customHeight="1" thickBot="1" x14ac:dyDescent="0.25">
      <c r="A29" s="511">
        <v>2021003630017</v>
      </c>
      <c r="B29" s="517" t="s">
        <v>1331</v>
      </c>
      <c r="C29" s="513">
        <f>'SGTO POAI 2022'!BF31</f>
        <v>50000000</v>
      </c>
      <c r="D29" s="514">
        <f t="shared" si="0"/>
        <v>1</v>
      </c>
      <c r="E29" s="515">
        <f>'SGTO POAI 2022'!BG31</f>
        <v>0</v>
      </c>
      <c r="F29" s="509">
        <f t="shared" si="1"/>
        <v>0</v>
      </c>
      <c r="G29" s="516">
        <f>'SGTO POAI 2022'!BH31</f>
        <v>0</v>
      </c>
      <c r="H29" s="498">
        <f t="shared" si="2"/>
        <v>0</v>
      </c>
    </row>
    <row r="30" spans="1:8" ht="66" customHeight="1" thickBot="1" x14ac:dyDescent="0.25">
      <c r="A30" s="522">
        <v>2022003630007</v>
      </c>
      <c r="B30" s="523" t="s">
        <v>1510</v>
      </c>
      <c r="C30" s="518">
        <f>'SGTO POAI 2022'!BF32</f>
        <v>3179932867.1700001</v>
      </c>
      <c r="D30" s="519">
        <f>C30/C30</f>
        <v>1</v>
      </c>
      <c r="E30" s="520">
        <f>'SGTO POAI 2022'!BG32</f>
        <v>0</v>
      </c>
      <c r="F30" s="509">
        <f>E30/C30</f>
        <v>0</v>
      </c>
      <c r="G30" s="521">
        <f>'SGTO POAI 2022'!BH32</f>
        <v>0</v>
      </c>
      <c r="H30" s="498">
        <f t="shared" si="2"/>
        <v>0</v>
      </c>
    </row>
    <row r="31" spans="1:8" ht="66" customHeight="1" thickBot="1" x14ac:dyDescent="0.25">
      <c r="A31" s="511">
        <v>2020003630052</v>
      </c>
      <c r="B31" s="517" t="s">
        <v>148</v>
      </c>
      <c r="C31" s="515">
        <f>'SGTO POAI 2022'!BF33</f>
        <v>5907574720.96</v>
      </c>
      <c r="D31" s="524">
        <f t="shared" si="0"/>
        <v>1</v>
      </c>
      <c r="E31" s="515">
        <f>'SGTO POAI 2022'!BG33</f>
        <v>2002531909.0900002</v>
      </c>
      <c r="F31" s="509">
        <f t="shared" si="1"/>
        <v>0.33897699202771697</v>
      </c>
      <c r="G31" s="515">
        <f>'SGTO POAI 2022'!BH33</f>
        <v>1227296777.0900002</v>
      </c>
      <c r="H31" s="498">
        <f t="shared" si="2"/>
        <v>0.20774968325589971</v>
      </c>
    </row>
    <row r="32" spans="1:8" ht="66" customHeight="1" thickBot="1" x14ac:dyDescent="0.25">
      <c r="A32" s="522">
        <v>2022000040007</v>
      </c>
      <c r="B32" s="545" t="s">
        <v>1522</v>
      </c>
      <c r="C32" s="506">
        <f>'SGTO POAI 2022'!BF53+'SGTO POAI 2022'!BF54</f>
        <v>21612200000</v>
      </c>
      <c r="D32" s="514">
        <f>C32/C32</f>
        <v>1</v>
      </c>
      <c r="E32" s="515">
        <f>'SGTO POAI 2022'!BG53+'SGTO POAI 2022'!BG54</f>
        <v>0</v>
      </c>
      <c r="F32" s="540">
        <f>E32/C32</f>
        <v>0</v>
      </c>
      <c r="G32" s="516">
        <f>'SGTO POAI 2022'!BH53+'SGTO POAI 2022'!BH54</f>
        <v>0</v>
      </c>
      <c r="H32" s="498">
        <f t="shared" si="2"/>
        <v>0</v>
      </c>
    </row>
    <row r="33" spans="1:8" s="292" customFormat="1" ht="33" customHeight="1" thickBot="1" x14ac:dyDescent="0.3">
      <c r="A33" s="550">
        <v>2</v>
      </c>
      <c r="B33" s="546" t="s">
        <v>333</v>
      </c>
      <c r="C33" s="547">
        <f>SUM(C34:C35)</f>
        <v>43400000</v>
      </c>
      <c r="D33" s="548">
        <f>C33/C33</f>
        <v>1</v>
      </c>
      <c r="E33" s="547">
        <f>SUM(E34:E35)</f>
        <v>37800000</v>
      </c>
      <c r="F33" s="509">
        <f t="shared" si="1"/>
        <v>0.87096774193548387</v>
      </c>
      <c r="G33" s="547">
        <f>SUM(G34:G35)</f>
        <v>37647566</v>
      </c>
      <c r="H33" s="498">
        <f t="shared" si="2"/>
        <v>0.86745543778801848</v>
      </c>
    </row>
    <row r="34" spans="1:8" ht="66" customHeight="1" thickBot="1" x14ac:dyDescent="0.25">
      <c r="A34" s="504">
        <v>2021003630018</v>
      </c>
      <c r="B34" s="542" t="s">
        <v>1282</v>
      </c>
      <c r="C34" s="506">
        <f>'SGTO POAI 2022'!BF34</f>
        <v>3400000</v>
      </c>
      <c r="D34" s="507">
        <f t="shared" si="0"/>
        <v>1</v>
      </c>
      <c r="E34" s="508">
        <f>'SGTO POAI 2022'!BG34</f>
        <v>3400000</v>
      </c>
      <c r="F34" s="509">
        <f t="shared" si="1"/>
        <v>1</v>
      </c>
      <c r="G34" s="510">
        <f>'SGTO POAI 2022'!BH34</f>
        <v>3400000</v>
      </c>
      <c r="H34" s="498">
        <f t="shared" si="2"/>
        <v>1</v>
      </c>
    </row>
    <row r="35" spans="1:8" ht="66" customHeight="1" thickBot="1" x14ac:dyDescent="0.25">
      <c r="A35" s="511">
        <v>2021003630019</v>
      </c>
      <c r="B35" s="549" t="s">
        <v>1283</v>
      </c>
      <c r="C35" s="513">
        <f>'SGTO POAI 2022'!BF35</f>
        <v>40000000</v>
      </c>
      <c r="D35" s="514">
        <f t="shared" si="0"/>
        <v>1</v>
      </c>
      <c r="E35" s="515">
        <f>'SGTO POAI 2022'!BG35</f>
        <v>34400000</v>
      </c>
      <c r="F35" s="509">
        <f t="shared" si="1"/>
        <v>0.86</v>
      </c>
      <c r="G35" s="516">
        <f>'SGTO POAI 2022'!BH35</f>
        <v>34247566</v>
      </c>
      <c r="H35" s="498">
        <f t="shared" si="2"/>
        <v>0.85618914999999995</v>
      </c>
    </row>
    <row r="36" spans="1:8" s="292" customFormat="1" ht="40.5" customHeight="1" thickBot="1" x14ac:dyDescent="0.3">
      <c r="A36" s="550">
        <v>3</v>
      </c>
      <c r="B36" s="544" t="s">
        <v>150</v>
      </c>
      <c r="C36" s="535">
        <f>SUM(C37:C44)</f>
        <v>62976689903.780006</v>
      </c>
      <c r="D36" s="536">
        <f t="shared" si="0"/>
        <v>1</v>
      </c>
      <c r="E36" s="535">
        <f>SUM(E37:E44)</f>
        <v>15064185706.550001</v>
      </c>
      <c r="F36" s="509">
        <f t="shared" si="1"/>
        <v>0.23920256414819627</v>
      </c>
      <c r="G36" s="535">
        <f>SUM(G37:G44)</f>
        <v>10094321036.450001</v>
      </c>
      <c r="H36" s="498">
        <f t="shared" si="2"/>
        <v>0.16028662433469873</v>
      </c>
    </row>
    <row r="37" spans="1:8" ht="66" customHeight="1" thickBot="1" x14ac:dyDescent="0.25">
      <c r="A37" s="511">
        <v>2020003630053</v>
      </c>
      <c r="B37" s="517" t="s">
        <v>158</v>
      </c>
      <c r="C37" s="513">
        <f>'SGTO POAI 2022'!BF36+'SGTO POAI 2022'!BF37</f>
        <v>38864843391.440002</v>
      </c>
      <c r="D37" s="514">
        <f t="shared" si="0"/>
        <v>1</v>
      </c>
      <c r="E37" s="515">
        <f>'SGTO POAI 2022'!BG36+'SGTO POAI 2022'!BG37</f>
        <v>9403529274.6800003</v>
      </c>
      <c r="F37" s="509">
        <f t="shared" si="1"/>
        <v>0.24195464214198098</v>
      </c>
      <c r="G37" s="516">
        <f>'SGTO POAI 2022'!BH36+'SGTO POAI 2022'!BH37</f>
        <v>4830092218.5799999</v>
      </c>
      <c r="H37" s="498">
        <f t="shared" si="2"/>
        <v>0.12427921476312521</v>
      </c>
    </row>
    <row r="38" spans="1:8" ht="66" customHeight="1" thickBot="1" x14ac:dyDescent="0.25">
      <c r="A38" s="511">
        <v>2020003630054</v>
      </c>
      <c r="B38" s="517" t="s">
        <v>168</v>
      </c>
      <c r="C38" s="513">
        <f>'SGTO POAI 2022'!BF38</f>
        <v>155000000</v>
      </c>
      <c r="D38" s="514">
        <f t="shared" si="0"/>
        <v>1</v>
      </c>
      <c r="E38" s="515">
        <f>'SGTO POAI 2022'!BG38</f>
        <v>155000000</v>
      </c>
      <c r="F38" s="509">
        <f t="shared" si="1"/>
        <v>1</v>
      </c>
      <c r="G38" s="516">
        <f>'SGTO POAI 2022'!BH38</f>
        <v>0</v>
      </c>
      <c r="H38" s="498">
        <f t="shared" si="2"/>
        <v>0</v>
      </c>
    </row>
    <row r="39" spans="1:8" ht="66" customHeight="1" thickBot="1" x14ac:dyDescent="0.25">
      <c r="A39" s="511">
        <v>2021003630004</v>
      </c>
      <c r="B39" s="517" t="s">
        <v>176</v>
      </c>
      <c r="C39" s="513">
        <f>'SGTO POAI 2022'!BF41</f>
        <v>2314279105.8199997</v>
      </c>
      <c r="D39" s="514">
        <f t="shared" si="0"/>
        <v>1</v>
      </c>
      <c r="E39" s="515">
        <f>'SGTO POAI 2022'!BG41</f>
        <v>1250590975.26</v>
      </c>
      <c r="F39" s="509">
        <f t="shared" si="1"/>
        <v>0.54038035953182417</v>
      </c>
      <c r="G39" s="516">
        <f>'SGTO POAI 2022'!BH41</f>
        <v>1050590975.26</v>
      </c>
      <c r="H39" s="498">
        <f t="shared" si="2"/>
        <v>0.4539603596722413</v>
      </c>
    </row>
    <row r="40" spans="1:8" ht="66" customHeight="1" thickBot="1" x14ac:dyDescent="0.25">
      <c r="A40" s="511">
        <v>2021003630002</v>
      </c>
      <c r="B40" s="517" t="s">
        <v>180</v>
      </c>
      <c r="C40" s="513">
        <f>'SGTO POAI 2022'!BF42</f>
        <v>1381472133.72</v>
      </c>
      <c r="D40" s="514">
        <f t="shared" si="0"/>
        <v>1</v>
      </c>
      <c r="E40" s="515">
        <f>'SGTO POAI 2022'!BG42</f>
        <v>321577287.75</v>
      </c>
      <c r="F40" s="509">
        <f t="shared" si="1"/>
        <v>0.23277870027248629</v>
      </c>
      <c r="G40" s="516">
        <f>'SGTO POAI 2022'!BH42</f>
        <v>280149673.75</v>
      </c>
      <c r="H40" s="498">
        <f t="shared" si="2"/>
        <v>0.20279068025470673</v>
      </c>
    </row>
    <row r="41" spans="1:8" ht="66" customHeight="1" thickBot="1" x14ac:dyDescent="0.25">
      <c r="A41" s="511">
        <v>2020003630057</v>
      </c>
      <c r="B41" s="517" t="s">
        <v>188</v>
      </c>
      <c r="C41" s="513">
        <f>'SGTO POAI 2022'!BF43</f>
        <v>380000000</v>
      </c>
      <c r="D41" s="514">
        <f t="shared" si="0"/>
        <v>1</v>
      </c>
      <c r="E41" s="515">
        <f>'SGTO POAI 2022'!BG43</f>
        <v>0</v>
      </c>
      <c r="F41" s="509">
        <f t="shared" si="1"/>
        <v>0</v>
      </c>
      <c r="G41" s="516">
        <f>'SGTO POAI 2022'!BH43</f>
        <v>0</v>
      </c>
      <c r="H41" s="498">
        <f t="shared" si="2"/>
        <v>0</v>
      </c>
    </row>
    <row r="42" spans="1:8" ht="63" customHeight="1" thickBot="1" x14ac:dyDescent="0.25">
      <c r="A42" s="522">
        <v>2020003630014</v>
      </c>
      <c r="B42" s="512" t="s">
        <v>1166</v>
      </c>
      <c r="C42" s="513">
        <f>'SGTO POAI 2022'!BF44+'SGTO POAI 2022'!BF45+'SGTO POAI 2022'!BF46+'SGTO POAI 2022'!BF47+'SGTO POAI 2022'!BF48+'SGTO POAI 2022'!BF49</f>
        <v>4211007525.8000002</v>
      </c>
      <c r="D42" s="514">
        <f t="shared" si="0"/>
        <v>1</v>
      </c>
      <c r="E42" s="515">
        <f>'SGTO POAI 2022'!BG44+'SGTO POAI 2022'!BG45+'SGTO POAI 2022'!BG46+'SGTO POAI 2022'!BG47+'SGTO POAI 2022'!BG48+'SGTO POAI 2022'!BG49</f>
        <v>3933488168.8600001</v>
      </c>
      <c r="F42" s="509">
        <f t="shared" si="1"/>
        <v>0.93409668464383055</v>
      </c>
      <c r="G42" s="516">
        <f>'SGTO POAI 2022'!BH44+'SGTO POAI 2022'!BH45+'SGTO POAI 2022'!BH46+'SGTO POAI 2022'!BH47+'SGTO POAI 2022'!BH48+'SGTO POAI 2022'!BH49</f>
        <v>3933488168.8600001</v>
      </c>
      <c r="H42" s="498">
        <f t="shared" si="2"/>
        <v>0.93409668464383055</v>
      </c>
    </row>
    <row r="43" spans="1:8" ht="63" customHeight="1" thickBot="1" x14ac:dyDescent="0.25">
      <c r="A43" s="522">
        <v>2018000040059</v>
      </c>
      <c r="B43" s="551" t="s">
        <v>1516</v>
      </c>
      <c r="C43" s="513">
        <f>'SGTO POAI 2022'!BF39</f>
        <v>6536661612</v>
      </c>
      <c r="D43" s="514">
        <f>C43/C43</f>
        <v>1</v>
      </c>
      <c r="E43" s="515">
        <f>'SGTO POAI 2022'!BG39</f>
        <v>0</v>
      </c>
      <c r="F43" s="509">
        <f>E43/C43</f>
        <v>0</v>
      </c>
      <c r="G43" s="516">
        <f>'SGTO POAI 2022'!BH39</f>
        <v>0</v>
      </c>
      <c r="H43" s="498">
        <f t="shared" si="2"/>
        <v>0</v>
      </c>
    </row>
    <row r="44" spans="1:8" ht="63" customHeight="1" thickBot="1" x14ac:dyDescent="0.25">
      <c r="A44" s="522">
        <v>2022003630010</v>
      </c>
      <c r="B44" s="551" t="s">
        <v>1518</v>
      </c>
      <c r="C44" s="513">
        <f>'SGTO POAI 2022'!BF40</f>
        <v>9133426135</v>
      </c>
      <c r="D44" s="514">
        <f>C44/C44</f>
        <v>1</v>
      </c>
      <c r="E44" s="515">
        <f>'SGTO POAI 2022'!BG40</f>
        <v>0</v>
      </c>
      <c r="F44" s="509">
        <f>E44/C44</f>
        <v>0</v>
      </c>
      <c r="G44" s="516">
        <f>'SGTO POAI 2022'!BH40</f>
        <v>0</v>
      </c>
      <c r="H44" s="498">
        <f t="shared" si="2"/>
        <v>0</v>
      </c>
    </row>
    <row r="45" spans="1:8" s="292" customFormat="1" ht="30" customHeight="1" thickBot="1" x14ac:dyDescent="0.3">
      <c r="A45" s="550">
        <v>4</v>
      </c>
      <c r="B45" s="534" t="s">
        <v>27</v>
      </c>
      <c r="C45" s="535">
        <f>SUM(C46:C48)</f>
        <v>927810704.82999992</v>
      </c>
      <c r="D45" s="536">
        <f>C45/C45</f>
        <v>1</v>
      </c>
      <c r="E45" s="535">
        <f>SUM(E46:E48)</f>
        <v>96940000</v>
      </c>
      <c r="F45" s="509">
        <f t="shared" si="1"/>
        <v>0.10448251943564504</v>
      </c>
      <c r="G45" s="541">
        <f>SUM(G46:G48)</f>
        <v>96940000</v>
      </c>
      <c r="H45" s="498">
        <f t="shared" si="2"/>
        <v>0.10448251943564504</v>
      </c>
    </row>
    <row r="46" spans="1:8" ht="66" customHeight="1" thickBot="1" x14ac:dyDescent="0.25">
      <c r="A46" s="511">
        <v>2021003630003</v>
      </c>
      <c r="B46" s="517" t="s">
        <v>1127</v>
      </c>
      <c r="C46" s="515">
        <f>'SGTO POAI 2022'!BF50</f>
        <v>389831319</v>
      </c>
      <c r="D46" s="524">
        <f t="shared" si="0"/>
        <v>1</v>
      </c>
      <c r="E46" s="515">
        <f>'SGTO POAI 2022'!BG50</f>
        <v>63186667</v>
      </c>
      <c r="F46" s="509">
        <f t="shared" si="1"/>
        <v>0.16208720007947847</v>
      </c>
      <c r="G46" s="516">
        <f>'SGTO POAI 2022'!BH50</f>
        <v>63186667</v>
      </c>
      <c r="H46" s="498">
        <f t="shared" si="2"/>
        <v>0.16208720007947847</v>
      </c>
    </row>
    <row r="47" spans="1:8" ht="66" customHeight="1" thickBot="1" x14ac:dyDescent="0.25">
      <c r="A47" s="511">
        <v>2021003630006</v>
      </c>
      <c r="B47" s="517" t="s">
        <v>215</v>
      </c>
      <c r="C47" s="515">
        <f>'SGTO POAI 2022'!BF52</f>
        <v>38000000</v>
      </c>
      <c r="D47" s="524">
        <f t="shared" si="0"/>
        <v>1</v>
      </c>
      <c r="E47" s="515">
        <f>'SGTO POAI 2022'!BG52</f>
        <v>33753333</v>
      </c>
      <c r="F47" s="509">
        <f t="shared" si="1"/>
        <v>0.88824560526315788</v>
      </c>
      <c r="G47" s="516">
        <f>'SGTO POAI 2022'!BH52</f>
        <v>33753333</v>
      </c>
      <c r="H47" s="498">
        <f t="shared" si="2"/>
        <v>0.88824560526315788</v>
      </c>
    </row>
    <row r="48" spans="1:8" ht="66" customHeight="1" thickBot="1" x14ac:dyDescent="0.25">
      <c r="A48" s="522">
        <v>2022003630008</v>
      </c>
      <c r="B48" s="545" t="s">
        <v>1520</v>
      </c>
      <c r="C48" s="506">
        <f>'SGTO POAI 2022'!BF51</f>
        <v>499979385.82999998</v>
      </c>
      <c r="D48" s="524">
        <f>C48/C48</f>
        <v>1</v>
      </c>
      <c r="E48" s="515">
        <f>'SGTO POAI 2022'!BG51</f>
        <v>0</v>
      </c>
      <c r="F48" s="509">
        <f>E48/C48</f>
        <v>0</v>
      </c>
      <c r="G48" s="516">
        <f>'SGTO POAI 2022'!BH51</f>
        <v>0</v>
      </c>
      <c r="H48" s="498">
        <f t="shared" si="2"/>
        <v>0</v>
      </c>
    </row>
    <row r="49" spans="1:8" ht="39" customHeight="1" thickBot="1" x14ac:dyDescent="0.25">
      <c r="A49" s="695" t="s">
        <v>1302</v>
      </c>
      <c r="B49" s="696"/>
      <c r="C49" s="530">
        <f>C50+C59+C62</f>
        <v>6612694612.1799994</v>
      </c>
      <c r="D49" s="496">
        <f t="shared" si="0"/>
        <v>1</v>
      </c>
      <c r="E49" s="530">
        <f>E50+E59+E62</f>
        <v>4549683616.4499998</v>
      </c>
      <c r="F49" s="498">
        <f t="shared" si="1"/>
        <v>0.68802264179414618</v>
      </c>
      <c r="G49" s="533">
        <f>G50+G59+G62</f>
        <v>3983280360.1799998</v>
      </c>
      <c r="H49" s="498">
        <f t="shared" si="2"/>
        <v>0.60236871559789695</v>
      </c>
    </row>
    <row r="50" spans="1:8" ht="39" customHeight="1" thickBot="1" x14ac:dyDescent="0.25">
      <c r="A50" s="499">
        <v>1</v>
      </c>
      <c r="B50" s="544" t="s">
        <v>112</v>
      </c>
      <c r="C50" s="535">
        <f>SUM(C51:C58)</f>
        <v>5458804728.1499996</v>
      </c>
      <c r="D50" s="536">
        <f>C50/C50</f>
        <v>1</v>
      </c>
      <c r="E50" s="535">
        <f>SUM(E51:E58)</f>
        <v>3531576152.1700001</v>
      </c>
      <c r="F50" s="537">
        <f t="shared" si="1"/>
        <v>0.64695044575570637</v>
      </c>
      <c r="G50" s="541">
        <f>SUM(G51:G58)</f>
        <v>3087126434.02</v>
      </c>
      <c r="H50" s="498">
        <f t="shared" si="2"/>
        <v>0.56553157472372773</v>
      </c>
    </row>
    <row r="51" spans="1:8" ht="66" customHeight="1" thickBot="1" x14ac:dyDescent="0.25">
      <c r="A51" s="504">
        <v>2020003630060</v>
      </c>
      <c r="B51" s="505" t="s">
        <v>1128</v>
      </c>
      <c r="C51" s="506">
        <f>'SGTO POAI 2022'!BF55</f>
        <v>95900000</v>
      </c>
      <c r="D51" s="507">
        <f t="shared" si="0"/>
        <v>1</v>
      </c>
      <c r="E51" s="506">
        <f>'SGTO POAI 2022'!BG55</f>
        <v>95710166</v>
      </c>
      <c r="F51" s="509">
        <f t="shared" si="1"/>
        <v>0.99802050052137647</v>
      </c>
      <c r="G51" s="516">
        <f>'SGTO POAI 2022'!BH55</f>
        <v>95710166</v>
      </c>
      <c r="H51" s="498">
        <f t="shared" si="2"/>
        <v>0.99802050052137647</v>
      </c>
    </row>
    <row r="52" spans="1:8" ht="66" customHeight="1" thickBot="1" x14ac:dyDescent="0.25">
      <c r="A52" s="511">
        <v>2020003630061</v>
      </c>
      <c r="B52" s="512" t="s">
        <v>1185</v>
      </c>
      <c r="C52" s="513">
        <f>'SGTO POAI 2022'!BF56</f>
        <v>40875872</v>
      </c>
      <c r="D52" s="514">
        <f t="shared" si="0"/>
        <v>1</v>
      </c>
      <c r="E52" s="513">
        <f>'SGTO POAI 2022'!BG56</f>
        <v>39433372</v>
      </c>
      <c r="F52" s="509">
        <f t="shared" si="1"/>
        <v>0.96471023297068748</v>
      </c>
      <c r="G52" s="516">
        <f>'SGTO POAI 2022'!BH56</f>
        <v>39433372</v>
      </c>
      <c r="H52" s="498">
        <f t="shared" si="2"/>
        <v>0.96471023297068748</v>
      </c>
    </row>
    <row r="53" spans="1:8" ht="66" customHeight="1" thickBot="1" x14ac:dyDescent="0.25">
      <c r="A53" s="511">
        <v>2020003630062</v>
      </c>
      <c r="B53" s="512" t="s">
        <v>1303</v>
      </c>
      <c r="C53" s="513">
        <f>'SGTO POAI 2022'!BF57</f>
        <v>48600000</v>
      </c>
      <c r="D53" s="514">
        <f t="shared" si="0"/>
        <v>1</v>
      </c>
      <c r="E53" s="513">
        <f>'SGTO POAI 2022'!BG57</f>
        <v>46464667</v>
      </c>
      <c r="F53" s="509">
        <f t="shared" si="1"/>
        <v>0.95606310699588481</v>
      </c>
      <c r="G53" s="516">
        <f>'SGTO POAI 2022'!BH57</f>
        <v>46464667</v>
      </c>
      <c r="H53" s="498">
        <f t="shared" si="2"/>
        <v>0.95606310699588481</v>
      </c>
    </row>
    <row r="54" spans="1:8" ht="66" customHeight="1" thickBot="1" x14ac:dyDescent="0.25">
      <c r="A54" s="511">
        <v>2020003630063</v>
      </c>
      <c r="B54" s="517" t="s">
        <v>233</v>
      </c>
      <c r="C54" s="513">
        <f>'SGTO POAI 2022'!BF58</f>
        <v>51943002</v>
      </c>
      <c r="D54" s="514">
        <f t="shared" si="0"/>
        <v>1</v>
      </c>
      <c r="E54" s="513">
        <f>'SGTO POAI 2022'!BG58</f>
        <v>51943002</v>
      </c>
      <c r="F54" s="509">
        <f t="shared" si="1"/>
        <v>1</v>
      </c>
      <c r="G54" s="516">
        <f>'SGTO POAI 2022'!BH58</f>
        <v>51943002</v>
      </c>
      <c r="H54" s="498">
        <f t="shared" si="2"/>
        <v>1</v>
      </c>
    </row>
    <row r="55" spans="1:8" ht="66" customHeight="1" thickBot="1" x14ac:dyDescent="0.25">
      <c r="A55" s="511">
        <v>2020003630064</v>
      </c>
      <c r="B55" s="517" t="s">
        <v>240</v>
      </c>
      <c r="C55" s="513">
        <f>'SGTO POAI 2022'!BF59+'SGTO POAI 2022'!BF60+'SGTO POAI 2022'!BF61+'SGTO POAI 2022'!BF62+'SGTO POAI 2022'!BF63</f>
        <v>345144445</v>
      </c>
      <c r="D55" s="514">
        <f t="shared" si="0"/>
        <v>1</v>
      </c>
      <c r="E55" s="513">
        <f>'SGTO POAI 2022'!BG59+'SGTO POAI 2022'!BG60+'SGTO POAI 2022'!BG61+'SGTO POAI 2022'!BG62+'SGTO POAI 2022'!BG63</f>
        <v>340294608.89999998</v>
      </c>
      <c r="F55" s="509">
        <f t="shared" si="1"/>
        <v>0.9859483872035083</v>
      </c>
      <c r="G55" s="516">
        <f>'SGTO POAI 2022'!BH59+'SGTO POAI 2022'!BH60+'SGTO POAI 2022'!BH61+'SGTO POAI 2022'!BH62+'SGTO POAI 2022'!BH63</f>
        <v>322215256.89999998</v>
      </c>
      <c r="H55" s="498">
        <f t="shared" si="2"/>
        <v>0.93356639971418331</v>
      </c>
    </row>
    <row r="56" spans="1:8" ht="66" customHeight="1" thickBot="1" x14ac:dyDescent="0.25">
      <c r="A56" s="511">
        <v>2020003630065</v>
      </c>
      <c r="B56" s="517" t="s">
        <v>1304</v>
      </c>
      <c r="C56" s="513">
        <f>'SGTO POAI 2022'!BF64</f>
        <v>25735500</v>
      </c>
      <c r="D56" s="514">
        <f t="shared" si="0"/>
        <v>1</v>
      </c>
      <c r="E56" s="513">
        <f>'SGTO POAI 2022'!BG64</f>
        <v>25735500</v>
      </c>
      <c r="F56" s="509">
        <f t="shared" si="1"/>
        <v>1</v>
      </c>
      <c r="G56" s="516">
        <f>'SGTO POAI 2022'!BH64</f>
        <v>25735500</v>
      </c>
      <c r="H56" s="498">
        <f t="shared" si="2"/>
        <v>1</v>
      </c>
    </row>
    <row r="57" spans="1:8" ht="66" customHeight="1" thickBot="1" x14ac:dyDescent="0.25">
      <c r="A57" s="511">
        <v>2020003630066</v>
      </c>
      <c r="B57" s="517" t="s">
        <v>1305</v>
      </c>
      <c r="C57" s="513">
        <f>'SGTO POAI 2022'!BF65</f>
        <v>4814605909.1499996</v>
      </c>
      <c r="D57" s="514">
        <f t="shared" si="0"/>
        <v>1</v>
      </c>
      <c r="E57" s="513">
        <f>'SGTO POAI 2022'!BG65</f>
        <v>2895994836.27</v>
      </c>
      <c r="F57" s="509">
        <f t="shared" si="1"/>
        <v>0.60150194863638939</v>
      </c>
      <c r="G57" s="516">
        <f>'SGTO POAI 2022'!BH65</f>
        <v>2469624470.1199999</v>
      </c>
      <c r="H57" s="498">
        <f t="shared" si="2"/>
        <v>0.51294426100930923</v>
      </c>
    </row>
    <row r="58" spans="1:8" ht="66" customHeight="1" thickBot="1" x14ac:dyDescent="0.25">
      <c r="A58" s="511">
        <v>2020003630068</v>
      </c>
      <c r="B58" s="517" t="s">
        <v>1129</v>
      </c>
      <c r="C58" s="513">
        <f>'SGTO POAI 2022'!BF66</f>
        <v>36000000</v>
      </c>
      <c r="D58" s="514">
        <f t="shared" si="0"/>
        <v>1</v>
      </c>
      <c r="E58" s="513">
        <f>'SGTO POAI 2022'!BG66</f>
        <v>36000000</v>
      </c>
      <c r="F58" s="509">
        <f t="shared" si="1"/>
        <v>1</v>
      </c>
      <c r="G58" s="516">
        <f>'SGTO POAI 2022'!BH66</f>
        <v>36000000</v>
      </c>
      <c r="H58" s="498">
        <f t="shared" si="2"/>
        <v>1</v>
      </c>
    </row>
    <row r="59" spans="1:8" ht="30.75" customHeight="1" thickBot="1" x14ac:dyDescent="0.25">
      <c r="A59" s="550">
        <v>3</v>
      </c>
      <c r="B59" s="544" t="s">
        <v>150</v>
      </c>
      <c r="C59" s="535">
        <f>SUM(C60:C61)</f>
        <v>686653101.88</v>
      </c>
      <c r="D59" s="536">
        <f>C59/C59</f>
        <v>1</v>
      </c>
      <c r="E59" s="552">
        <f>SUM(E60:E61)</f>
        <v>574492286.27999997</v>
      </c>
      <c r="F59" s="509">
        <f t="shared" si="1"/>
        <v>0.83665577961722903</v>
      </c>
      <c r="G59" s="541">
        <f>SUM(G60:G61)</f>
        <v>452538748.15999997</v>
      </c>
      <c r="H59" s="498">
        <f t="shared" si="2"/>
        <v>0.65905003111612825</v>
      </c>
    </row>
    <row r="60" spans="1:8" ht="66" customHeight="1" thickBot="1" x14ac:dyDescent="0.25">
      <c r="A60" s="511">
        <v>2020003630069</v>
      </c>
      <c r="B60" s="517" t="s">
        <v>270</v>
      </c>
      <c r="C60" s="513">
        <f>'SGTO POAI 2022'!BF67</f>
        <v>231212500</v>
      </c>
      <c r="D60" s="514">
        <f t="shared" si="0"/>
        <v>1</v>
      </c>
      <c r="E60" s="513">
        <f>'SGTO POAI 2022'!BG67</f>
        <v>230130205.12</v>
      </c>
      <c r="F60" s="509">
        <f t="shared" si="1"/>
        <v>0.99531904685084072</v>
      </c>
      <c r="G60" s="516">
        <f>'SGTO POAI 2022'!BH67</f>
        <v>113176667</v>
      </c>
      <c r="H60" s="498">
        <f t="shared" si="2"/>
        <v>0.48949199113369735</v>
      </c>
    </row>
    <row r="61" spans="1:8" ht="54.75" customHeight="1" thickBot="1" x14ac:dyDescent="0.25">
      <c r="A61" s="511">
        <v>2020003630070</v>
      </c>
      <c r="B61" s="517" t="s">
        <v>275</v>
      </c>
      <c r="C61" s="513">
        <f>'SGTO POAI 2022'!BF68+'SGTO POAI 2022'!BF69+'SGTO POAI 2022'!BF70</f>
        <v>455440601.88</v>
      </c>
      <c r="D61" s="514">
        <f t="shared" si="0"/>
        <v>1</v>
      </c>
      <c r="E61" s="513">
        <f>'SGTO POAI 2022'!BG68+'SGTO POAI 2022'!BG69+'SGTO POAI 2022'!BG70</f>
        <v>344362081.15999997</v>
      </c>
      <c r="F61" s="509">
        <f t="shared" si="1"/>
        <v>0.75610755768923055</v>
      </c>
      <c r="G61" s="516">
        <f>'SGTO POAI 2022'!BH68+'SGTO POAI 2022'!BH69+'SGTO POAI 2022'!BH70</f>
        <v>339362081.15999997</v>
      </c>
      <c r="H61" s="498">
        <f t="shared" si="2"/>
        <v>0.74512917767796094</v>
      </c>
    </row>
    <row r="62" spans="1:8" ht="40.5" customHeight="1" thickBot="1" x14ac:dyDescent="0.25">
      <c r="A62" s="550">
        <v>4</v>
      </c>
      <c r="B62" s="534" t="s">
        <v>27</v>
      </c>
      <c r="C62" s="535">
        <f>SUM(C63:C64)</f>
        <v>467236782.15000004</v>
      </c>
      <c r="D62" s="536">
        <f t="shared" si="0"/>
        <v>1</v>
      </c>
      <c r="E62" s="552">
        <f>SUM(E63:E64)</f>
        <v>443615178</v>
      </c>
      <c r="F62" s="509">
        <f t="shared" si="1"/>
        <v>0.9494440398264351</v>
      </c>
      <c r="G62" s="541">
        <f>SUM(G63:G64)</f>
        <v>443615178</v>
      </c>
      <c r="H62" s="498">
        <f t="shared" si="2"/>
        <v>0.9494440398264351</v>
      </c>
    </row>
    <row r="63" spans="1:8" ht="66" customHeight="1" thickBot="1" x14ac:dyDescent="0.25">
      <c r="A63" s="511">
        <v>2020003630067</v>
      </c>
      <c r="B63" s="512" t="s">
        <v>286</v>
      </c>
      <c r="C63" s="513">
        <f>'SGTO POAI 2022'!BF71</f>
        <v>102522716.05</v>
      </c>
      <c r="D63" s="514">
        <f t="shared" si="0"/>
        <v>1</v>
      </c>
      <c r="E63" s="513">
        <f>'SGTO POAI 2022'!BG71</f>
        <v>94851282</v>
      </c>
      <c r="F63" s="509">
        <f t="shared" si="1"/>
        <v>0.92517332406353081</v>
      </c>
      <c r="G63" s="516">
        <f>'SGTO POAI 2022'!BH71</f>
        <v>94851282</v>
      </c>
      <c r="H63" s="498">
        <f t="shared" si="2"/>
        <v>0.92517332406353081</v>
      </c>
    </row>
    <row r="64" spans="1:8" ht="66" customHeight="1" thickBot="1" x14ac:dyDescent="0.25">
      <c r="A64" s="522">
        <v>2020003630071</v>
      </c>
      <c r="B64" s="539" t="s">
        <v>289</v>
      </c>
      <c r="C64" s="518">
        <f>'SGTO POAI 2022'!BF72+'SGTO POAI 2022'!BF73+'SGTO POAI 2022'!BF74+'SGTO POAI 2022'!BF75</f>
        <v>364714066.10000002</v>
      </c>
      <c r="D64" s="519">
        <f t="shared" si="0"/>
        <v>1</v>
      </c>
      <c r="E64" s="518">
        <f>'SGTO POAI 2022'!BG72+'SGTO POAI 2022'!BG73+'SGTO POAI 2022'!BG74+'SGTO POAI 2022'!BG75</f>
        <v>348763896</v>
      </c>
      <c r="F64" s="509">
        <f t="shared" si="1"/>
        <v>0.95626664397521022</v>
      </c>
      <c r="G64" s="516">
        <f>'SGTO POAI 2022'!BH72+'SGTO POAI 2022'!BH73+'SGTO POAI 2022'!BH74+'SGTO POAI 2022'!BH75</f>
        <v>348763896</v>
      </c>
      <c r="H64" s="498">
        <f t="shared" si="2"/>
        <v>0.95626664397521022</v>
      </c>
    </row>
    <row r="65" spans="1:8" ht="35.25" customHeight="1" thickBot="1" x14ac:dyDescent="0.25">
      <c r="A65" s="695" t="s">
        <v>1306</v>
      </c>
      <c r="B65" s="696"/>
      <c r="C65" s="530">
        <f>C66</f>
        <v>3921066964.4700003</v>
      </c>
      <c r="D65" s="496">
        <f t="shared" si="0"/>
        <v>1</v>
      </c>
      <c r="E65" s="543">
        <f>E66</f>
        <v>3451106037.3400002</v>
      </c>
      <c r="F65" s="509">
        <f t="shared" si="1"/>
        <v>0.88014463119644182</v>
      </c>
      <c r="G65" s="533">
        <f>G66</f>
        <v>3437118732.5</v>
      </c>
      <c r="H65" s="498">
        <f t="shared" si="2"/>
        <v>0.87657741212909523</v>
      </c>
    </row>
    <row r="66" spans="1:8" ht="27.75" customHeight="1" thickBot="1" x14ac:dyDescent="0.25">
      <c r="A66" s="499">
        <v>1</v>
      </c>
      <c r="B66" s="544" t="s">
        <v>112</v>
      </c>
      <c r="C66" s="535">
        <f>SUM(C67:C70)</f>
        <v>3921066964.4700003</v>
      </c>
      <c r="D66" s="536">
        <f t="shared" si="0"/>
        <v>1</v>
      </c>
      <c r="E66" s="552">
        <f>SUM(E67:E70)</f>
        <v>3451106037.3400002</v>
      </c>
      <c r="F66" s="509">
        <f t="shared" si="1"/>
        <v>0.88014463119644182</v>
      </c>
      <c r="G66" s="541">
        <f>SUM(G67:G70)</f>
        <v>3437118732.5</v>
      </c>
      <c r="H66" s="498">
        <f t="shared" si="2"/>
        <v>0.87657741212909523</v>
      </c>
    </row>
    <row r="67" spans="1:8" ht="63" customHeight="1" thickBot="1" x14ac:dyDescent="0.25">
      <c r="A67" s="504">
        <v>2020003630021</v>
      </c>
      <c r="B67" s="542" t="s">
        <v>302</v>
      </c>
      <c r="C67" s="506">
        <f>'SGTO POAI 2022'!BF76+'SGTO POAI 2022'!BF77+'SGTO POAI 2022'!BF78+'SGTO POAI 2022'!BF79+'SGTO POAI 2022'!BF80</f>
        <v>2518843381</v>
      </c>
      <c r="D67" s="507">
        <f t="shared" si="0"/>
        <v>1</v>
      </c>
      <c r="E67" s="506">
        <f>'SGTO POAI 2022'!BG76+'SGTO POAI 2022'!BG77+'SGTO POAI 2022'!BG78+'SGTO POAI 2022'!BG79+'SGTO POAI 2022'!BG80</f>
        <v>2189126616.3800001</v>
      </c>
      <c r="F67" s="509">
        <f t="shared" si="1"/>
        <v>0.8690999340780371</v>
      </c>
      <c r="G67" s="516">
        <f>'SGTO POAI 2022'!BH76+'SGTO POAI 2022'!BH77+'SGTO POAI 2022'!BH78+'SGTO POAI 2022'!BH79+'SGTO POAI 2022'!BH80</f>
        <v>2189126616.3800001</v>
      </c>
      <c r="H67" s="498">
        <f t="shared" si="2"/>
        <v>0.8690999340780371</v>
      </c>
    </row>
    <row r="68" spans="1:8" ht="66" customHeight="1" thickBot="1" x14ac:dyDescent="0.25">
      <c r="A68" s="511">
        <v>2020003630020</v>
      </c>
      <c r="B68" s="517" t="s">
        <v>314</v>
      </c>
      <c r="C68" s="513">
        <f>'SGTO POAI 2022'!BF81+'SGTO POAI 2022'!BF82</f>
        <v>636688689.25</v>
      </c>
      <c r="D68" s="514">
        <f t="shared" si="0"/>
        <v>1</v>
      </c>
      <c r="E68" s="513">
        <f>'SGTO POAI 2022'!BG81+'SGTO POAI 2022'!BG82</f>
        <v>575797815.96000004</v>
      </c>
      <c r="F68" s="509">
        <f t="shared" si="1"/>
        <v>0.90436319300453172</v>
      </c>
      <c r="G68" s="516">
        <f>'SGTO POAI 2022'!BH81+'SGTO POAI 2022'!BH82</f>
        <v>561810511.12</v>
      </c>
      <c r="H68" s="498">
        <f t="shared" ref="H68:H131" si="3">G68/C68</f>
        <v>0.88239436416217132</v>
      </c>
    </row>
    <row r="69" spans="1:8" ht="66" customHeight="1" thickBot="1" x14ac:dyDescent="0.25">
      <c r="A69" s="511">
        <v>2020003630072</v>
      </c>
      <c r="B69" s="512" t="s">
        <v>322</v>
      </c>
      <c r="C69" s="513">
        <f>'SGTO POAI 2022'!BF83</f>
        <v>484641038.92000002</v>
      </c>
      <c r="D69" s="514">
        <f t="shared" si="0"/>
        <v>1</v>
      </c>
      <c r="E69" s="513">
        <f>'SGTO POAI 2022'!BG83</f>
        <v>417964016</v>
      </c>
      <c r="F69" s="509">
        <f t="shared" si="1"/>
        <v>0.86241977553410121</v>
      </c>
      <c r="G69" s="516">
        <f>'SGTO POAI 2022'!BH83</f>
        <v>417964016</v>
      </c>
      <c r="H69" s="498">
        <f t="shared" si="3"/>
        <v>0.86241977553410121</v>
      </c>
    </row>
    <row r="70" spans="1:8" ht="81" customHeight="1" thickBot="1" x14ac:dyDescent="0.25">
      <c r="A70" s="511">
        <v>2020003630073</v>
      </c>
      <c r="B70" s="512" t="s">
        <v>328</v>
      </c>
      <c r="C70" s="513">
        <f>'SGTO POAI 2022'!BF84+'SGTO POAI 2022'!BF85</f>
        <v>280893855.30000001</v>
      </c>
      <c r="D70" s="514">
        <f t="shared" si="0"/>
        <v>1</v>
      </c>
      <c r="E70" s="515">
        <f>'SGTO POAI 2022'!BG84+'SGTO POAI 2022'!BG85</f>
        <v>268217589</v>
      </c>
      <c r="F70" s="540">
        <f t="shared" si="1"/>
        <v>0.95487168529741773</v>
      </c>
      <c r="G70" s="516">
        <f>'SGTO POAI 2022'!BH84+'SGTO POAI 2022'!BH85</f>
        <v>268217589</v>
      </c>
      <c r="H70" s="498">
        <f t="shared" si="3"/>
        <v>0.95487168529741773</v>
      </c>
    </row>
    <row r="71" spans="1:8" ht="39" customHeight="1" thickBot="1" x14ac:dyDescent="0.25">
      <c r="A71" s="695" t="s">
        <v>1307</v>
      </c>
      <c r="B71" s="696"/>
      <c r="C71" s="530">
        <f>C72</f>
        <v>3366376735.1100001</v>
      </c>
      <c r="D71" s="496">
        <f t="shared" si="0"/>
        <v>1</v>
      </c>
      <c r="E71" s="530">
        <f>E72</f>
        <v>2611899246.9899998</v>
      </c>
      <c r="F71" s="498">
        <f t="shared" si="1"/>
        <v>0.77587847484475114</v>
      </c>
      <c r="G71" s="533">
        <f>G72</f>
        <v>2309275832.9499998</v>
      </c>
      <c r="H71" s="498">
        <f t="shared" si="3"/>
        <v>0.68598259038126985</v>
      </c>
    </row>
    <row r="72" spans="1:8" ht="33" customHeight="1" thickBot="1" x14ac:dyDescent="0.25">
      <c r="A72" s="550">
        <v>2</v>
      </c>
      <c r="B72" s="544" t="s">
        <v>333</v>
      </c>
      <c r="C72" s="535">
        <f>SUM(C73:C78)</f>
        <v>3366376735.1100001</v>
      </c>
      <c r="D72" s="536">
        <f t="shared" si="0"/>
        <v>1</v>
      </c>
      <c r="E72" s="535">
        <f>SUM(E73:E78)</f>
        <v>2611899246.9899998</v>
      </c>
      <c r="F72" s="537">
        <f t="shared" si="1"/>
        <v>0.77587847484475114</v>
      </c>
      <c r="G72" s="535">
        <f>SUM(G73:G78)</f>
        <v>2309275832.9499998</v>
      </c>
      <c r="H72" s="498">
        <f t="shared" si="3"/>
        <v>0.68598259038126985</v>
      </c>
    </row>
    <row r="73" spans="1:8" ht="30" customHeight="1" thickBot="1" x14ac:dyDescent="0.25">
      <c r="A73" s="511">
        <v>2020003630074</v>
      </c>
      <c r="B73" s="512" t="s">
        <v>340</v>
      </c>
      <c r="C73" s="513">
        <f>'SGTO POAI 2022'!BF86+'SGTO POAI 2022'!BF87</f>
        <v>157180000</v>
      </c>
      <c r="D73" s="514">
        <f t="shared" si="0"/>
        <v>1</v>
      </c>
      <c r="E73" s="515">
        <f>'SGTO POAI 2022'!BG86+'SGTO POAI 2022'!BG87</f>
        <v>156119166</v>
      </c>
      <c r="F73" s="509">
        <f t="shared" si="1"/>
        <v>0.99325083343936893</v>
      </c>
      <c r="G73" s="516">
        <f>'SGTO POAI 2022'!BH86+'SGTO POAI 2022'!BH87</f>
        <v>156119166</v>
      </c>
      <c r="H73" s="498">
        <f t="shared" si="3"/>
        <v>0.99325083343936893</v>
      </c>
    </row>
    <row r="74" spans="1:8" ht="66" customHeight="1" thickBot="1" x14ac:dyDescent="0.25">
      <c r="A74" s="511">
        <v>2020003630075</v>
      </c>
      <c r="B74" s="517" t="s">
        <v>347</v>
      </c>
      <c r="C74" s="513">
        <f>'SGTO POAI 2022'!BF88</f>
        <v>361919168</v>
      </c>
      <c r="D74" s="514">
        <f t="shared" si="0"/>
        <v>1</v>
      </c>
      <c r="E74" s="515">
        <f>'SGTO POAI 2022'!BG88</f>
        <v>346311832</v>
      </c>
      <c r="F74" s="509">
        <f t="shared" ref="F74:F137" si="4">E74/C74</f>
        <v>0.95687618291607035</v>
      </c>
      <c r="G74" s="516">
        <f>'SGTO POAI 2022'!BH88</f>
        <v>346311832</v>
      </c>
      <c r="H74" s="498">
        <f t="shared" si="3"/>
        <v>0.95687618291607035</v>
      </c>
    </row>
    <row r="75" spans="1:8" ht="66" customHeight="1" thickBot="1" x14ac:dyDescent="0.25">
      <c r="A75" s="511">
        <v>2020003630076</v>
      </c>
      <c r="B75" s="517" t="s">
        <v>1308</v>
      </c>
      <c r="C75" s="513">
        <f>'SGTO POAI 2022'!BF89+'SGTO POAI 2022'!BF90</f>
        <v>555268223</v>
      </c>
      <c r="D75" s="514">
        <f t="shared" si="0"/>
        <v>1</v>
      </c>
      <c r="E75" s="515">
        <f>'SGTO POAI 2022'!BG89+'SGTO POAI 2022'!BG90</f>
        <v>284808999</v>
      </c>
      <c r="F75" s="509">
        <f t="shared" si="4"/>
        <v>0.51292148047160979</v>
      </c>
      <c r="G75" s="516">
        <f>'SGTO POAI 2022'!BH89+'SGTO POAI 2022'!BH90</f>
        <v>284808999</v>
      </c>
      <c r="H75" s="498">
        <f t="shared" si="3"/>
        <v>0.51292148047160979</v>
      </c>
    </row>
    <row r="76" spans="1:8" ht="66" customHeight="1" thickBot="1" x14ac:dyDescent="0.25">
      <c r="A76" s="511">
        <v>2020003630077</v>
      </c>
      <c r="B76" s="512" t="s">
        <v>1309</v>
      </c>
      <c r="C76" s="513">
        <f>'SGTO POAI 2022'!BF91</f>
        <v>1511034344.1100001</v>
      </c>
      <c r="D76" s="514">
        <f t="shared" si="0"/>
        <v>1</v>
      </c>
      <c r="E76" s="515">
        <f>'SGTO POAI 2022'!BG91</f>
        <v>1488850391.99</v>
      </c>
      <c r="F76" s="509">
        <f t="shared" si="4"/>
        <v>0.98531869761499924</v>
      </c>
      <c r="G76" s="516">
        <f>'SGTO POAI 2022'!BH91</f>
        <v>1240754039.9499998</v>
      </c>
      <c r="H76" s="498">
        <f t="shared" si="3"/>
        <v>0.82112894705964112</v>
      </c>
    </row>
    <row r="77" spans="1:8" ht="66" customHeight="1" thickBot="1" x14ac:dyDescent="0.25">
      <c r="A77" s="511">
        <v>2020003630078</v>
      </c>
      <c r="B77" s="512" t="s">
        <v>363</v>
      </c>
      <c r="C77" s="513">
        <f>'SGTO POAI 2022'!BF92+'SGTO POAI 2022'!BF93+'SGTO POAI 2022'!BF94+'SGTO POAI 2022'!BF95</f>
        <v>566870000</v>
      </c>
      <c r="D77" s="514">
        <f t="shared" si="0"/>
        <v>1</v>
      </c>
      <c r="E77" s="515">
        <f>'SGTO POAI 2022'!BG92+'SGTO POAI 2022'!BG93+'SGTO POAI 2022'!BG94+'SGTO POAI 2022'!BG95</f>
        <v>265808858</v>
      </c>
      <c r="F77" s="509">
        <f t="shared" si="4"/>
        <v>0.46890620071621358</v>
      </c>
      <c r="G77" s="516">
        <f>'SGTO POAI 2022'!BH92+'SGTO POAI 2022'!BH93+'SGTO POAI 2022'!BH94+'SGTO POAI 2022'!BH95</f>
        <v>211281796</v>
      </c>
      <c r="H77" s="498">
        <f t="shared" si="3"/>
        <v>0.37271648878931679</v>
      </c>
    </row>
    <row r="78" spans="1:8" ht="66" customHeight="1" thickBot="1" x14ac:dyDescent="0.25">
      <c r="A78" s="511">
        <f>'SGTO POAI 2022'!Y96</f>
        <v>2022003630013</v>
      </c>
      <c r="B78" s="549" t="s">
        <v>1495</v>
      </c>
      <c r="C78" s="553">
        <f>'SGTO POAI 2022'!BF96</f>
        <v>214105000</v>
      </c>
      <c r="D78" s="554">
        <f>C78/C78</f>
        <v>1</v>
      </c>
      <c r="E78" s="555">
        <f>'SGTO POAI 2022'!BG96</f>
        <v>70000000</v>
      </c>
      <c r="F78" s="556">
        <f t="shared" si="4"/>
        <v>0.32694238808061465</v>
      </c>
      <c r="G78" s="557">
        <f>'SGTO POAI 2022'!BH96</f>
        <v>70000000</v>
      </c>
      <c r="H78" s="498">
        <f t="shared" si="3"/>
        <v>0.32694238808061465</v>
      </c>
    </row>
    <row r="79" spans="1:8" ht="39" customHeight="1" thickBot="1" x14ac:dyDescent="0.25">
      <c r="A79" s="697" t="s">
        <v>1332</v>
      </c>
      <c r="B79" s="698"/>
      <c r="C79" s="530">
        <f>C80+C93</f>
        <v>4664234480.8400002</v>
      </c>
      <c r="D79" s="496">
        <f t="shared" si="0"/>
        <v>1</v>
      </c>
      <c r="E79" s="530">
        <f>E80+E93</f>
        <v>3043611763.2299995</v>
      </c>
      <c r="F79" s="498">
        <f t="shared" si="4"/>
        <v>0.65254261459896923</v>
      </c>
      <c r="G79" s="533">
        <f>G80+G93</f>
        <v>3015547168.5899997</v>
      </c>
      <c r="H79" s="498">
        <f t="shared" si="3"/>
        <v>0.64652563694587628</v>
      </c>
    </row>
    <row r="80" spans="1:8" ht="29.25" customHeight="1" thickBot="1" x14ac:dyDescent="0.25">
      <c r="A80" s="550">
        <v>2</v>
      </c>
      <c r="B80" s="544" t="s">
        <v>333</v>
      </c>
      <c r="C80" s="535">
        <f>SUM(C81:C92)</f>
        <v>2142638000.0000002</v>
      </c>
      <c r="D80" s="536">
        <f>C80/C80</f>
        <v>1</v>
      </c>
      <c r="E80" s="535">
        <f>SUM(E81:E92)</f>
        <v>1993005795.8999996</v>
      </c>
      <c r="F80" s="537">
        <f t="shared" si="4"/>
        <v>0.9301644962424821</v>
      </c>
      <c r="G80" s="541">
        <f>SUM(G81:G92)</f>
        <v>1988523868.2599998</v>
      </c>
      <c r="H80" s="498">
        <f t="shared" si="3"/>
        <v>0.92807271609109865</v>
      </c>
    </row>
    <row r="81" spans="1:8" ht="66" customHeight="1" thickBot="1" x14ac:dyDescent="0.25">
      <c r="A81" s="511">
        <v>2020003630079</v>
      </c>
      <c r="B81" s="517" t="s">
        <v>381</v>
      </c>
      <c r="C81" s="513">
        <f>'SGTO POAI 2022'!BF97+'SGTO POAI 2022'!BF98+'SGTO POAI 2022'!BF99</f>
        <v>743463387.37</v>
      </c>
      <c r="D81" s="514">
        <f t="shared" si="0"/>
        <v>1</v>
      </c>
      <c r="E81" s="515">
        <f>'SGTO POAI 2022'!BG97+'SGTO POAI 2022'!BG98+'SGTO POAI 2022'!BG99</f>
        <v>726506217.37</v>
      </c>
      <c r="F81" s="509">
        <f t="shared" si="4"/>
        <v>0.97719165423870302</v>
      </c>
      <c r="G81" s="516">
        <f>'SGTO POAI 2022'!BH97+'SGTO POAI 2022'!BH98+'SGTO POAI 2022'!BH99</f>
        <v>726506217.37</v>
      </c>
      <c r="H81" s="498">
        <f t="shared" si="3"/>
        <v>0.97719165423870302</v>
      </c>
    </row>
    <row r="82" spans="1:8" ht="66" customHeight="1" thickBot="1" x14ac:dyDescent="0.25">
      <c r="A82" s="511">
        <v>2020003630023</v>
      </c>
      <c r="B82" s="517" t="s">
        <v>1168</v>
      </c>
      <c r="C82" s="513">
        <f>'SGTO POAI 2022'!BF100+'SGTO POAI 2022'!BF101+'SGTO POAI 2022'!BF102</f>
        <v>523237526.97000003</v>
      </c>
      <c r="D82" s="514">
        <f t="shared" si="0"/>
        <v>1</v>
      </c>
      <c r="E82" s="515">
        <f>'SGTO POAI 2022'!BG100+'SGTO POAI 2022'!BG101+'SGTO POAI 2022'!BG102</f>
        <v>521209194.01999998</v>
      </c>
      <c r="F82" s="509">
        <f t="shared" si="4"/>
        <v>0.99612349488434848</v>
      </c>
      <c r="G82" s="516">
        <f>'SGTO POAI 2022'!BH100+'SGTO POAI 2022'!BH101+'SGTO POAI 2022'!BH102</f>
        <v>521209194.01999998</v>
      </c>
      <c r="H82" s="498">
        <f t="shared" si="3"/>
        <v>0.99612349488434848</v>
      </c>
    </row>
    <row r="83" spans="1:8" ht="66" customHeight="1" thickBot="1" x14ac:dyDescent="0.25">
      <c r="A83" s="511">
        <v>2020003630080</v>
      </c>
      <c r="B83" s="517" t="s">
        <v>1310</v>
      </c>
      <c r="C83" s="513">
        <f>'SGTO POAI 2022'!BF103+'SGTO POAI 2022'!BF104</f>
        <v>233786585.66</v>
      </c>
      <c r="D83" s="514">
        <f t="shared" si="0"/>
        <v>1</v>
      </c>
      <c r="E83" s="515">
        <f>'SGTO POAI 2022'!BG103+'SGTO POAI 2022'!BG104</f>
        <v>215598381.78</v>
      </c>
      <c r="F83" s="509">
        <f t="shared" si="4"/>
        <v>0.92220167881466297</v>
      </c>
      <c r="G83" s="516">
        <f>'SGTO POAI 2022'!BH103+'SGTO POAI 2022'!BH104</f>
        <v>215598381.78</v>
      </c>
      <c r="H83" s="498">
        <f t="shared" si="3"/>
        <v>0.92220167881466297</v>
      </c>
    </row>
    <row r="84" spans="1:8" ht="66" customHeight="1" thickBot="1" x14ac:dyDescent="0.25">
      <c r="A84" s="511">
        <v>2020003630022</v>
      </c>
      <c r="B84" s="517" t="s">
        <v>407</v>
      </c>
      <c r="C84" s="513">
        <f>'SGTO POAI 2022'!BF105+'SGTO POAI 2022'!BF106</f>
        <v>105330000</v>
      </c>
      <c r="D84" s="514">
        <f t="shared" si="0"/>
        <v>1</v>
      </c>
      <c r="E84" s="515">
        <f>'SGTO POAI 2022'!BG105+'SGTO POAI 2022'!BG106</f>
        <v>100184833.61</v>
      </c>
      <c r="F84" s="509">
        <f t="shared" si="4"/>
        <v>0.95115193781448781</v>
      </c>
      <c r="G84" s="516">
        <f>'SGTO POAI 2022'!BH105+'SGTO POAI 2022'!BH106</f>
        <v>100184833.61</v>
      </c>
      <c r="H84" s="498">
        <f t="shared" si="3"/>
        <v>0.95115193781448781</v>
      </c>
    </row>
    <row r="85" spans="1:8" ht="66" customHeight="1" thickBot="1" x14ac:dyDescent="0.25">
      <c r="A85" s="511">
        <v>2020003630081</v>
      </c>
      <c r="B85" s="517" t="s">
        <v>415</v>
      </c>
      <c r="C85" s="513">
        <f>'SGTO POAI 2022'!BF107</f>
        <v>11540000</v>
      </c>
      <c r="D85" s="514">
        <f t="shared" si="0"/>
        <v>1</v>
      </c>
      <c r="E85" s="515">
        <f>'SGTO POAI 2022'!BG107</f>
        <v>11540000</v>
      </c>
      <c r="F85" s="509">
        <f t="shared" si="4"/>
        <v>1</v>
      </c>
      <c r="G85" s="516">
        <f>'SGTO POAI 2022'!BH107</f>
        <v>11540000</v>
      </c>
      <c r="H85" s="498">
        <f t="shared" si="3"/>
        <v>1</v>
      </c>
    </row>
    <row r="86" spans="1:8" ht="66" customHeight="1" thickBot="1" x14ac:dyDescent="0.25">
      <c r="A86" s="511">
        <v>2020003630082</v>
      </c>
      <c r="B86" s="517" t="s">
        <v>421</v>
      </c>
      <c r="C86" s="513">
        <f>'SGTO POAI 2022'!BF108</f>
        <v>50795000</v>
      </c>
      <c r="D86" s="514">
        <f t="shared" si="0"/>
        <v>1</v>
      </c>
      <c r="E86" s="515">
        <f>'SGTO POAI 2022'!BG108</f>
        <v>45168500</v>
      </c>
      <c r="F86" s="509">
        <f t="shared" si="4"/>
        <v>0.88923122354562456</v>
      </c>
      <c r="G86" s="516">
        <f>'SGTO POAI 2022'!BH108</f>
        <v>45168500</v>
      </c>
      <c r="H86" s="498">
        <f t="shared" si="3"/>
        <v>0.88923122354562456</v>
      </c>
    </row>
    <row r="87" spans="1:8" ht="66" customHeight="1" thickBot="1" x14ac:dyDescent="0.25">
      <c r="A87" s="511">
        <v>2020003630025</v>
      </c>
      <c r="B87" s="517" t="s">
        <v>426</v>
      </c>
      <c r="C87" s="513">
        <f>'SGTO POAI 2022'!BF109+'SGTO POAI 2022'!BF110</f>
        <v>85117500</v>
      </c>
      <c r="D87" s="514">
        <f t="shared" si="0"/>
        <v>1</v>
      </c>
      <c r="E87" s="515">
        <f>'SGTO POAI 2022'!BG109+'SGTO POAI 2022'!BG110</f>
        <v>80774833.289999992</v>
      </c>
      <c r="F87" s="509">
        <f t="shared" si="4"/>
        <v>0.94898033060181508</v>
      </c>
      <c r="G87" s="516">
        <f>'SGTO POAI 2022'!BH109+'SGTO POAI 2022'!BH110</f>
        <v>80774833.289999992</v>
      </c>
      <c r="H87" s="498">
        <f t="shared" si="3"/>
        <v>0.94898033060181508</v>
      </c>
    </row>
    <row r="88" spans="1:8" ht="66" customHeight="1" thickBot="1" x14ac:dyDescent="0.25">
      <c r="A88" s="511">
        <v>2020003630083</v>
      </c>
      <c r="B88" s="517" t="s">
        <v>435</v>
      </c>
      <c r="C88" s="513">
        <f>'SGTO POAI 2022'!BF111</f>
        <v>145000000</v>
      </c>
      <c r="D88" s="514">
        <f t="shared" ref="D88:D160" si="5">C88/C88</f>
        <v>1</v>
      </c>
      <c r="E88" s="515">
        <f>'SGTO POAI 2022'!BG111</f>
        <v>144967800</v>
      </c>
      <c r="F88" s="509">
        <f t="shared" si="4"/>
        <v>0.99977793103448276</v>
      </c>
      <c r="G88" s="516">
        <f>'SGTO POAI 2022'!BH111</f>
        <v>144967800</v>
      </c>
      <c r="H88" s="498">
        <f t="shared" si="3"/>
        <v>0.99977793103448276</v>
      </c>
    </row>
    <row r="89" spans="1:8" ht="66" customHeight="1" thickBot="1" x14ac:dyDescent="0.25">
      <c r="A89" s="511">
        <v>2020003630084</v>
      </c>
      <c r="B89" s="517" t="s">
        <v>1311</v>
      </c>
      <c r="C89" s="513">
        <f>'SGTO POAI 2022'!BF112</f>
        <v>43000000</v>
      </c>
      <c r="D89" s="514">
        <f t="shared" si="5"/>
        <v>1</v>
      </c>
      <c r="E89" s="515">
        <f>'SGTO POAI 2022'!BG112</f>
        <v>43000000</v>
      </c>
      <c r="F89" s="509">
        <f t="shared" si="4"/>
        <v>1</v>
      </c>
      <c r="G89" s="516">
        <f>'SGTO POAI 2022'!BH112</f>
        <v>43000000</v>
      </c>
      <c r="H89" s="498">
        <f t="shared" si="3"/>
        <v>1</v>
      </c>
    </row>
    <row r="90" spans="1:8" ht="66" customHeight="1" thickBot="1" x14ac:dyDescent="0.25">
      <c r="A90" s="511">
        <v>2020003630026</v>
      </c>
      <c r="B90" s="517" t="s">
        <v>445</v>
      </c>
      <c r="C90" s="513">
        <f>'SGTO POAI 2022'!BF113+'SGTO POAI 2022'!BF114</f>
        <v>47810000</v>
      </c>
      <c r="D90" s="514">
        <f t="shared" si="5"/>
        <v>1</v>
      </c>
      <c r="E90" s="515">
        <f>'SGTO POAI 2022'!BG113+'SGTO POAI 2022'!BG114</f>
        <v>34204398.829999998</v>
      </c>
      <c r="F90" s="509">
        <f t="shared" si="4"/>
        <v>0.71542352708638357</v>
      </c>
      <c r="G90" s="516">
        <f>'SGTO POAI 2022'!BH113+'SGTO POAI 2022'!BH114</f>
        <v>29722471.190000001</v>
      </c>
      <c r="H90" s="498">
        <f t="shared" si="3"/>
        <v>0.62167896235097264</v>
      </c>
    </row>
    <row r="91" spans="1:8" ht="66" customHeight="1" thickBot="1" x14ac:dyDescent="0.25">
      <c r="A91" s="511">
        <v>2020003630024</v>
      </c>
      <c r="B91" s="517" t="s">
        <v>1169</v>
      </c>
      <c r="C91" s="513">
        <f>'SGTO POAI 2022'!BF115+'SGTO POAI 2022'!BF116+'SGTO POAI 2022'!BF117</f>
        <v>108000000</v>
      </c>
      <c r="D91" s="514">
        <f t="shared" si="5"/>
        <v>1</v>
      </c>
      <c r="E91" s="515">
        <f>'SGTO POAI 2022'!BG115+'SGTO POAI 2022'!BG116+'SGTO POAI 2022'!BG117</f>
        <v>24293637</v>
      </c>
      <c r="F91" s="509">
        <f t="shared" si="4"/>
        <v>0.22494108333333335</v>
      </c>
      <c r="G91" s="516">
        <f>'SGTO POAI 2022'!BH115+'SGTO POAI 2022'!BH116+'SGTO POAI 2022'!BH117</f>
        <v>24293637</v>
      </c>
      <c r="H91" s="498">
        <f t="shared" si="3"/>
        <v>0.22494108333333335</v>
      </c>
    </row>
    <row r="92" spans="1:8" ht="66" customHeight="1" thickBot="1" x14ac:dyDescent="0.25">
      <c r="A92" s="511">
        <v>2020003630085</v>
      </c>
      <c r="B92" s="517" t="s">
        <v>1312</v>
      </c>
      <c r="C92" s="513">
        <f>'SGTO POAI 2022'!BF118+'SGTO POAI 2022'!BF119</f>
        <v>45558000</v>
      </c>
      <c r="D92" s="514">
        <f t="shared" si="5"/>
        <v>1</v>
      </c>
      <c r="E92" s="515">
        <f>'SGTO POAI 2022'!BG118+'SGTO POAI 2022'!BG119</f>
        <v>45558000</v>
      </c>
      <c r="F92" s="509">
        <f t="shared" si="4"/>
        <v>1</v>
      </c>
      <c r="G92" s="516">
        <f>'SGTO POAI 2022'!BH118+'SGTO POAI 2022'!BH119</f>
        <v>45558000</v>
      </c>
      <c r="H92" s="498">
        <f t="shared" si="3"/>
        <v>1</v>
      </c>
    </row>
    <row r="93" spans="1:8" ht="36.75" customHeight="1" thickBot="1" x14ac:dyDescent="0.25">
      <c r="A93" s="550">
        <v>3</v>
      </c>
      <c r="B93" s="534" t="s">
        <v>150</v>
      </c>
      <c r="C93" s="535">
        <f>SUM(C94:C100)</f>
        <v>2521596480.8400002</v>
      </c>
      <c r="D93" s="536">
        <f t="shared" si="5"/>
        <v>1</v>
      </c>
      <c r="E93" s="535">
        <f>SUM(E94:E100)</f>
        <v>1050605967.3299999</v>
      </c>
      <c r="F93" s="509">
        <f t="shared" si="4"/>
        <v>0.41664317638166259</v>
      </c>
      <c r="G93" s="541">
        <f>SUM(G94:G100)</f>
        <v>1027023300.3299999</v>
      </c>
      <c r="H93" s="498">
        <f t="shared" si="3"/>
        <v>0.40729090008401164</v>
      </c>
    </row>
    <row r="94" spans="1:8" ht="66" customHeight="1" thickBot="1" x14ac:dyDescent="0.25">
      <c r="A94" s="511">
        <v>2020003630027</v>
      </c>
      <c r="B94" s="512" t="s">
        <v>470</v>
      </c>
      <c r="C94" s="513">
        <f>'SGTO POAI 2022'!BF120+'SGTO POAI 2022'!BF121</f>
        <v>112775000</v>
      </c>
      <c r="D94" s="514">
        <f t="shared" si="5"/>
        <v>1</v>
      </c>
      <c r="E94" s="515">
        <f>'SGTO POAI 2022'!BG120+'SGTO POAI 2022'!BG121</f>
        <v>53930000</v>
      </c>
      <c r="F94" s="509">
        <f t="shared" si="4"/>
        <v>0.47820882287741079</v>
      </c>
      <c r="G94" s="516">
        <f>'SGTO POAI 2022'!BH120+'SGTO POAI 2022'!BH121</f>
        <v>53930000</v>
      </c>
      <c r="H94" s="498">
        <f t="shared" si="3"/>
        <v>0.47820882287741079</v>
      </c>
    </row>
    <row r="95" spans="1:8" ht="66" customHeight="1" thickBot="1" x14ac:dyDescent="0.25">
      <c r="A95" s="511">
        <v>2020003630086</v>
      </c>
      <c r="B95" s="517" t="s">
        <v>476</v>
      </c>
      <c r="C95" s="513">
        <f>'SGTO POAI 2022'!BF122+'SGTO POAI 2022'!BF123+'SGTO POAI 2022'!BF124</f>
        <v>1786476480.8400002</v>
      </c>
      <c r="D95" s="514">
        <f t="shared" si="5"/>
        <v>1</v>
      </c>
      <c r="E95" s="515">
        <f>'SGTO POAI 2022'!BG122+'SGTO POAI 2022'!BG123+'SGTO POAI 2022'!BG124</f>
        <v>491655166.32999998</v>
      </c>
      <c r="F95" s="509">
        <f t="shared" si="4"/>
        <v>0.27520942570641849</v>
      </c>
      <c r="G95" s="516">
        <f>'SGTO POAI 2022'!BH122+'SGTO POAI 2022'!BH123+'SGTO POAI 2022'!BH124</f>
        <v>468072499.32999998</v>
      </c>
      <c r="H95" s="498">
        <f t="shared" si="3"/>
        <v>0.26200876661410766</v>
      </c>
    </row>
    <row r="96" spans="1:8" ht="45" customHeight="1" thickBot="1" x14ac:dyDescent="0.25">
      <c r="A96" s="511">
        <v>2020003630028</v>
      </c>
      <c r="B96" s="517" t="s">
        <v>492</v>
      </c>
      <c r="C96" s="513">
        <f>'SGTO POAI 2022'!BF125</f>
        <v>51395000</v>
      </c>
      <c r="D96" s="514">
        <f t="shared" si="5"/>
        <v>1</v>
      </c>
      <c r="E96" s="515">
        <f>'SGTO POAI 2022'!BG125</f>
        <v>45472500</v>
      </c>
      <c r="F96" s="509">
        <f t="shared" si="4"/>
        <v>0.88476505496643643</v>
      </c>
      <c r="G96" s="516">
        <f>'SGTO POAI 2022'!BH125</f>
        <v>45472500</v>
      </c>
      <c r="H96" s="498">
        <f t="shared" si="3"/>
        <v>0.88476505496643643</v>
      </c>
    </row>
    <row r="97" spans="1:8" ht="67.5" customHeight="1" thickBot="1" x14ac:dyDescent="0.25">
      <c r="A97" s="511">
        <v>2020003630087</v>
      </c>
      <c r="B97" s="517" t="s">
        <v>496</v>
      </c>
      <c r="C97" s="513">
        <f>'SGTO POAI 2022'!BF126</f>
        <v>68980000</v>
      </c>
      <c r="D97" s="514">
        <f t="shared" si="5"/>
        <v>1</v>
      </c>
      <c r="E97" s="515">
        <f>'SGTO POAI 2022'!BG126</f>
        <v>52104667</v>
      </c>
      <c r="F97" s="509">
        <f t="shared" si="4"/>
        <v>0.7553590461003189</v>
      </c>
      <c r="G97" s="516">
        <f>'SGTO POAI 2022'!BH126</f>
        <v>52104667</v>
      </c>
      <c r="H97" s="498">
        <f t="shared" si="3"/>
        <v>0.7553590461003189</v>
      </c>
    </row>
    <row r="98" spans="1:8" ht="61.5" customHeight="1" thickBot="1" x14ac:dyDescent="0.25">
      <c r="A98" s="511">
        <v>2020003630029</v>
      </c>
      <c r="B98" s="517" t="s">
        <v>503</v>
      </c>
      <c r="C98" s="513">
        <f>'SGTO POAI 2022'!BF127</f>
        <v>136200000</v>
      </c>
      <c r="D98" s="514">
        <f t="shared" si="5"/>
        <v>1</v>
      </c>
      <c r="E98" s="515">
        <f>'SGTO POAI 2022'!BG127</f>
        <v>134756534</v>
      </c>
      <c r="F98" s="509">
        <f t="shared" si="4"/>
        <v>0.98940186490455218</v>
      </c>
      <c r="G98" s="516">
        <f>'SGTO POAI 2022'!BH127</f>
        <v>134756534</v>
      </c>
      <c r="H98" s="498">
        <f t="shared" si="3"/>
        <v>0.98940186490455218</v>
      </c>
    </row>
    <row r="99" spans="1:8" ht="66" customHeight="1" thickBot="1" x14ac:dyDescent="0.25">
      <c r="A99" s="511">
        <v>2020003630030</v>
      </c>
      <c r="B99" s="517" t="s">
        <v>1182</v>
      </c>
      <c r="C99" s="513">
        <f>'SGTO POAI 2022'!BF128+'SGTO POAI 2022'!BF129+'SGTO POAI 2022'!BF130</f>
        <v>167770000</v>
      </c>
      <c r="D99" s="514">
        <f t="shared" si="5"/>
        <v>1</v>
      </c>
      <c r="E99" s="515">
        <f>'SGTO POAI 2022'!BG128+'SGTO POAI 2022'!BG129+'SGTO POAI 2022'!BG130</f>
        <v>93080000</v>
      </c>
      <c r="F99" s="509">
        <f t="shared" si="4"/>
        <v>0.55480717649162548</v>
      </c>
      <c r="G99" s="516">
        <f>'SGTO POAI 2022'!BH128+'SGTO POAI 2022'!BH129+'SGTO POAI 2022'!BH130</f>
        <v>93080000</v>
      </c>
      <c r="H99" s="498">
        <f t="shared" si="3"/>
        <v>0.55480717649162548</v>
      </c>
    </row>
    <row r="100" spans="1:8" ht="54" customHeight="1" thickBot="1" x14ac:dyDescent="0.25">
      <c r="A100" s="511">
        <v>2020003630088</v>
      </c>
      <c r="B100" s="517" t="s">
        <v>1183</v>
      </c>
      <c r="C100" s="513">
        <f>'SGTO POAI 2022'!BF131+'SGTO POAI 2022'!BF132+'SGTO POAI 2022'!BF133</f>
        <v>198000000</v>
      </c>
      <c r="D100" s="514">
        <f t="shared" si="5"/>
        <v>1</v>
      </c>
      <c r="E100" s="515">
        <f>'SGTO POAI 2022'!BG131+'SGTO POAI 2022'!BG132+'SGTO POAI 2022'!BG133</f>
        <v>179607100</v>
      </c>
      <c r="F100" s="540">
        <f t="shared" si="4"/>
        <v>0.90710656565656567</v>
      </c>
      <c r="G100" s="516">
        <f>'SGTO POAI 2022'!BH131+'SGTO POAI 2022'!BH132+'SGTO POAI 2022'!BH133</f>
        <v>179607100</v>
      </c>
      <c r="H100" s="498">
        <f t="shared" si="3"/>
        <v>0.90710656565656567</v>
      </c>
    </row>
    <row r="101" spans="1:8" ht="31.5" customHeight="1" thickBot="1" x14ac:dyDescent="0.25">
      <c r="A101" s="695" t="s">
        <v>1493</v>
      </c>
      <c r="B101" s="696"/>
      <c r="C101" s="530">
        <f>C102</f>
        <v>2672052800</v>
      </c>
      <c r="D101" s="496">
        <f t="shared" si="5"/>
        <v>1</v>
      </c>
      <c r="E101" s="530">
        <f>E102</f>
        <v>2265396855.1300001</v>
      </c>
      <c r="F101" s="498">
        <f t="shared" si="4"/>
        <v>0.84781141118543768</v>
      </c>
      <c r="G101" s="533">
        <f>G102</f>
        <v>2254546850.98</v>
      </c>
      <c r="H101" s="498">
        <f t="shared" si="3"/>
        <v>0.84375086112819331</v>
      </c>
    </row>
    <row r="102" spans="1:8" ht="29.25" customHeight="1" thickBot="1" x14ac:dyDescent="0.25">
      <c r="A102" s="558">
        <v>4</v>
      </c>
      <c r="B102" s="534" t="s">
        <v>27</v>
      </c>
      <c r="C102" s="535">
        <f>SUM(C103:C106)</f>
        <v>2672052800</v>
      </c>
      <c r="D102" s="536">
        <f t="shared" si="5"/>
        <v>1</v>
      </c>
      <c r="E102" s="535">
        <f>SUM(E103:E106)</f>
        <v>2265396855.1300001</v>
      </c>
      <c r="F102" s="537">
        <f t="shared" si="4"/>
        <v>0.84781141118543768</v>
      </c>
      <c r="G102" s="535">
        <f>SUM(G103:G106)</f>
        <v>2254546850.98</v>
      </c>
      <c r="H102" s="498">
        <f t="shared" si="3"/>
        <v>0.84375086112819331</v>
      </c>
    </row>
    <row r="103" spans="1:8" ht="91.5" customHeight="1" thickBot="1" x14ac:dyDescent="0.25">
      <c r="A103" s="511">
        <v>2021003630005</v>
      </c>
      <c r="B103" s="559" t="s">
        <v>532</v>
      </c>
      <c r="C103" s="513">
        <f>'SGTO POAI 2022'!BF134</f>
        <v>281200000</v>
      </c>
      <c r="D103" s="514">
        <f t="shared" si="5"/>
        <v>1</v>
      </c>
      <c r="E103" s="515">
        <f>'SGTO POAI 2022'!BG134</f>
        <v>281130067</v>
      </c>
      <c r="F103" s="509">
        <f t="shared" si="4"/>
        <v>0.99975130512091037</v>
      </c>
      <c r="G103" s="516">
        <f>'SGTO POAI 2022'!BH134</f>
        <v>281130067</v>
      </c>
      <c r="H103" s="498">
        <f t="shared" si="3"/>
        <v>0.99975130512091037</v>
      </c>
    </row>
    <row r="104" spans="1:8" ht="66" customHeight="1" thickBot="1" x14ac:dyDescent="0.25">
      <c r="A104" s="511">
        <v>2020003630090</v>
      </c>
      <c r="B104" s="512" t="s">
        <v>536</v>
      </c>
      <c r="C104" s="513">
        <f>'SGTO POAI 2022'!BF135</f>
        <v>1719400000</v>
      </c>
      <c r="D104" s="514">
        <f t="shared" si="5"/>
        <v>1</v>
      </c>
      <c r="E104" s="515">
        <f>'SGTO POAI 2022'!BG135</f>
        <v>1714691791.1300001</v>
      </c>
      <c r="F104" s="509">
        <f t="shared" si="4"/>
        <v>0.99726171404559738</v>
      </c>
      <c r="G104" s="516">
        <f>'SGTO POAI 2022'!BH135</f>
        <v>1703841786.98</v>
      </c>
      <c r="H104" s="498">
        <f t="shared" si="3"/>
        <v>0.99095137081540074</v>
      </c>
    </row>
    <row r="105" spans="1:8" ht="66" customHeight="1" thickBot="1" x14ac:dyDescent="0.25">
      <c r="A105" s="511">
        <v>2020003630031</v>
      </c>
      <c r="B105" s="517" t="s">
        <v>540</v>
      </c>
      <c r="C105" s="513">
        <f>'SGTO POAI 2022'!BF136</f>
        <v>271452800</v>
      </c>
      <c r="D105" s="514">
        <f t="shared" si="5"/>
        <v>1</v>
      </c>
      <c r="E105" s="515">
        <f>'SGTO POAI 2022'!BG136</f>
        <v>269574997</v>
      </c>
      <c r="F105" s="509">
        <f t="shared" si="4"/>
        <v>0.99308239590823888</v>
      </c>
      <c r="G105" s="516">
        <f>'SGTO POAI 2022'!BH136</f>
        <v>269574997</v>
      </c>
      <c r="H105" s="498">
        <f t="shared" si="3"/>
        <v>0.99308239590823888</v>
      </c>
    </row>
    <row r="106" spans="1:8" ht="66" customHeight="1" thickBot="1" x14ac:dyDescent="0.25">
      <c r="A106" s="560">
        <v>2022003630012</v>
      </c>
      <c r="B106" s="561" t="s">
        <v>1497</v>
      </c>
      <c r="C106" s="557">
        <f>'SGTO POAI 2022'!BF137</f>
        <v>400000000</v>
      </c>
      <c r="D106" s="562"/>
      <c r="E106" s="557">
        <f>'SGTO POAI 2022'!BG137</f>
        <v>0</v>
      </c>
      <c r="F106" s="563">
        <f t="shared" si="4"/>
        <v>0</v>
      </c>
      <c r="G106" s="557">
        <f>'SGTO POAI 2022'!BH137</f>
        <v>0</v>
      </c>
      <c r="H106" s="498">
        <f t="shared" si="3"/>
        <v>0</v>
      </c>
    </row>
    <row r="107" spans="1:8" ht="35.25" customHeight="1" thickBot="1" x14ac:dyDescent="0.25">
      <c r="A107" s="695" t="s">
        <v>1313</v>
      </c>
      <c r="B107" s="696"/>
      <c r="C107" s="530">
        <f>C108+C117</f>
        <v>196347005987.70999</v>
      </c>
      <c r="D107" s="496">
        <f t="shared" si="5"/>
        <v>1</v>
      </c>
      <c r="E107" s="530">
        <f>E108+E117</f>
        <v>193873956157.17996</v>
      </c>
      <c r="F107" s="498">
        <f t="shared" si="4"/>
        <v>0.98740469803402642</v>
      </c>
      <c r="G107" s="533">
        <f>G108+G117</f>
        <v>191120032866.86996</v>
      </c>
      <c r="H107" s="498">
        <f t="shared" si="3"/>
        <v>0.97337890081620493</v>
      </c>
    </row>
    <row r="108" spans="1:8" ht="33.75" customHeight="1" thickBot="1" x14ac:dyDescent="0.25">
      <c r="A108" s="499">
        <v>1</v>
      </c>
      <c r="B108" s="544" t="s">
        <v>112</v>
      </c>
      <c r="C108" s="535">
        <f>SUM(C109:C116)</f>
        <v>196329491309.70999</v>
      </c>
      <c r="D108" s="536">
        <f t="shared" si="5"/>
        <v>1</v>
      </c>
      <c r="E108" s="535">
        <f>SUM(E109:E116)</f>
        <v>193856442157.17996</v>
      </c>
      <c r="F108" s="537">
        <f t="shared" si="4"/>
        <v>0.98740357785255606</v>
      </c>
      <c r="G108" s="541">
        <f>SUM(G109:G116)</f>
        <v>191102518866.86996</v>
      </c>
      <c r="H108" s="498">
        <f t="shared" si="3"/>
        <v>0.97337652938450048</v>
      </c>
    </row>
    <row r="109" spans="1:8" ht="66" customHeight="1" thickBot="1" x14ac:dyDescent="0.25">
      <c r="A109" s="511">
        <v>2020003630091</v>
      </c>
      <c r="B109" s="512" t="s">
        <v>546</v>
      </c>
      <c r="C109" s="553">
        <f>SUM('SGTO POAI 2022'!BF138:BF147)</f>
        <v>16319023981.189999</v>
      </c>
      <c r="D109" s="514">
        <f t="shared" si="5"/>
        <v>1</v>
      </c>
      <c r="E109" s="515">
        <f>SUM('SGTO POAI 2022'!BG138:BG147)</f>
        <v>14850824098</v>
      </c>
      <c r="F109" s="509">
        <f t="shared" si="4"/>
        <v>0.9100313912840432</v>
      </c>
      <c r="G109" s="516">
        <f>SUM('SGTO POAI 2022'!BH138:BH147)</f>
        <v>12528854903.98</v>
      </c>
      <c r="H109" s="498">
        <f t="shared" si="3"/>
        <v>0.76774535771387376</v>
      </c>
    </row>
    <row r="110" spans="1:8" ht="66" customHeight="1" thickBot="1" x14ac:dyDescent="0.25">
      <c r="A110" s="511">
        <v>2020003630092</v>
      </c>
      <c r="B110" s="512" t="s">
        <v>574</v>
      </c>
      <c r="C110" s="553">
        <f>SUM('SGTO POAI 2022'!BF148:BF149)</f>
        <v>23080000</v>
      </c>
      <c r="D110" s="514">
        <f t="shared" si="5"/>
        <v>1</v>
      </c>
      <c r="E110" s="515">
        <f>SUM('SGTO POAI 2022'!BG148:BG149)</f>
        <v>23080000</v>
      </c>
      <c r="F110" s="509">
        <f t="shared" si="4"/>
        <v>1</v>
      </c>
      <c r="G110" s="516">
        <f>SUM('SGTO POAI 2022'!BH148:BH149)</f>
        <v>23080000</v>
      </c>
      <c r="H110" s="498">
        <f t="shared" si="3"/>
        <v>1</v>
      </c>
    </row>
    <row r="111" spans="1:8" ht="65.25" customHeight="1" thickBot="1" x14ac:dyDescent="0.25">
      <c r="A111" s="511">
        <v>2020003630093</v>
      </c>
      <c r="B111" s="512" t="s">
        <v>582</v>
      </c>
      <c r="C111" s="553">
        <f>SUM('SGTO POAI 2022'!BF150:BF159)</f>
        <v>167540000</v>
      </c>
      <c r="D111" s="514">
        <f t="shared" si="5"/>
        <v>1</v>
      </c>
      <c r="E111" s="515">
        <f>SUM('SGTO POAI 2022'!BG150:BG159)</f>
        <v>144808671</v>
      </c>
      <c r="F111" s="509">
        <f t="shared" si="4"/>
        <v>0.8643229736182404</v>
      </c>
      <c r="G111" s="516">
        <f>SUM('SGTO POAI 2022'!BH150:BH159)</f>
        <v>144808671</v>
      </c>
      <c r="H111" s="498">
        <f t="shared" si="3"/>
        <v>0.8643229736182404</v>
      </c>
    </row>
    <row r="112" spans="1:8" ht="66" customHeight="1" thickBot="1" x14ac:dyDescent="0.25">
      <c r="A112" s="511">
        <v>2020003630016</v>
      </c>
      <c r="B112" s="512" t="s">
        <v>607</v>
      </c>
      <c r="C112" s="553">
        <f>SUM('SGTO POAI 2022'!BF160:BF163)</f>
        <v>178984072595.51999</v>
      </c>
      <c r="D112" s="514">
        <f t="shared" si="5"/>
        <v>1</v>
      </c>
      <c r="E112" s="515">
        <f>SUM('SGTO POAI 2022'!BG160:BG163)</f>
        <v>178019120351.17996</v>
      </c>
      <c r="F112" s="509">
        <f t="shared" si="4"/>
        <v>0.99460872562375602</v>
      </c>
      <c r="G112" s="516">
        <f>SUM('SGTO POAI 2022'!BH160:BH163)</f>
        <v>177587166254.88995</v>
      </c>
      <c r="H112" s="498">
        <f t="shared" si="3"/>
        <v>0.99219535950672633</v>
      </c>
    </row>
    <row r="113" spans="1:8" ht="66" customHeight="1" thickBot="1" x14ac:dyDescent="0.25">
      <c r="A113" s="511">
        <v>2020003630094</v>
      </c>
      <c r="B113" s="512" t="s">
        <v>617</v>
      </c>
      <c r="C113" s="553">
        <f>SUM('SGTO POAI 2022'!BF164:BF166)</f>
        <v>607446425</v>
      </c>
      <c r="D113" s="514">
        <f t="shared" si="5"/>
        <v>1</v>
      </c>
      <c r="E113" s="515">
        <f>SUM('SGTO POAI 2022'!BG164:BG166)</f>
        <v>605841425</v>
      </c>
      <c r="F113" s="509">
        <f t="shared" si="4"/>
        <v>0.99735779167685445</v>
      </c>
      <c r="G113" s="516">
        <f>SUM('SGTO POAI 2022'!BH164:BH166)</f>
        <v>605841425</v>
      </c>
      <c r="H113" s="498">
        <f t="shared" si="3"/>
        <v>0.99735779167685445</v>
      </c>
    </row>
    <row r="114" spans="1:8" ht="66" customHeight="1" thickBot="1" x14ac:dyDescent="0.25">
      <c r="A114" s="511">
        <v>2020003630015</v>
      </c>
      <c r="B114" s="512" t="s">
        <v>626</v>
      </c>
      <c r="C114" s="553">
        <f>SUM('SGTO POAI 2022'!BF167:BF169)</f>
        <v>25000000</v>
      </c>
      <c r="D114" s="514">
        <f t="shared" si="5"/>
        <v>1</v>
      </c>
      <c r="E114" s="515">
        <f>SUM('SGTO POAI 2022'!BG167:BG169)</f>
        <v>25000000</v>
      </c>
      <c r="F114" s="509">
        <f t="shared" si="4"/>
        <v>1</v>
      </c>
      <c r="G114" s="516">
        <f>SUM('SGTO POAI 2022'!BH167:BH169)</f>
        <v>25000000</v>
      </c>
      <c r="H114" s="498">
        <f t="shared" si="3"/>
        <v>1</v>
      </c>
    </row>
    <row r="115" spans="1:8" ht="66" customHeight="1" thickBot="1" x14ac:dyDescent="0.25">
      <c r="A115" s="511">
        <v>2020003630095</v>
      </c>
      <c r="B115" s="512" t="s">
        <v>632</v>
      </c>
      <c r="C115" s="553">
        <f>SUM('SGTO POAI 2022'!BF170:BF171)</f>
        <v>33149600</v>
      </c>
      <c r="D115" s="514">
        <f t="shared" si="5"/>
        <v>1</v>
      </c>
      <c r="E115" s="515">
        <f>SUM('SGTO POAI 2022'!BG170:BG171)</f>
        <v>31200000</v>
      </c>
      <c r="F115" s="509">
        <f t="shared" si="4"/>
        <v>0.94118782730410022</v>
      </c>
      <c r="G115" s="516">
        <f>SUM('SGTO POAI 2022'!BH170:BH171)</f>
        <v>31200000</v>
      </c>
      <c r="H115" s="498">
        <f t="shared" si="3"/>
        <v>0.94118782730410022</v>
      </c>
    </row>
    <row r="116" spans="1:8" ht="66" customHeight="1" thickBot="1" x14ac:dyDescent="0.25">
      <c r="A116" s="511">
        <v>2020003630096</v>
      </c>
      <c r="B116" s="517" t="s">
        <v>640</v>
      </c>
      <c r="C116" s="553">
        <f>'SGTO POAI 2022'!BF172</f>
        <v>170178708</v>
      </c>
      <c r="D116" s="514">
        <f t="shared" si="5"/>
        <v>1</v>
      </c>
      <c r="E116" s="515">
        <f>'SGTO POAI 2022'!BG172</f>
        <v>156567612</v>
      </c>
      <c r="F116" s="509">
        <f t="shared" si="4"/>
        <v>0.92001880752320675</v>
      </c>
      <c r="G116" s="516">
        <f>'SGTO POAI 2022'!BH172</f>
        <v>156567612</v>
      </c>
      <c r="H116" s="498">
        <f t="shared" si="3"/>
        <v>0.92001880752320675</v>
      </c>
    </row>
    <row r="117" spans="1:8" ht="36.75" customHeight="1" thickBot="1" x14ac:dyDescent="0.25">
      <c r="A117" s="550">
        <v>2</v>
      </c>
      <c r="B117" s="544" t="s">
        <v>333</v>
      </c>
      <c r="C117" s="535">
        <f>C118</f>
        <v>17514678</v>
      </c>
      <c r="D117" s="536">
        <f t="shared" si="5"/>
        <v>1</v>
      </c>
      <c r="E117" s="535">
        <f>E118</f>
        <v>17514000</v>
      </c>
      <c r="F117" s="509">
        <f t="shared" si="4"/>
        <v>0.99996128961091946</v>
      </c>
      <c r="G117" s="541">
        <f>G118</f>
        <v>17514000</v>
      </c>
      <c r="H117" s="498">
        <f t="shared" si="3"/>
        <v>0.99996128961091946</v>
      </c>
    </row>
    <row r="118" spans="1:8" ht="76.5" customHeight="1" thickBot="1" x14ac:dyDescent="0.25">
      <c r="A118" s="511">
        <v>2020003630097</v>
      </c>
      <c r="B118" s="512" t="s">
        <v>647</v>
      </c>
      <c r="C118" s="553">
        <f>'SGTO POAI 2022'!BF173</f>
        <v>17514678</v>
      </c>
      <c r="D118" s="514">
        <f t="shared" si="5"/>
        <v>1</v>
      </c>
      <c r="E118" s="515">
        <f>'SGTO POAI 2022'!BG173</f>
        <v>17514000</v>
      </c>
      <c r="F118" s="540">
        <f t="shared" si="4"/>
        <v>0.99996128961091946</v>
      </c>
      <c r="G118" s="516">
        <f>'SGTO POAI 2022'!BH173</f>
        <v>17514000</v>
      </c>
      <c r="H118" s="498">
        <f t="shared" si="3"/>
        <v>0.99996128961091946</v>
      </c>
    </row>
    <row r="119" spans="1:8" ht="33" customHeight="1" thickBot="1" x14ac:dyDescent="0.25">
      <c r="A119" s="695" t="s">
        <v>649</v>
      </c>
      <c r="B119" s="696"/>
      <c r="C119" s="543">
        <f>C120+C139+C142</f>
        <v>9813525250.4799995</v>
      </c>
      <c r="D119" s="531">
        <f t="shared" si="5"/>
        <v>1</v>
      </c>
      <c r="E119" s="543">
        <f>E120+E139+E142</f>
        <v>8815268025.170002</v>
      </c>
      <c r="F119" s="498">
        <f t="shared" si="4"/>
        <v>0.8982774079822976</v>
      </c>
      <c r="G119" s="543">
        <f>G120+G139+G142</f>
        <v>8768692425.170002</v>
      </c>
      <c r="H119" s="498">
        <f t="shared" si="3"/>
        <v>0.89353134590865879</v>
      </c>
    </row>
    <row r="120" spans="1:8" ht="29.25" customHeight="1" thickBot="1" x14ac:dyDescent="0.25">
      <c r="A120" s="499">
        <v>1</v>
      </c>
      <c r="B120" s="544" t="s">
        <v>112</v>
      </c>
      <c r="C120" s="535">
        <f>SUM(C121:C138)</f>
        <v>9430620135.4799995</v>
      </c>
      <c r="D120" s="536">
        <f>C120/C120</f>
        <v>1</v>
      </c>
      <c r="E120" s="535">
        <f>SUM(E121:E138)</f>
        <v>8538278450.170002</v>
      </c>
      <c r="F120" s="537">
        <f t="shared" si="4"/>
        <v>0.9053782601259891</v>
      </c>
      <c r="G120" s="535">
        <f>SUM(G121:G138)</f>
        <v>8491702850.170002</v>
      </c>
      <c r="H120" s="498">
        <f t="shared" si="3"/>
        <v>0.90043949689187552</v>
      </c>
    </row>
    <row r="121" spans="1:8" ht="66" customHeight="1" thickBot="1" x14ac:dyDescent="0.25">
      <c r="A121" s="511">
        <v>2020003630011</v>
      </c>
      <c r="B121" s="512" t="s">
        <v>654</v>
      </c>
      <c r="C121" s="513">
        <f>SUM('SGTO POAI 2022'!BF174:BF175)</f>
        <v>190958166</v>
      </c>
      <c r="D121" s="514">
        <f t="shared" si="5"/>
        <v>1</v>
      </c>
      <c r="E121" s="515">
        <f>SUM('SGTO POAI 2022'!BG174:BG175)</f>
        <v>190954666</v>
      </c>
      <c r="F121" s="509">
        <f t="shared" si="4"/>
        <v>0.99998167137822214</v>
      </c>
      <c r="G121" s="516">
        <f>SUM('SGTO POAI 2022'!BH174:BH175)</f>
        <v>190954666</v>
      </c>
      <c r="H121" s="498">
        <f t="shared" si="3"/>
        <v>0.99998167137822214</v>
      </c>
    </row>
    <row r="122" spans="1:8" ht="66" customHeight="1" thickBot="1" x14ac:dyDescent="0.25">
      <c r="A122" s="511">
        <v>2020003630098</v>
      </c>
      <c r="B122" s="517" t="s">
        <v>1314</v>
      </c>
      <c r="C122" s="513">
        <f>'SGTO POAI 2022'!BF176</f>
        <v>30004000</v>
      </c>
      <c r="D122" s="514">
        <f t="shared" si="5"/>
        <v>1</v>
      </c>
      <c r="E122" s="515">
        <f>'SGTO POAI 2022'!BG176</f>
        <v>30004000</v>
      </c>
      <c r="F122" s="509">
        <f t="shared" si="4"/>
        <v>1</v>
      </c>
      <c r="G122" s="516">
        <f>'SGTO POAI 2022'!BH176</f>
        <v>30004000</v>
      </c>
      <c r="H122" s="498">
        <f t="shared" si="3"/>
        <v>1</v>
      </c>
    </row>
    <row r="123" spans="1:8" ht="66" customHeight="1" thickBot="1" x14ac:dyDescent="0.25">
      <c r="A123" s="511">
        <v>2020003630099</v>
      </c>
      <c r="B123" s="517" t="s">
        <v>1138</v>
      </c>
      <c r="C123" s="513">
        <f>SUM('SGTO POAI 2022'!BF177:BF178)</f>
        <v>74446500</v>
      </c>
      <c r="D123" s="514">
        <f t="shared" si="5"/>
        <v>1</v>
      </c>
      <c r="E123" s="515">
        <f>SUM('SGTO POAI 2022'!BG177:BG178)</f>
        <v>74350333</v>
      </c>
      <c r="F123" s="509">
        <f t="shared" si="4"/>
        <v>0.99870824014560788</v>
      </c>
      <c r="G123" s="516">
        <f>SUM('SGTO POAI 2022'!BH177:BH178)</f>
        <v>74350333</v>
      </c>
      <c r="H123" s="498">
        <f t="shared" si="3"/>
        <v>0.99870824014560788</v>
      </c>
    </row>
    <row r="124" spans="1:8" ht="66" customHeight="1" thickBot="1" x14ac:dyDescent="0.25">
      <c r="A124" s="511">
        <v>2020003630100</v>
      </c>
      <c r="B124" s="517" t="s">
        <v>1315</v>
      </c>
      <c r="C124" s="513">
        <f>'SGTO POAI 2022'!BF179</f>
        <v>139973505</v>
      </c>
      <c r="D124" s="514">
        <f t="shared" si="5"/>
        <v>1</v>
      </c>
      <c r="E124" s="515">
        <f>'SGTO POAI 2022'!BG179</f>
        <v>139857834</v>
      </c>
      <c r="F124" s="509">
        <f t="shared" si="4"/>
        <v>0.99917362217942607</v>
      </c>
      <c r="G124" s="516">
        <f>'SGTO POAI 2022'!BH179</f>
        <v>139857834</v>
      </c>
      <c r="H124" s="498">
        <f t="shared" si="3"/>
        <v>0.99917362217942607</v>
      </c>
    </row>
    <row r="125" spans="1:8" ht="66" customHeight="1" thickBot="1" x14ac:dyDescent="0.25">
      <c r="A125" s="511">
        <v>2020003630101</v>
      </c>
      <c r="B125" s="517" t="s">
        <v>681</v>
      </c>
      <c r="C125" s="513">
        <f>'SGTO POAI 2022'!BF180</f>
        <v>741428751</v>
      </c>
      <c r="D125" s="514">
        <f t="shared" si="5"/>
        <v>1</v>
      </c>
      <c r="E125" s="515">
        <f>'SGTO POAI 2022'!BG180</f>
        <v>732240134.73000002</v>
      </c>
      <c r="F125" s="509">
        <f t="shared" si="4"/>
        <v>0.98760687893798715</v>
      </c>
      <c r="G125" s="516">
        <f>'SGTO POAI 2022'!BH180</f>
        <v>732240134.73000002</v>
      </c>
      <c r="H125" s="498">
        <f t="shared" si="3"/>
        <v>0.98760687893798715</v>
      </c>
    </row>
    <row r="126" spans="1:8" ht="66" customHeight="1" thickBot="1" x14ac:dyDescent="0.25">
      <c r="A126" s="511">
        <v>2020003630102</v>
      </c>
      <c r="B126" s="517" t="s">
        <v>691</v>
      </c>
      <c r="C126" s="513">
        <f>'SGTO POAI 2022'!BF181</f>
        <v>201429000</v>
      </c>
      <c r="D126" s="514">
        <f t="shared" si="5"/>
        <v>1</v>
      </c>
      <c r="E126" s="515">
        <f>'SGTO POAI 2022'!BG181</f>
        <v>190975052.59999999</v>
      </c>
      <c r="F126" s="509">
        <f t="shared" si="4"/>
        <v>0.94810108077784228</v>
      </c>
      <c r="G126" s="516">
        <f>'SGTO POAI 2022'!BH181</f>
        <v>190975052.59999999</v>
      </c>
      <c r="H126" s="498">
        <f t="shared" si="3"/>
        <v>0.94810108077784228</v>
      </c>
    </row>
    <row r="127" spans="1:8" ht="87" customHeight="1" thickBot="1" x14ac:dyDescent="0.25">
      <c r="A127" s="511">
        <v>2021003630010</v>
      </c>
      <c r="B127" s="517" t="s">
        <v>1316</v>
      </c>
      <c r="C127" s="513">
        <f>'SGTO POAI 2022'!BF182</f>
        <v>23050158</v>
      </c>
      <c r="D127" s="514">
        <f t="shared" si="5"/>
        <v>1</v>
      </c>
      <c r="E127" s="515">
        <f>'SGTO POAI 2022'!BG182</f>
        <v>22954000</v>
      </c>
      <c r="F127" s="509">
        <f t="shared" si="4"/>
        <v>0.99582831492955493</v>
      </c>
      <c r="G127" s="516">
        <f>'SGTO POAI 2022'!BH182</f>
        <v>22954000</v>
      </c>
      <c r="H127" s="498">
        <f t="shared" si="3"/>
        <v>0.99582831492955493</v>
      </c>
    </row>
    <row r="128" spans="1:8" ht="75.75" customHeight="1" thickBot="1" x14ac:dyDescent="0.25">
      <c r="A128" s="511">
        <v>2020003630033</v>
      </c>
      <c r="B128" s="517" t="s">
        <v>704</v>
      </c>
      <c r="C128" s="513">
        <f>SUM('SGTO POAI 2022'!BF183:BF184)</f>
        <v>33000000</v>
      </c>
      <c r="D128" s="514">
        <f t="shared" si="5"/>
        <v>1</v>
      </c>
      <c r="E128" s="515">
        <f>SUM('SGTO POAI 2022'!BG183:BG184)</f>
        <v>32843833</v>
      </c>
      <c r="F128" s="509">
        <f t="shared" si="4"/>
        <v>0.99526766666666666</v>
      </c>
      <c r="G128" s="516">
        <f>SUM('SGTO POAI 2022'!BH183:BH184)</f>
        <v>32843833</v>
      </c>
      <c r="H128" s="498">
        <f t="shared" si="3"/>
        <v>0.99526766666666666</v>
      </c>
    </row>
    <row r="129" spans="1:8" ht="88.5" customHeight="1" thickBot="1" x14ac:dyDescent="0.25">
      <c r="A129" s="511">
        <v>2020003630034</v>
      </c>
      <c r="B129" s="512" t="s">
        <v>715</v>
      </c>
      <c r="C129" s="513">
        <f>'SGTO POAI 2022'!BF185</f>
        <v>56045000</v>
      </c>
      <c r="D129" s="514">
        <f t="shared" si="5"/>
        <v>1</v>
      </c>
      <c r="E129" s="515">
        <f>'SGTO POAI 2022'!BG185</f>
        <v>54295000</v>
      </c>
      <c r="F129" s="509">
        <f t="shared" si="4"/>
        <v>0.96877509144437501</v>
      </c>
      <c r="G129" s="516">
        <f>'SGTO POAI 2022'!BH185</f>
        <v>54295000</v>
      </c>
      <c r="H129" s="498">
        <f t="shared" si="3"/>
        <v>0.96877509144437501</v>
      </c>
    </row>
    <row r="130" spans="1:8" ht="66" customHeight="1" thickBot="1" x14ac:dyDescent="0.25">
      <c r="A130" s="511">
        <v>2020003630103</v>
      </c>
      <c r="B130" s="512" t="s">
        <v>1180</v>
      </c>
      <c r="C130" s="513">
        <f>'SGTO POAI 2022'!BF186</f>
        <v>38500000</v>
      </c>
      <c r="D130" s="514">
        <f t="shared" si="5"/>
        <v>1</v>
      </c>
      <c r="E130" s="515">
        <f>'SGTO POAI 2022'!BG186</f>
        <v>19800000</v>
      </c>
      <c r="F130" s="509">
        <f t="shared" si="4"/>
        <v>0.51428571428571423</v>
      </c>
      <c r="G130" s="516">
        <f>'SGTO POAI 2022'!BH186</f>
        <v>19800000</v>
      </c>
      <c r="H130" s="498">
        <f t="shared" si="3"/>
        <v>0.51428571428571423</v>
      </c>
    </row>
    <row r="131" spans="1:8" ht="66" customHeight="1" thickBot="1" x14ac:dyDescent="0.25">
      <c r="A131" s="511">
        <v>2020003630104</v>
      </c>
      <c r="B131" s="512" t="s">
        <v>1317</v>
      </c>
      <c r="C131" s="513">
        <f>'SGTO POAI 2022'!BF187</f>
        <v>50217930</v>
      </c>
      <c r="D131" s="514">
        <f t="shared" si="5"/>
        <v>1</v>
      </c>
      <c r="E131" s="515">
        <f>'SGTO POAI 2022'!BG187</f>
        <v>37493463</v>
      </c>
      <c r="F131" s="509">
        <f t="shared" si="4"/>
        <v>0.74661506358386343</v>
      </c>
      <c r="G131" s="516">
        <f>'SGTO POAI 2022'!BH187</f>
        <v>37493463</v>
      </c>
      <c r="H131" s="498">
        <f t="shared" si="3"/>
        <v>0.74661506358386343</v>
      </c>
    </row>
    <row r="132" spans="1:8" ht="83.25" customHeight="1" thickBot="1" x14ac:dyDescent="0.25">
      <c r="A132" s="511">
        <v>2020003630105</v>
      </c>
      <c r="B132" s="512" t="s">
        <v>1174</v>
      </c>
      <c r="C132" s="513">
        <f>'SGTO POAI 2022'!BF188</f>
        <v>30000000</v>
      </c>
      <c r="D132" s="514">
        <f t="shared" si="5"/>
        <v>1</v>
      </c>
      <c r="E132" s="515">
        <f>'SGTO POAI 2022'!BG188</f>
        <v>27000000</v>
      </c>
      <c r="F132" s="509">
        <f t="shared" si="4"/>
        <v>0.9</v>
      </c>
      <c r="G132" s="516">
        <f>'SGTO POAI 2022'!BH188</f>
        <v>27000000</v>
      </c>
      <c r="H132" s="498">
        <f t="shared" ref="H132:H195" si="6">G132/C132</f>
        <v>0.9</v>
      </c>
    </row>
    <row r="133" spans="1:8" ht="66" customHeight="1" thickBot="1" x14ac:dyDescent="0.25">
      <c r="A133" s="511">
        <v>2020003630106</v>
      </c>
      <c r="B133" s="512" t="s">
        <v>1318</v>
      </c>
      <c r="C133" s="513">
        <f>'SGTO POAI 2022'!BF189</f>
        <v>30494667</v>
      </c>
      <c r="D133" s="514">
        <f t="shared" si="5"/>
        <v>1</v>
      </c>
      <c r="E133" s="515">
        <f>'SGTO POAI 2022'!BG189</f>
        <v>23859070</v>
      </c>
      <c r="F133" s="509">
        <f t="shared" si="4"/>
        <v>0.78240139497178307</v>
      </c>
      <c r="G133" s="516">
        <f>'SGTO POAI 2022'!BH189</f>
        <v>23859070</v>
      </c>
      <c r="H133" s="498">
        <f t="shared" si="6"/>
        <v>0.78240139497178307</v>
      </c>
    </row>
    <row r="134" spans="1:8" ht="66" customHeight="1" thickBot="1" x14ac:dyDescent="0.25">
      <c r="A134" s="511">
        <v>2020003630036</v>
      </c>
      <c r="B134" s="517" t="s">
        <v>1319</v>
      </c>
      <c r="C134" s="513">
        <f>'SGTO POAI 2022'!BF190+'SGTO POAI 2022'!BF191</f>
        <v>91300000</v>
      </c>
      <c r="D134" s="514">
        <f t="shared" si="5"/>
        <v>1</v>
      </c>
      <c r="E134" s="515">
        <f>'SGTO POAI 2022'!BG190+'SGTO POAI 2022'!BG191</f>
        <v>90289000</v>
      </c>
      <c r="F134" s="509">
        <f t="shared" si="4"/>
        <v>0.98892661555312156</v>
      </c>
      <c r="G134" s="516">
        <f>'SGTO POAI 2022'!BH190+'SGTO POAI 2022'!BH191</f>
        <v>43713400</v>
      </c>
      <c r="H134" s="498">
        <f t="shared" si="6"/>
        <v>0.47878860898138009</v>
      </c>
    </row>
    <row r="135" spans="1:8" ht="66" customHeight="1" thickBot="1" x14ac:dyDescent="0.25">
      <c r="A135" s="511">
        <v>2020003630037</v>
      </c>
      <c r="B135" s="517" t="s">
        <v>1178</v>
      </c>
      <c r="C135" s="513">
        <f>'SGTO POAI 2022'!BF192</f>
        <v>40679946</v>
      </c>
      <c r="D135" s="514">
        <f t="shared" si="5"/>
        <v>1</v>
      </c>
      <c r="E135" s="515">
        <f>'SGTO POAI 2022'!BG192</f>
        <v>37574800</v>
      </c>
      <c r="F135" s="509">
        <f t="shared" si="4"/>
        <v>0.92366887605996328</v>
      </c>
      <c r="G135" s="516">
        <f>'SGTO POAI 2022'!BH192</f>
        <v>37574800</v>
      </c>
      <c r="H135" s="498">
        <f t="shared" si="6"/>
        <v>0.92366887605996328</v>
      </c>
    </row>
    <row r="136" spans="1:8" ht="66" customHeight="1" thickBot="1" x14ac:dyDescent="0.25">
      <c r="A136" s="511">
        <v>2020003630035</v>
      </c>
      <c r="B136" s="512" t="s">
        <v>1179</v>
      </c>
      <c r="C136" s="513">
        <f>'SGTO POAI 2022'!BF193+'SGTO POAI 2022'!BF194</f>
        <v>244392519</v>
      </c>
      <c r="D136" s="514">
        <f t="shared" si="5"/>
        <v>1</v>
      </c>
      <c r="E136" s="515">
        <f>'SGTO POAI 2022'!BG193+'SGTO POAI 2022'!BG194</f>
        <v>239392518</v>
      </c>
      <c r="F136" s="509">
        <f t="shared" si="4"/>
        <v>0.97954110452947207</v>
      </c>
      <c r="G136" s="516">
        <f>'SGTO POAI 2022'!BH193+'SGTO POAI 2022'!BH194</f>
        <v>239392518</v>
      </c>
      <c r="H136" s="498">
        <f t="shared" si="6"/>
        <v>0.97954110452947207</v>
      </c>
    </row>
    <row r="137" spans="1:8" ht="66" customHeight="1" thickBot="1" x14ac:dyDescent="0.25">
      <c r="A137" s="511">
        <v>2020003630012</v>
      </c>
      <c r="B137" s="517" t="s">
        <v>1165</v>
      </c>
      <c r="C137" s="513">
        <f>'SGTO POAI 2022'!BF195</f>
        <v>60000000</v>
      </c>
      <c r="D137" s="514">
        <f t="shared" si="5"/>
        <v>1</v>
      </c>
      <c r="E137" s="515">
        <f>'SGTO POAI 2022'!BG195</f>
        <v>54034903</v>
      </c>
      <c r="F137" s="509">
        <f t="shared" si="4"/>
        <v>0.90058171666666664</v>
      </c>
      <c r="G137" s="516">
        <f>'SGTO POAI 2022'!BH195</f>
        <v>54034903</v>
      </c>
      <c r="H137" s="498">
        <f t="shared" si="6"/>
        <v>0.90058171666666664</v>
      </c>
    </row>
    <row r="138" spans="1:8" ht="66" customHeight="1" thickBot="1" x14ac:dyDescent="0.25">
      <c r="A138" s="511">
        <v>2020003630109</v>
      </c>
      <c r="B138" s="517" t="s">
        <v>763</v>
      </c>
      <c r="C138" s="513">
        <f>'SGTO POAI 2022'!BF196+'SGTO POAI 2022'!BF197</f>
        <v>7354699993.4799995</v>
      </c>
      <c r="D138" s="514">
        <f t="shared" si="5"/>
        <v>1</v>
      </c>
      <c r="E138" s="515">
        <f>'SGTO POAI 2022'!BG196+'SGTO POAI 2022'!BG197</f>
        <v>6540359842.8400021</v>
      </c>
      <c r="F138" s="509">
        <f t="shared" ref="F138:F200" si="7">E138/C138</f>
        <v>0.88927622454186894</v>
      </c>
      <c r="G138" s="516">
        <f>'SGTO POAI 2022'!BH196+'SGTO POAI 2022'!BH197</f>
        <v>6540359842.8400021</v>
      </c>
      <c r="H138" s="498">
        <f t="shared" si="6"/>
        <v>0.88927622454186894</v>
      </c>
    </row>
    <row r="139" spans="1:8" ht="29.25" customHeight="1" thickBot="1" x14ac:dyDescent="0.25">
      <c r="A139" s="550">
        <v>2</v>
      </c>
      <c r="B139" s="544" t="s">
        <v>333</v>
      </c>
      <c r="C139" s="535">
        <f>SUM(C140:C141)</f>
        <v>42000000</v>
      </c>
      <c r="D139" s="536">
        <f t="shared" si="5"/>
        <v>1</v>
      </c>
      <c r="E139" s="535">
        <f>SUM(E140:E141)</f>
        <v>42000000</v>
      </c>
      <c r="F139" s="509">
        <f t="shared" si="7"/>
        <v>1</v>
      </c>
      <c r="G139" s="541">
        <f>SUM(G140:G141)</f>
        <v>42000000</v>
      </c>
      <c r="H139" s="498">
        <f t="shared" si="6"/>
        <v>1</v>
      </c>
    </row>
    <row r="140" spans="1:8" ht="58.5" customHeight="1" thickBot="1" x14ac:dyDescent="0.25">
      <c r="A140" s="511">
        <v>2020003630113</v>
      </c>
      <c r="B140" s="517" t="s">
        <v>774</v>
      </c>
      <c r="C140" s="513">
        <f>'SGTO POAI 2022'!BF198</f>
        <v>18000000</v>
      </c>
      <c r="D140" s="514">
        <f t="shared" si="5"/>
        <v>1</v>
      </c>
      <c r="E140" s="515">
        <f>'SGTO POAI 2022'!BG198</f>
        <v>18000000</v>
      </c>
      <c r="F140" s="509">
        <f t="shared" si="7"/>
        <v>1</v>
      </c>
      <c r="G140" s="516">
        <f>'SGTO POAI 2022'!BH198</f>
        <v>18000000</v>
      </c>
      <c r="H140" s="498">
        <f t="shared" si="6"/>
        <v>1</v>
      </c>
    </row>
    <row r="141" spans="1:8" ht="66" customHeight="1" thickBot="1" x14ac:dyDescent="0.25">
      <c r="A141" s="511">
        <v>2020003630114</v>
      </c>
      <c r="B141" s="517" t="s">
        <v>779</v>
      </c>
      <c r="C141" s="513">
        <f>'SGTO POAI 2022'!BF199</f>
        <v>24000000</v>
      </c>
      <c r="D141" s="514">
        <f t="shared" si="5"/>
        <v>1</v>
      </c>
      <c r="E141" s="515">
        <f>'SGTO POAI 2022'!BG199</f>
        <v>24000000</v>
      </c>
      <c r="F141" s="509">
        <f t="shared" si="7"/>
        <v>1</v>
      </c>
      <c r="G141" s="516">
        <f>'SGTO POAI 2022'!BH199</f>
        <v>24000000</v>
      </c>
      <c r="H141" s="498">
        <f t="shared" si="6"/>
        <v>1</v>
      </c>
    </row>
    <row r="142" spans="1:8" ht="44.25" customHeight="1" thickBot="1" x14ac:dyDescent="0.25">
      <c r="A142" s="550">
        <v>4</v>
      </c>
      <c r="B142" s="534" t="s">
        <v>27</v>
      </c>
      <c r="C142" s="535">
        <f>SUM(C143:C147)</f>
        <v>340905115</v>
      </c>
      <c r="D142" s="536">
        <f t="shared" si="5"/>
        <v>1</v>
      </c>
      <c r="E142" s="535">
        <f>SUM(E143:E147)</f>
        <v>234989575</v>
      </c>
      <c r="F142" s="509">
        <f t="shared" si="7"/>
        <v>0.68931079253533645</v>
      </c>
      <c r="G142" s="541">
        <f>SUM(G143:G147)</f>
        <v>234989575</v>
      </c>
      <c r="H142" s="498">
        <f t="shared" si="6"/>
        <v>0.68931079253533645</v>
      </c>
    </row>
    <row r="143" spans="1:8" ht="66" customHeight="1" thickBot="1" x14ac:dyDescent="0.25">
      <c r="A143" s="511">
        <v>2020003630115</v>
      </c>
      <c r="B143" s="517" t="s">
        <v>785</v>
      </c>
      <c r="C143" s="513">
        <f>'SGTO POAI 2022'!BF200</f>
        <v>15000000</v>
      </c>
      <c r="D143" s="514">
        <f t="shared" si="5"/>
        <v>1</v>
      </c>
      <c r="E143" s="515">
        <f>'SGTO POAI 2022'!BG200</f>
        <v>0</v>
      </c>
      <c r="F143" s="509">
        <f t="shared" si="7"/>
        <v>0</v>
      </c>
      <c r="G143" s="516">
        <f>'SGTO POAI 2022'!BH200</f>
        <v>0</v>
      </c>
      <c r="H143" s="498">
        <f t="shared" si="6"/>
        <v>0</v>
      </c>
    </row>
    <row r="144" spans="1:8" ht="66" customHeight="1" thickBot="1" x14ac:dyDescent="0.25">
      <c r="A144" s="511">
        <v>2021003630008</v>
      </c>
      <c r="B144" s="512" t="s">
        <v>791</v>
      </c>
      <c r="C144" s="513">
        <f>'SGTO POAI 2022'!BF201</f>
        <v>89210000</v>
      </c>
      <c r="D144" s="514">
        <f t="shared" si="5"/>
        <v>1</v>
      </c>
      <c r="E144" s="515">
        <f>'SGTO POAI 2022'!BG201</f>
        <v>85728875</v>
      </c>
      <c r="F144" s="509">
        <f t="shared" si="7"/>
        <v>0.9609783096065464</v>
      </c>
      <c r="G144" s="516">
        <f>'SGTO POAI 2022'!BH201</f>
        <v>85728875</v>
      </c>
      <c r="H144" s="498">
        <f t="shared" si="6"/>
        <v>0.9609783096065464</v>
      </c>
    </row>
    <row r="145" spans="1:8" ht="66" customHeight="1" thickBot="1" x14ac:dyDescent="0.25">
      <c r="A145" s="511">
        <v>2021003630007</v>
      </c>
      <c r="B145" s="512" t="s">
        <v>1320</v>
      </c>
      <c r="C145" s="513">
        <f>'SGTO POAI 2022'!BF202</f>
        <v>90000000</v>
      </c>
      <c r="D145" s="514">
        <f t="shared" si="5"/>
        <v>1</v>
      </c>
      <c r="E145" s="515">
        <f>'SGTO POAI 2022'!BG202</f>
        <v>59797533</v>
      </c>
      <c r="F145" s="509">
        <f t="shared" si="7"/>
        <v>0.66441703333333335</v>
      </c>
      <c r="G145" s="516">
        <f>'SGTO POAI 2022'!BH202</f>
        <v>59797533</v>
      </c>
      <c r="H145" s="498">
        <f t="shared" si="6"/>
        <v>0.66441703333333335</v>
      </c>
    </row>
    <row r="146" spans="1:8" ht="81.75" customHeight="1" thickBot="1" x14ac:dyDescent="0.25">
      <c r="A146" s="511">
        <v>2020003630111</v>
      </c>
      <c r="B146" s="512" t="s">
        <v>1321</v>
      </c>
      <c r="C146" s="513">
        <f>'SGTO POAI 2022'!BF203</f>
        <v>62843334</v>
      </c>
      <c r="D146" s="514">
        <f t="shared" si="5"/>
        <v>1</v>
      </c>
      <c r="E146" s="515">
        <f>'SGTO POAI 2022'!BG203</f>
        <v>48426500</v>
      </c>
      <c r="F146" s="509">
        <f t="shared" si="7"/>
        <v>0.77059087921719749</v>
      </c>
      <c r="G146" s="516">
        <f>'SGTO POAI 2022'!BH203</f>
        <v>48426500</v>
      </c>
      <c r="H146" s="498">
        <f t="shared" si="6"/>
        <v>0.77059087921719749</v>
      </c>
    </row>
    <row r="147" spans="1:8" ht="66" customHeight="1" thickBot="1" x14ac:dyDescent="0.25">
      <c r="A147" s="511">
        <v>2020003630112</v>
      </c>
      <c r="B147" s="512" t="s">
        <v>801</v>
      </c>
      <c r="C147" s="513">
        <f>'SGTO POAI 2022'!BF204</f>
        <v>83851781</v>
      </c>
      <c r="D147" s="514">
        <f t="shared" si="5"/>
        <v>1</v>
      </c>
      <c r="E147" s="515">
        <f>'SGTO POAI 2022'!BG204</f>
        <v>41036667</v>
      </c>
      <c r="F147" s="540">
        <f t="shared" si="7"/>
        <v>0.48939529382208352</v>
      </c>
      <c r="G147" s="516">
        <f>'SGTO POAI 2022'!BH204</f>
        <v>41036667</v>
      </c>
      <c r="H147" s="498">
        <f t="shared" si="6"/>
        <v>0.48939529382208352</v>
      </c>
    </row>
    <row r="148" spans="1:8" ht="36.75" customHeight="1" thickBot="1" x14ac:dyDescent="0.25">
      <c r="A148" s="695" t="s">
        <v>1322</v>
      </c>
      <c r="B148" s="696"/>
      <c r="C148" s="530">
        <f>C149</f>
        <v>75585964556.719986</v>
      </c>
      <c r="D148" s="496">
        <f t="shared" si="5"/>
        <v>1</v>
      </c>
      <c r="E148" s="530">
        <f>E149</f>
        <v>70267070745.26001</v>
      </c>
      <c r="F148" s="498">
        <f t="shared" si="7"/>
        <v>0.92963119750269696</v>
      </c>
      <c r="G148" s="530">
        <f>G149</f>
        <v>69609471626.580002</v>
      </c>
      <c r="H148" s="498">
        <f t="shared" si="6"/>
        <v>0.92093118126904105</v>
      </c>
    </row>
    <row r="149" spans="1:8" ht="36" customHeight="1" thickBot="1" x14ac:dyDescent="0.25">
      <c r="A149" s="499">
        <v>1</v>
      </c>
      <c r="B149" s="544" t="s">
        <v>112</v>
      </c>
      <c r="C149" s="535">
        <f>SUM(C150:C172)</f>
        <v>75585964556.719986</v>
      </c>
      <c r="D149" s="536">
        <f t="shared" si="5"/>
        <v>1</v>
      </c>
      <c r="E149" s="535">
        <f>SUM(E150:E172)</f>
        <v>70267070745.26001</v>
      </c>
      <c r="F149" s="537">
        <f t="shared" si="7"/>
        <v>0.92963119750269696</v>
      </c>
      <c r="G149" s="535">
        <f>SUM(G150:G172)</f>
        <v>69609471626.580002</v>
      </c>
      <c r="H149" s="498">
        <f t="shared" si="6"/>
        <v>0.92093118126904105</v>
      </c>
    </row>
    <row r="150" spans="1:8" ht="66" customHeight="1" thickBot="1" x14ac:dyDescent="0.25">
      <c r="A150" s="511">
        <v>2020003630116</v>
      </c>
      <c r="B150" s="517" t="s">
        <v>810</v>
      </c>
      <c r="C150" s="513">
        <f>SUM('SGTO POAI 2022'!BF205:BF212)</f>
        <v>2372321649.6199999</v>
      </c>
      <c r="D150" s="514">
        <f t="shared" si="5"/>
        <v>1</v>
      </c>
      <c r="E150" s="515">
        <f>SUM('SGTO POAI 2022'!BG205:BG212)</f>
        <v>1069544773.58</v>
      </c>
      <c r="F150" s="509">
        <f t="shared" si="7"/>
        <v>0.4508430691729009</v>
      </c>
      <c r="G150" s="516">
        <f>SUM('SGTO POAI 2022'!BH205:BH212)</f>
        <v>1036630052.4000001</v>
      </c>
      <c r="H150" s="498">
        <f t="shared" si="6"/>
        <v>0.43696859258779186</v>
      </c>
    </row>
    <row r="151" spans="1:8" ht="66" customHeight="1" thickBot="1" x14ac:dyDescent="0.25">
      <c r="A151" s="511">
        <v>2020003630117</v>
      </c>
      <c r="B151" s="517" t="s">
        <v>835</v>
      </c>
      <c r="C151" s="513">
        <f>SUM('SGTO POAI 2022'!BF213:BF214)</f>
        <v>457363335</v>
      </c>
      <c r="D151" s="514">
        <f t="shared" si="5"/>
        <v>1</v>
      </c>
      <c r="E151" s="515">
        <f>SUM('SGTO POAI 2022'!BG213:BG214)</f>
        <v>407736773</v>
      </c>
      <c r="F151" s="509">
        <f t="shared" si="7"/>
        <v>0.89149422745047979</v>
      </c>
      <c r="G151" s="516">
        <f>SUM('SGTO POAI 2022'!BH213:BH214)</f>
        <v>407736773</v>
      </c>
      <c r="H151" s="498">
        <f t="shared" si="6"/>
        <v>0.89149422745047979</v>
      </c>
    </row>
    <row r="152" spans="1:8" ht="66" customHeight="1" thickBot="1" x14ac:dyDescent="0.25">
      <c r="A152" s="511">
        <v>2020003630118</v>
      </c>
      <c r="B152" s="517" t="s">
        <v>1170</v>
      </c>
      <c r="C152" s="513">
        <f>SUM('SGTO POAI 2022'!BF215:BF217)</f>
        <v>1325383125</v>
      </c>
      <c r="D152" s="514">
        <f t="shared" si="5"/>
        <v>1</v>
      </c>
      <c r="E152" s="515">
        <f>SUM('SGTO POAI 2022'!BG215:BG217)</f>
        <v>1261190675.6300001</v>
      </c>
      <c r="F152" s="509">
        <f t="shared" si="7"/>
        <v>0.95156687288439723</v>
      </c>
      <c r="G152" s="516">
        <f>SUM('SGTO POAI 2022'!BH215:BH217)</f>
        <v>1194698856.1300001</v>
      </c>
      <c r="H152" s="498">
        <f t="shared" si="6"/>
        <v>0.90139887372566341</v>
      </c>
    </row>
    <row r="153" spans="1:8" ht="66" customHeight="1" thickBot="1" x14ac:dyDescent="0.25">
      <c r="A153" s="511">
        <v>2020003630119</v>
      </c>
      <c r="B153" s="517" t="s">
        <v>849</v>
      </c>
      <c r="C153" s="513">
        <f>'SGTO POAI 2022'!BF218</f>
        <v>96954000</v>
      </c>
      <c r="D153" s="514">
        <f t="shared" si="5"/>
        <v>1</v>
      </c>
      <c r="E153" s="515">
        <f>'SGTO POAI 2022'!BG218</f>
        <v>95074000</v>
      </c>
      <c r="F153" s="509">
        <f t="shared" si="7"/>
        <v>0.98060936114033459</v>
      </c>
      <c r="G153" s="516">
        <f>'SGTO POAI 2022'!BH218</f>
        <v>95074000</v>
      </c>
      <c r="H153" s="498">
        <f t="shared" si="6"/>
        <v>0.98060936114033459</v>
      </c>
    </row>
    <row r="154" spans="1:8" ht="66" customHeight="1" thickBot="1" x14ac:dyDescent="0.25">
      <c r="A154" s="511">
        <v>2020003630120</v>
      </c>
      <c r="B154" s="517" t="s">
        <v>854</v>
      </c>
      <c r="C154" s="513">
        <f>SUM('SGTO POAI 2022'!BF219:BF222)</f>
        <v>89636000</v>
      </c>
      <c r="D154" s="514">
        <f t="shared" si="5"/>
        <v>1</v>
      </c>
      <c r="E154" s="515">
        <f>SUM('SGTO POAI 2022'!BG219:BG222)</f>
        <v>85791332</v>
      </c>
      <c r="F154" s="509">
        <f t="shared" si="7"/>
        <v>0.95710799232451249</v>
      </c>
      <c r="G154" s="516">
        <f>SUM('SGTO POAI 2022'!BH219:BH222)</f>
        <v>85791332</v>
      </c>
      <c r="H154" s="498">
        <f t="shared" si="6"/>
        <v>0.95710799232451249</v>
      </c>
    </row>
    <row r="155" spans="1:8" ht="66" customHeight="1" thickBot="1" x14ac:dyDescent="0.25">
      <c r="A155" s="511">
        <v>2020003630121</v>
      </c>
      <c r="B155" s="517" t="s">
        <v>863</v>
      </c>
      <c r="C155" s="513">
        <f>SUM('SGTO POAI 2022'!BF223:BF226)</f>
        <v>159135000</v>
      </c>
      <c r="D155" s="514">
        <f t="shared" si="5"/>
        <v>1</v>
      </c>
      <c r="E155" s="515">
        <f>SUM('SGTO POAI 2022'!BG223:BG226)</f>
        <v>159135000</v>
      </c>
      <c r="F155" s="509">
        <f t="shared" si="7"/>
        <v>1</v>
      </c>
      <c r="G155" s="516">
        <f>SUM('SGTO POAI 2022'!BH223:BH226)</f>
        <v>159135000</v>
      </c>
      <c r="H155" s="498">
        <f t="shared" si="6"/>
        <v>1</v>
      </c>
    </row>
    <row r="156" spans="1:8" ht="66" customHeight="1" thickBot="1" x14ac:dyDescent="0.25">
      <c r="A156" s="511">
        <v>2020003630122</v>
      </c>
      <c r="B156" s="517" t="s">
        <v>875</v>
      </c>
      <c r="C156" s="513">
        <f>SUM('SGTO POAI 2022'!BF227:BF228)</f>
        <v>115335000</v>
      </c>
      <c r="D156" s="514">
        <f t="shared" si="5"/>
        <v>1</v>
      </c>
      <c r="E156" s="515">
        <f>SUM('SGTO POAI 2022'!BG227:BG228)</f>
        <v>110828666</v>
      </c>
      <c r="F156" s="509">
        <f t="shared" si="7"/>
        <v>0.96092830450427014</v>
      </c>
      <c r="G156" s="516">
        <f>SUM('SGTO POAI 2022'!BH227:BH228)</f>
        <v>110828666</v>
      </c>
      <c r="H156" s="498">
        <f t="shared" si="6"/>
        <v>0.96092830450427014</v>
      </c>
    </row>
    <row r="157" spans="1:8" ht="66" customHeight="1" thickBot="1" x14ac:dyDescent="0.25">
      <c r="A157" s="511">
        <v>2020003630123</v>
      </c>
      <c r="B157" s="517" t="s">
        <v>881</v>
      </c>
      <c r="C157" s="513">
        <f>SUM('SGTO POAI 2022'!BF229:BF235)</f>
        <v>299000000</v>
      </c>
      <c r="D157" s="514">
        <f t="shared" si="5"/>
        <v>1</v>
      </c>
      <c r="E157" s="515">
        <f>SUM('SGTO POAI 2022'!BG229:BG235)</f>
        <v>264390860</v>
      </c>
      <c r="F157" s="509">
        <f t="shared" si="7"/>
        <v>0.88425036789297662</v>
      </c>
      <c r="G157" s="516">
        <f>SUM('SGTO POAI 2022'!BH229:BH235)</f>
        <v>234390860</v>
      </c>
      <c r="H157" s="498">
        <f t="shared" si="6"/>
        <v>0.78391591973244146</v>
      </c>
    </row>
    <row r="158" spans="1:8" ht="66" customHeight="1" thickBot="1" x14ac:dyDescent="0.25">
      <c r="A158" s="511">
        <v>2020003630124</v>
      </c>
      <c r="B158" s="517" t="s">
        <v>903</v>
      </c>
      <c r="C158" s="513">
        <f>SUM('SGTO POAI 2022'!BF236:BF237)</f>
        <v>197445000</v>
      </c>
      <c r="D158" s="514">
        <f t="shared" si="5"/>
        <v>1</v>
      </c>
      <c r="E158" s="515">
        <f>SUM('SGTO POAI 2022'!BG236:BG237)</f>
        <v>188747832</v>
      </c>
      <c r="F158" s="509">
        <f t="shared" si="7"/>
        <v>0.95595143964141915</v>
      </c>
      <c r="G158" s="516">
        <f>SUM('SGTO POAI 2022'!BH236:BH237)</f>
        <v>188747832</v>
      </c>
      <c r="H158" s="498">
        <f t="shared" si="6"/>
        <v>0.95595143964141915</v>
      </c>
    </row>
    <row r="159" spans="1:8" ht="66" customHeight="1" thickBot="1" x14ac:dyDescent="0.25">
      <c r="A159" s="511">
        <v>2020003630125</v>
      </c>
      <c r="B159" s="517" t="s">
        <v>910</v>
      </c>
      <c r="C159" s="513">
        <f>SUM('SGTO POAI 2022'!BF238:BF240)</f>
        <v>965239644</v>
      </c>
      <c r="D159" s="514">
        <f t="shared" si="5"/>
        <v>1</v>
      </c>
      <c r="E159" s="515">
        <f>SUM('SGTO POAI 2022'!BG238:BG240)</f>
        <v>788453846</v>
      </c>
      <c r="F159" s="509">
        <f t="shared" si="7"/>
        <v>0.81684776511313706</v>
      </c>
      <c r="G159" s="516">
        <f>SUM('SGTO POAI 2022'!BH238:BH240)</f>
        <v>787011346</v>
      </c>
      <c r="H159" s="498">
        <f t="shared" si="6"/>
        <v>0.81535331758503693</v>
      </c>
    </row>
    <row r="160" spans="1:8" ht="66" customHeight="1" thickBot="1" x14ac:dyDescent="0.25">
      <c r="A160" s="511">
        <v>2020003630126</v>
      </c>
      <c r="B160" s="517" t="s">
        <v>1184</v>
      </c>
      <c r="C160" s="513">
        <f>SUM('SGTO POAI 2022'!BF241:BF242)</f>
        <v>285502334</v>
      </c>
      <c r="D160" s="514">
        <f t="shared" si="5"/>
        <v>1</v>
      </c>
      <c r="E160" s="515">
        <f>SUM('SGTO POAI 2022'!BG241:BG242)</f>
        <v>245747666</v>
      </c>
      <c r="F160" s="509">
        <f t="shared" si="7"/>
        <v>0.86075536601392544</v>
      </c>
      <c r="G160" s="516">
        <f>SUM('SGTO POAI 2022'!BH241:BH242)</f>
        <v>245747666</v>
      </c>
      <c r="H160" s="498">
        <f t="shared" si="6"/>
        <v>0.86075536601392544</v>
      </c>
    </row>
    <row r="161" spans="1:8" ht="66" customHeight="1" thickBot="1" x14ac:dyDescent="0.25">
      <c r="A161" s="511">
        <v>2020003630127</v>
      </c>
      <c r="B161" s="517" t="s">
        <v>922</v>
      </c>
      <c r="C161" s="513">
        <f>SUM('SGTO POAI 2022'!BF243:BF245)</f>
        <v>578960755.84000015</v>
      </c>
      <c r="D161" s="514">
        <f t="shared" ref="D161:D200" si="8">C161/C161</f>
        <v>1</v>
      </c>
      <c r="E161" s="515">
        <f>SUM('SGTO POAI 2022'!BG243:BG245)</f>
        <v>356129183.78999996</v>
      </c>
      <c r="F161" s="509">
        <f t="shared" si="7"/>
        <v>0.61511800272766459</v>
      </c>
      <c r="G161" s="516">
        <f>SUM('SGTO POAI 2022'!BH243:BH245)</f>
        <v>340879183.78999996</v>
      </c>
      <c r="H161" s="498">
        <f t="shared" si="6"/>
        <v>0.58877770272257335</v>
      </c>
    </row>
    <row r="162" spans="1:8" ht="66" customHeight="1" thickBot="1" x14ac:dyDescent="0.25">
      <c r="A162" s="511">
        <v>2020003630128</v>
      </c>
      <c r="B162" s="517" t="s">
        <v>930</v>
      </c>
      <c r="C162" s="513">
        <f>SUM('SGTO POAI 2022'!BF246:BF247)</f>
        <v>600574860</v>
      </c>
      <c r="D162" s="514">
        <f t="shared" si="8"/>
        <v>1</v>
      </c>
      <c r="E162" s="515">
        <f>SUM('SGTO POAI 2022'!BG246:BG247)</f>
        <v>529677539</v>
      </c>
      <c r="F162" s="509">
        <f t="shared" si="7"/>
        <v>0.88195090117491759</v>
      </c>
      <c r="G162" s="516">
        <f>SUM('SGTO POAI 2022'!BH246:BH247)</f>
        <v>529677539</v>
      </c>
      <c r="H162" s="498">
        <f t="shared" si="6"/>
        <v>0.88195090117491759</v>
      </c>
    </row>
    <row r="163" spans="1:8" ht="66" customHeight="1" thickBot="1" x14ac:dyDescent="0.25">
      <c r="A163" s="511">
        <v>2020003630129</v>
      </c>
      <c r="B163" s="517" t="s">
        <v>931</v>
      </c>
      <c r="C163" s="513">
        <f>SUM('SGTO POAI 2022'!BF248:BF249)</f>
        <v>233482940</v>
      </c>
      <c r="D163" s="514">
        <f t="shared" si="8"/>
        <v>1</v>
      </c>
      <c r="E163" s="515">
        <f>SUM('SGTO POAI 2022'!BG248:BG249)</f>
        <v>178716666</v>
      </c>
      <c r="F163" s="509">
        <f t="shared" si="7"/>
        <v>0.76543779172902315</v>
      </c>
      <c r="G163" s="516">
        <f>SUM('SGTO POAI 2022'!BH248:BH249)</f>
        <v>178716666</v>
      </c>
      <c r="H163" s="498">
        <f t="shared" si="6"/>
        <v>0.76543779172902315</v>
      </c>
    </row>
    <row r="164" spans="1:8" ht="66" customHeight="1" thickBot="1" x14ac:dyDescent="0.25">
      <c r="A164" s="511">
        <v>2020003630130</v>
      </c>
      <c r="B164" s="517" t="s">
        <v>933</v>
      </c>
      <c r="C164" s="513">
        <f>'SGTO POAI 2022'!BF250</f>
        <v>451835000</v>
      </c>
      <c r="D164" s="514">
        <f t="shared" si="8"/>
        <v>1</v>
      </c>
      <c r="E164" s="515">
        <f>'SGTO POAI 2022'!BG250</f>
        <v>420637039</v>
      </c>
      <c r="F164" s="509">
        <f t="shared" si="7"/>
        <v>0.93095275709053082</v>
      </c>
      <c r="G164" s="516">
        <f>'SGTO POAI 2022'!BH250</f>
        <v>415482039</v>
      </c>
      <c r="H164" s="498">
        <f t="shared" si="6"/>
        <v>0.91954372503236803</v>
      </c>
    </row>
    <row r="165" spans="1:8" ht="68.25" customHeight="1" thickBot="1" x14ac:dyDescent="0.25">
      <c r="A165" s="511">
        <v>2020003630131</v>
      </c>
      <c r="B165" s="517" t="s">
        <v>1171</v>
      </c>
      <c r="C165" s="513">
        <f>'SGTO POAI 2022'!BF251</f>
        <v>20000000</v>
      </c>
      <c r="D165" s="514">
        <f t="shared" si="8"/>
        <v>1</v>
      </c>
      <c r="E165" s="515">
        <f>'SGTO POAI 2022'!BG251</f>
        <v>14834167</v>
      </c>
      <c r="F165" s="509">
        <f t="shared" si="7"/>
        <v>0.74170835000000002</v>
      </c>
      <c r="G165" s="516">
        <f>'SGTO POAI 2022'!BH251</f>
        <v>14834167</v>
      </c>
      <c r="H165" s="498">
        <f t="shared" si="6"/>
        <v>0.74170835000000002</v>
      </c>
    </row>
    <row r="166" spans="1:8" ht="66" customHeight="1" thickBot="1" x14ac:dyDescent="0.25">
      <c r="A166" s="511">
        <v>2020003630132</v>
      </c>
      <c r="B166" s="517" t="s">
        <v>941</v>
      </c>
      <c r="C166" s="513">
        <f>'SGTO POAI 2022'!BF252</f>
        <v>93077333</v>
      </c>
      <c r="D166" s="514">
        <f t="shared" si="8"/>
        <v>1</v>
      </c>
      <c r="E166" s="515">
        <f>'SGTO POAI 2022'!BG252</f>
        <v>85284607</v>
      </c>
      <c r="F166" s="509">
        <f t="shared" si="7"/>
        <v>0.91627686624841298</v>
      </c>
      <c r="G166" s="516">
        <f>'SGTO POAI 2022'!BH252</f>
        <v>85284607</v>
      </c>
      <c r="H166" s="498">
        <f t="shared" si="6"/>
        <v>0.91627686624841298</v>
      </c>
    </row>
    <row r="167" spans="1:8" ht="66" customHeight="1" thickBot="1" x14ac:dyDescent="0.25">
      <c r="A167" s="511">
        <v>2020003630133</v>
      </c>
      <c r="B167" s="517" t="s">
        <v>944</v>
      </c>
      <c r="C167" s="513">
        <f>'SGTO POAI 2022'!BF253</f>
        <v>598677003</v>
      </c>
      <c r="D167" s="514">
        <f t="shared" si="8"/>
        <v>1</v>
      </c>
      <c r="E167" s="515">
        <f>'SGTO POAI 2022'!BG253</f>
        <v>572873599</v>
      </c>
      <c r="F167" s="509">
        <f t="shared" si="7"/>
        <v>0.95689928981621497</v>
      </c>
      <c r="G167" s="516">
        <f>'SGTO POAI 2022'!BH253</f>
        <v>534553599</v>
      </c>
      <c r="H167" s="498">
        <f t="shared" si="6"/>
        <v>0.89289148626275194</v>
      </c>
    </row>
    <row r="168" spans="1:8" ht="66" customHeight="1" thickBot="1" x14ac:dyDescent="0.25">
      <c r="A168" s="511">
        <v>2020003630134</v>
      </c>
      <c r="B168" s="517" t="s">
        <v>952</v>
      </c>
      <c r="C168" s="513">
        <f>'SGTO POAI 2022'!BF254</f>
        <v>399900000</v>
      </c>
      <c r="D168" s="514">
        <f t="shared" si="8"/>
        <v>1</v>
      </c>
      <c r="E168" s="515">
        <f>'SGTO POAI 2022'!BG254</f>
        <v>387176318</v>
      </c>
      <c r="F168" s="509">
        <f t="shared" si="7"/>
        <v>0.96818284071017757</v>
      </c>
      <c r="G168" s="516">
        <f>'SGTO POAI 2022'!BH254</f>
        <v>344108818</v>
      </c>
      <c r="H168" s="498">
        <f t="shared" si="6"/>
        <v>0.8604871667916979</v>
      </c>
    </row>
    <row r="169" spans="1:8" ht="66" customHeight="1" thickBot="1" x14ac:dyDescent="0.25">
      <c r="A169" s="511">
        <v>2020003630135</v>
      </c>
      <c r="B169" s="517" t="s">
        <v>1323</v>
      </c>
      <c r="C169" s="513">
        <f>'SGTO POAI 2022'!BF255</f>
        <v>2183551404.0999999</v>
      </c>
      <c r="D169" s="514">
        <f t="shared" si="8"/>
        <v>1</v>
      </c>
      <c r="E169" s="515">
        <f>'SGTO POAI 2022'!BG255</f>
        <v>1747063038</v>
      </c>
      <c r="F169" s="509">
        <f t="shared" si="7"/>
        <v>0.80010163017897518</v>
      </c>
      <c r="G169" s="516">
        <f>'SGTO POAI 2022'!BH255</f>
        <v>1544178038</v>
      </c>
      <c r="H169" s="498">
        <f t="shared" si="6"/>
        <v>0.70718648303884002</v>
      </c>
    </row>
    <row r="170" spans="1:8" ht="66" customHeight="1" thickBot="1" x14ac:dyDescent="0.25">
      <c r="A170" s="511">
        <v>2020003630136</v>
      </c>
      <c r="B170" s="517" t="s">
        <v>956</v>
      </c>
      <c r="C170" s="513">
        <f>'SGTO POAI 2022'!BF256</f>
        <v>44354087958.649994</v>
      </c>
      <c r="D170" s="514">
        <f t="shared" si="8"/>
        <v>1</v>
      </c>
      <c r="E170" s="515">
        <f>'SGTO POAI 2022'!BG256</f>
        <v>42500369742.260002</v>
      </c>
      <c r="F170" s="509">
        <f t="shared" si="7"/>
        <v>0.95820637281239651</v>
      </c>
      <c r="G170" s="516">
        <f>'SGTO POAI 2022'!BH256</f>
        <v>42500369742.260002</v>
      </c>
      <c r="H170" s="498">
        <f t="shared" si="6"/>
        <v>0.95820637281239651</v>
      </c>
    </row>
    <row r="171" spans="1:8" ht="66" customHeight="1" thickBot="1" x14ac:dyDescent="0.25">
      <c r="A171" s="511">
        <v>2020003630137</v>
      </c>
      <c r="B171" s="517" t="s">
        <v>1172</v>
      </c>
      <c r="C171" s="513">
        <f>SUM('SGTO POAI 2022'!BF257:BF259)</f>
        <v>17620608140.389999</v>
      </c>
      <c r="D171" s="514">
        <f t="shared" si="8"/>
        <v>1</v>
      </c>
      <c r="E171" s="515">
        <f>SUM('SGTO POAI 2022'!BG257:BG259)</f>
        <v>17318896135</v>
      </c>
      <c r="F171" s="509">
        <f t="shared" si="7"/>
        <v>0.98287732165733743</v>
      </c>
      <c r="G171" s="516">
        <f>SUM('SGTO POAI 2022'!BH257:BH259)</f>
        <v>17096823557</v>
      </c>
      <c r="H171" s="498">
        <f t="shared" si="6"/>
        <v>0.97027431861506641</v>
      </c>
    </row>
    <row r="172" spans="1:8" ht="39.75" customHeight="1" thickBot="1" x14ac:dyDescent="0.25">
      <c r="A172" s="511">
        <v>2020003630138</v>
      </c>
      <c r="B172" s="517" t="s">
        <v>976</v>
      </c>
      <c r="C172" s="513">
        <f>'SGTO POAI 2022'!BF260+'SGTO POAI 2022'!BF261+'SGTO POAI 2022'!BF262+'SGTO POAI 2022'!BF263</f>
        <v>2087894074.1199999</v>
      </c>
      <c r="D172" s="514">
        <f t="shared" si="8"/>
        <v>1</v>
      </c>
      <c r="E172" s="515">
        <f>'SGTO POAI 2022'!BG260+'SGTO POAI 2022'!BG261+'SGTO POAI 2022'!BG262+'SGTO POAI 2022'!BG263</f>
        <v>1478771287</v>
      </c>
      <c r="F172" s="540">
        <f t="shared" si="7"/>
        <v>0.70825972702818685</v>
      </c>
      <c r="G172" s="516">
        <f>'SGTO POAI 2022'!BH260+'SGTO POAI 2022'!BH261+'SGTO POAI 2022'!BH262+'SGTO POAI 2022'!BH263</f>
        <v>1478771287</v>
      </c>
      <c r="H172" s="498">
        <f t="shared" si="6"/>
        <v>0.70825972702818685</v>
      </c>
    </row>
    <row r="173" spans="1:8" ht="46.5" customHeight="1" thickBot="1" x14ac:dyDescent="0.25">
      <c r="A173" s="697" t="s">
        <v>1324</v>
      </c>
      <c r="B173" s="698"/>
      <c r="C173" s="530">
        <f>C174+C178+C181</f>
        <v>1713227031</v>
      </c>
      <c r="D173" s="496">
        <f t="shared" si="8"/>
        <v>1</v>
      </c>
      <c r="E173" s="530">
        <f>E174+E178+E181</f>
        <v>1677051604.0900002</v>
      </c>
      <c r="F173" s="498">
        <f t="shared" si="7"/>
        <v>0.97888462751554617</v>
      </c>
      <c r="G173" s="530">
        <f>G174+G178+G181</f>
        <v>1655991566.0900002</v>
      </c>
      <c r="H173" s="498">
        <f t="shared" si="6"/>
        <v>0.96659201385785287</v>
      </c>
    </row>
    <row r="174" spans="1:8" ht="31.5" customHeight="1" thickBot="1" x14ac:dyDescent="0.25">
      <c r="A174" s="499">
        <v>1</v>
      </c>
      <c r="B174" s="544" t="s">
        <v>112</v>
      </c>
      <c r="C174" s="535">
        <f>SUM(C175:C177)</f>
        <v>1151168031</v>
      </c>
      <c r="D174" s="536">
        <f t="shared" si="8"/>
        <v>1</v>
      </c>
      <c r="E174" s="535">
        <f>SUM(E175:E177)</f>
        <v>1127537383.1300001</v>
      </c>
      <c r="F174" s="537">
        <f t="shared" si="7"/>
        <v>0.97947245994186238</v>
      </c>
      <c r="G174" s="535">
        <f>SUM(G175:G177)</f>
        <v>1106477345.1300001</v>
      </c>
      <c r="H174" s="498">
        <f t="shared" si="6"/>
        <v>0.96117796475708428</v>
      </c>
    </row>
    <row r="175" spans="1:8" ht="66" customHeight="1" thickBot="1" x14ac:dyDescent="0.25">
      <c r="A175" s="564">
        <v>2020003630038</v>
      </c>
      <c r="B175" s="517" t="s">
        <v>990</v>
      </c>
      <c r="C175" s="513">
        <f>SUM('SGTO POAI 2022'!BF264:BF267)</f>
        <v>250841000</v>
      </c>
      <c r="D175" s="514">
        <f t="shared" si="8"/>
        <v>1</v>
      </c>
      <c r="E175" s="515">
        <f>SUM('SGTO POAI 2022'!BG264:BG267)</f>
        <v>237860038</v>
      </c>
      <c r="F175" s="509">
        <f t="shared" si="7"/>
        <v>0.94825023819869958</v>
      </c>
      <c r="G175" s="516">
        <f>SUM('SGTO POAI 2022'!BH264:BH267)</f>
        <v>216800000</v>
      </c>
      <c r="H175" s="498">
        <f t="shared" si="6"/>
        <v>0.86429251996284495</v>
      </c>
    </row>
    <row r="176" spans="1:8" ht="38.25" customHeight="1" thickBot="1" x14ac:dyDescent="0.25">
      <c r="A176" s="564">
        <v>2020003630139</v>
      </c>
      <c r="B176" s="517" t="s">
        <v>1325</v>
      </c>
      <c r="C176" s="513">
        <f>SUM('SGTO POAI 2022'!BF268:BF272)</f>
        <v>607394000</v>
      </c>
      <c r="D176" s="514">
        <f t="shared" si="8"/>
        <v>1</v>
      </c>
      <c r="E176" s="515">
        <f>SUM('SGTO POAI 2022'!BG268:BG272)</f>
        <v>601486572.02999997</v>
      </c>
      <c r="F176" s="509">
        <f t="shared" si="7"/>
        <v>0.99027414171032302</v>
      </c>
      <c r="G176" s="516">
        <f>SUM('SGTO POAI 2022'!BH268:BH272)</f>
        <v>601486572.02999997</v>
      </c>
      <c r="H176" s="498">
        <f t="shared" si="6"/>
        <v>0.99027414171032302</v>
      </c>
    </row>
    <row r="177" spans="1:8" ht="66" customHeight="1" thickBot="1" x14ac:dyDescent="0.25">
      <c r="A177" s="564">
        <v>2020003630039</v>
      </c>
      <c r="B177" s="517" t="s">
        <v>1011</v>
      </c>
      <c r="C177" s="513">
        <f>SUM('SGTO POAI 2022'!BF273:BF277)</f>
        <v>292933031</v>
      </c>
      <c r="D177" s="514">
        <f t="shared" si="8"/>
        <v>1</v>
      </c>
      <c r="E177" s="515">
        <f>SUM('SGTO POAI 2022'!BG273:BG277)</f>
        <v>288190773.10000002</v>
      </c>
      <c r="F177" s="509">
        <f t="shared" si="7"/>
        <v>0.98381111927251397</v>
      </c>
      <c r="G177" s="516">
        <f>SUM('SGTO POAI 2022'!BH273:BH277)</f>
        <v>288190773.10000002</v>
      </c>
      <c r="H177" s="498">
        <f t="shared" si="6"/>
        <v>0.98381111927251397</v>
      </c>
    </row>
    <row r="178" spans="1:8" ht="30.75" customHeight="1" thickBot="1" x14ac:dyDescent="0.25">
      <c r="A178" s="550">
        <v>2</v>
      </c>
      <c r="B178" s="544" t="s">
        <v>333</v>
      </c>
      <c r="C178" s="535">
        <f>SUM(C179:C180)</f>
        <v>120891000</v>
      </c>
      <c r="D178" s="536">
        <f t="shared" si="8"/>
        <v>1</v>
      </c>
      <c r="E178" s="535">
        <f>SUM(E179:E180)</f>
        <v>116498046.96000001</v>
      </c>
      <c r="F178" s="509">
        <f t="shared" si="7"/>
        <v>0.96366186862545611</v>
      </c>
      <c r="G178" s="535">
        <f>SUM(G179:G180)</f>
        <v>116498046.96000001</v>
      </c>
      <c r="H178" s="498">
        <f t="shared" si="6"/>
        <v>0.96366186862545611</v>
      </c>
    </row>
    <row r="179" spans="1:8" ht="66" customHeight="1" thickBot="1" x14ac:dyDescent="0.25">
      <c r="A179" s="564">
        <v>2020003630140</v>
      </c>
      <c r="B179" s="517" t="s">
        <v>1028</v>
      </c>
      <c r="C179" s="513">
        <f>SUM('SGTO POAI 2022'!BF278:BF280)</f>
        <v>90000000</v>
      </c>
      <c r="D179" s="514">
        <f t="shared" si="8"/>
        <v>1</v>
      </c>
      <c r="E179" s="515">
        <f>SUM('SGTO POAI 2022'!BG278:BG280)</f>
        <v>86550000</v>
      </c>
      <c r="F179" s="509">
        <f t="shared" si="7"/>
        <v>0.96166666666666667</v>
      </c>
      <c r="G179" s="516">
        <f>SUM('SGTO POAI 2022'!BH278:BH280)</f>
        <v>86550000</v>
      </c>
      <c r="H179" s="498">
        <f t="shared" si="6"/>
        <v>0.96166666666666667</v>
      </c>
    </row>
    <row r="180" spans="1:8" ht="66" customHeight="1" thickBot="1" x14ac:dyDescent="0.25">
      <c r="A180" s="564">
        <v>2020003630040</v>
      </c>
      <c r="B180" s="517" t="s">
        <v>1037</v>
      </c>
      <c r="C180" s="513">
        <f>'SGTO POAI 2022'!BF281</f>
        <v>30891000</v>
      </c>
      <c r="D180" s="514">
        <f t="shared" si="8"/>
        <v>1</v>
      </c>
      <c r="E180" s="515">
        <f>'SGTO POAI 2022'!BG281</f>
        <v>29948046.960000001</v>
      </c>
      <c r="F180" s="509">
        <f t="shared" si="7"/>
        <v>0.96947482956200837</v>
      </c>
      <c r="G180" s="516">
        <f>'SGTO POAI 2022'!BH281</f>
        <v>29948046.960000001</v>
      </c>
      <c r="H180" s="498">
        <f t="shared" si="6"/>
        <v>0.96947482956200837</v>
      </c>
    </row>
    <row r="181" spans="1:8" ht="33" customHeight="1" thickBot="1" x14ac:dyDescent="0.25">
      <c r="A181" s="550">
        <v>4</v>
      </c>
      <c r="B181" s="534" t="s">
        <v>27</v>
      </c>
      <c r="C181" s="535">
        <f>C182</f>
        <v>441168000</v>
      </c>
      <c r="D181" s="536">
        <f t="shared" si="8"/>
        <v>1</v>
      </c>
      <c r="E181" s="535">
        <f>E182</f>
        <v>433016174</v>
      </c>
      <c r="F181" s="509">
        <f t="shared" si="7"/>
        <v>0.9815221729590542</v>
      </c>
      <c r="G181" s="541">
        <f>G182</f>
        <v>433016174</v>
      </c>
      <c r="H181" s="498">
        <f t="shared" si="6"/>
        <v>0.9815221729590542</v>
      </c>
    </row>
    <row r="182" spans="1:8" ht="66" customHeight="1" thickBot="1" x14ac:dyDescent="0.25">
      <c r="A182" s="564">
        <v>2020003630141</v>
      </c>
      <c r="B182" s="517" t="s">
        <v>1042</v>
      </c>
      <c r="C182" s="513">
        <f>SUM('SGTO POAI 2022'!BF282:BF287)</f>
        <v>441168000</v>
      </c>
      <c r="D182" s="514">
        <f t="shared" si="8"/>
        <v>1</v>
      </c>
      <c r="E182" s="515">
        <f>SUM('SGTO POAI 2022'!BG282:BG287)</f>
        <v>433016174</v>
      </c>
      <c r="F182" s="540">
        <f t="shared" si="7"/>
        <v>0.9815221729590542</v>
      </c>
      <c r="G182" s="516">
        <f>SUM('SGTO POAI 2022'!BH282:BH287)</f>
        <v>433016174</v>
      </c>
      <c r="H182" s="498">
        <f t="shared" si="6"/>
        <v>0.9815221729590542</v>
      </c>
    </row>
    <row r="183" spans="1:8" ht="33" customHeight="1" thickBot="1" x14ac:dyDescent="0.25">
      <c r="A183" s="695" t="s">
        <v>1326</v>
      </c>
      <c r="B183" s="696"/>
      <c r="C183" s="530">
        <f>C184</f>
        <v>6744858478.1300001</v>
      </c>
      <c r="D183" s="496">
        <f t="shared" si="8"/>
        <v>1</v>
      </c>
      <c r="E183" s="530">
        <f>E184</f>
        <v>6061375487.4200001</v>
      </c>
      <c r="F183" s="498">
        <f t="shared" si="7"/>
        <v>0.89866607388039754</v>
      </c>
      <c r="G183" s="530">
        <f>G184</f>
        <v>5604257003</v>
      </c>
      <c r="H183" s="498">
        <f t="shared" si="6"/>
        <v>0.83089319385597693</v>
      </c>
    </row>
    <row r="184" spans="1:8" ht="23.25" customHeight="1" thickBot="1" x14ac:dyDescent="0.25">
      <c r="A184" s="499">
        <v>1</v>
      </c>
      <c r="B184" s="544" t="s">
        <v>112</v>
      </c>
      <c r="C184" s="535">
        <f>SUM(C185:C187)</f>
        <v>6744858478.1300001</v>
      </c>
      <c r="D184" s="536">
        <f>C184/C184</f>
        <v>1</v>
      </c>
      <c r="E184" s="535">
        <f>SUM(E185:E187)</f>
        <v>6061375487.4200001</v>
      </c>
      <c r="F184" s="537">
        <f t="shared" si="7"/>
        <v>0.89866607388039754</v>
      </c>
      <c r="G184" s="535">
        <f>SUM(G185:G187)</f>
        <v>5604257003</v>
      </c>
      <c r="H184" s="498">
        <f t="shared" si="6"/>
        <v>0.83089319385597693</v>
      </c>
    </row>
    <row r="185" spans="1:8" ht="51.75" customHeight="1" thickBot="1" x14ac:dyDescent="0.25">
      <c r="A185" s="564">
        <v>2020003630009</v>
      </c>
      <c r="B185" s="517" t="s">
        <v>1057</v>
      </c>
      <c r="C185" s="513">
        <f>SUM('SGTO POAI 2022'!BF288:BF291)</f>
        <v>1901407026.7400002</v>
      </c>
      <c r="D185" s="514">
        <f t="shared" si="8"/>
        <v>1</v>
      </c>
      <c r="E185" s="515">
        <f>SUM('SGTO POAI 2022'!BG288:BG291)</f>
        <v>1754773454.74</v>
      </c>
      <c r="F185" s="509">
        <f t="shared" si="7"/>
        <v>0.92288154512008591</v>
      </c>
      <c r="G185" s="516">
        <f>SUM('SGTO POAI 2022'!BH288:BH291)</f>
        <v>1753755145.3199999</v>
      </c>
      <c r="H185" s="498">
        <f t="shared" si="6"/>
        <v>0.92234598939441581</v>
      </c>
    </row>
    <row r="186" spans="1:8" ht="51.75" customHeight="1" thickBot="1" x14ac:dyDescent="0.25">
      <c r="A186" s="564">
        <v>2020003630010</v>
      </c>
      <c r="B186" s="517" t="s">
        <v>1070</v>
      </c>
      <c r="C186" s="513">
        <f>SUM('SGTO POAI 2022'!BF292)</f>
        <v>4457963327.5100002</v>
      </c>
      <c r="D186" s="514">
        <f t="shared" si="8"/>
        <v>1</v>
      </c>
      <c r="E186" s="515">
        <f>SUM('SGTO POAI 2022'!BG292)</f>
        <v>4268752032.6800003</v>
      </c>
      <c r="F186" s="509">
        <f t="shared" si="7"/>
        <v>0.95755656093840413</v>
      </c>
      <c r="G186" s="516">
        <f>SUM('SGTO POAI 2022'!BH292)</f>
        <v>3812651857.6800003</v>
      </c>
      <c r="H186" s="498">
        <f t="shared" si="6"/>
        <v>0.85524522692957206</v>
      </c>
    </row>
    <row r="187" spans="1:8" ht="55.5" customHeight="1" thickBot="1" x14ac:dyDescent="0.25">
      <c r="A187" s="564">
        <v>2020003630013</v>
      </c>
      <c r="B187" s="517" t="s">
        <v>1075</v>
      </c>
      <c r="C187" s="513">
        <f>'SGTO POAI 2022'!BF293</f>
        <v>385488123.88</v>
      </c>
      <c r="D187" s="514">
        <f t="shared" si="8"/>
        <v>1</v>
      </c>
      <c r="E187" s="515">
        <f>'SGTO POAI 2022'!BG293</f>
        <v>37850000</v>
      </c>
      <c r="F187" s="540">
        <f t="shared" si="7"/>
        <v>9.8187201252878192E-2</v>
      </c>
      <c r="G187" s="516">
        <f>'SGTO POAI 2022'!BH293</f>
        <v>37850000</v>
      </c>
      <c r="H187" s="498">
        <f t="shared" si="6"/>
        <v>9.8187201252878192E-2</v>
      </c>
    </row>
    <row r="188" spans="1:8" ht="33" customHeight="1" thickBot="1" x14ac:dyDescent="0.25">
      <c r="A188" s="695" t="s">
        <v>1489</v>
      </c>
      <c r="B188" s="696"/>
      <c r="C188" s="530">
        <f>C189+C192+C195</f>
        <v>3175054512</v>
      </c>
      <c r="D188" s="531">
        <f t="shared" si="8"/>
        <v>1</v>
      </c>
      <c r="E188" s="530">
        <f>E189+E192+E195</f>
        <v>1653436281.1399999</v>
      </c>
      <c r="F188" s="498">
        <f t="shared" si="7"/>
        <v>0.52075839167198523</v>
      </c>
      <c r="G188" s="530">
        <f>G189+G192+G195</f>
        <v>1503885425.1399999</v>
      </c>
      <c r="H188" s="498">
        <f t="shared" si="6"/>
        <v>0.47365656855846761</v>
      </c>
    </row>
    <row r="189" spans="1:8" ht="25.5" customHeight="1" thickBot="1" x14ac:dyDescent="0.25">
      <c r="A189" s="499">
        <v>1</v>
      </c>
      <c r="B189" s="544" t="s">
        <v>112</v>
      </c>
      <c r="C189" s="535">
        <f>SUM(C190:C191)</f>
        <v>1597009971</v>
      </c>
      <c r="D189" s="536">
        <f t="shared" si="8"/>
        <v>1</v>
      </c>
      <c r="E189" s="535">
        <f>SUM(E190:E191)</f>
        <v>887057591.56999993</v>
      </c>
      <c r="F189" s="537">
        <f t="shared" si="7"/>
        <v>0.55544900011773313</v>
      </c>
      <c r="G189" s="535">
        <f>SUM(G190:G191)</f>
        <v>737506735.56999993</v>
      </c>
      <c r="H189" s="498">
        <f t="shared" si="6"/>
        <v>0.46180471566385728</v>
      </c>
    </row>
    <row r="190" spans="1:8" ht="44.25" customHeight="1" thickBot="1" x14ac:dyDescent="0.25">
      <c r="A190" s="564">
        <v>2020003630142</v>
      </c>
      <c r="B190" s="517" t="s">
        <v>1079</v>
      </c>
      <c r="C190" s="513">
        <f>'SGTO POAI 2022'!BF294</f>
        <v>798809971</v>
      </c>
      <c r="D190" s="514">
        <f t="shared" si="8"/>
        <v>1</v>
      </c>
      <c r="E190" s="515">
        <f>'SGTO POAI 2022'!BG294</f>
        <v>606487005</v>
      </c>
      <c r="F190" s="509">
        <f t="shared" si="7"/>
        <v>0.75923815052128341</v>
      </c>
      <c r="G190" s="516">
        <f>'SGTO POAI 2022'!BH294</f>
        <v>456936149</v>
      </c>
      <c r="H190" s="498">
        <f t="shared" si="6"/>
        <v>0.57202108835469201</v>
      </c>
    </row>
    <row r="191" spans="1:8" ht="44.25" customHeight="1" thickBot="1" x14ac:dyDescent="0.25">
      <c r="A191" s="564">
        <v>2020003630143</v>
      </c>
      <c r="B191" s="517" t="s">
        <v>1081</v>
      </c>
      <c r="C191" s="513">
        <f>'SGTO POAI 2022'!BF295</f>
        <v>798200000</v>
      </c>
      <c r="D191" s="514">
        <f t="shared" si="8"/>
        <v>1</v>
      </c>
      <c r="E191" s="515">
        <f>'SGTO POAI 2022'!BG295</f>
        <v>280570586.56999999</v>
      </c>
      <c r="F191" s="509">
        <f t="shared" si="7"/>
        <v>0.35150411747682286</v>
      </c>
      <c r="G191" s="516">
        <f>'SGTO POAI 2022'!BH295</f>
        <v>280570586.56999999</v>
      </c>
      <c r="H191" s="498">
        <f t="shared" si="6"/>
        <v>0.35150411747682286</v>
      </c>
    </row>
    <row r="192" spans="1:8" ht="47.25" customHeight="1" thickBot="1" x14ac:dyDescent="0.25">
      <c r="A192" s="550">
        <v>3</v>
      </c>
      <c r="B192" s="534" t="s">
        <v>150</v>
      </c>
      <c r="C192" s="535">
        <f>SUM(C193:C194)</f>
        <v>1528044541</v>
      </c>
      <c r="D192" s="536">
        <f t="shared" si="8"/>
        <v>1</v>
      </c>
      <c r="E192" s="535">
        <f>SUM(E193:E194)</f>
        <v>756378689.56999993</v>
      </c>
      <c r="F192" s="509">
        <f t="shared" si="7"/>
        <v>0.49499780227283308</v>
      </c>
      <c r="G192" s="535">
        <f>SUM(G193:G194)</f>
        <v>756378689.56999993</v>
      </c>
      <c r="H192" s="498">
        <f t="shared" si="6"/>
        <v>0.49499780227283308</v>
      </c>
    </row>
    <row r="193" spans="1:8" ht="44.25" customHeight="1" thickBot="1" x14ac:dyDescent="0.25">
      <c r="A193" s="564">
        <v>2020003630144</v>
      </c>
      <c r="B193" s="517" t="s">
        <v>1327</v>
      </c>
      <c r="C193" s="513">
        <f>'SGTO POAI 2022'!BF296</f>
        <v>325000000</v>
      </c>
      <c r="D193" s="514">
        <f t="shared" si="8"/>
        <v>1</v>
      </c>
      <c r="E193" s="515">
        <f>'SGTO POAI 2022'!BG296</f>
        <v>316276377.43000001</v>
      </c>
      <c r="F193" s="509">
        <f t="shared" si="7"/>
        <v>0.97315808440000007</v>
      </c>
      <c r="G193" s="516">
        <f>'SGTO POAI 2022'!BH296</f>
        <v>316276377.43000001</v>
      </c>
      <c r="H193" s="498">
        <f t="shared" si="6"/>
        <v>0.97315808440000007</v>
      </c>
    </row>
    <row r="194" spans="1:8" ht="44.25" customHeight="1" thickBot="1" x14ac:dyDescent="0.25">
      <c r="A194" s="564">
        <v>2020003630145</v>
      </c>
      <c r="B194" s="517" t="s">
        <v>1328</v>
      </c>
      <c r="C194" s="513">
        <f>SUM('SGTO POAI 2022'!BF297:BF303)</f>
        <v>1203044541</v>
      </c>
      <c r="D194" s="514">
        <f t="shared" si="8"/>
        <v>1</v>
      </c>
      <c r="E194" s="515">
        <f>SUM('SGTO POAI 2022'!BG297:BG303)</f>
        <v>440102312.13999999</v>
      </c>
      <c r="F194" s="509">
        <f t="shared" si="7"/>
        <v>0.36582378884673394</v>
      </c>
      <c r="G194" s="516">
        <f>SUM('SGTO POAI 2022'!BH297:BH303)</f>
        <v>440102312.13999999</v>
      </c>
      <c r="H194" s="498">
        <f t="shared" si="6"/>
        <v>0.36582378884673394</v>
      </c>
    </row>
    <row r="195" spans="1:8" ht="42.75" customHeight="1" thickBot="1" x14ac:dyDescent="0.25">
      <c r="A195" s="550">
        <v>4</v>
      </c>
      <c r="B195" s="534" t="s">
        <v>27</v>
      </c>
      <c r="C195" s="535">
        <f>C196</f>
        <v>50000000</v>
      </c>
      <c r="D195" s="536">
        <f>C195/C195</f>
        <v>1</v>
      </c>
      <c r="E195" s="535">
        <f>E196</f>
        <v>10000000</v>
      </c>
      <c r="F195" s="509">
        <f t="shared" si="7"/>
        <v>0.2</v>
      </c>
      <c r="G195" s="535">
        <f>G196</f>
        <v>10000000</v>
      </c>
      <c r="H195" s="498">
        <f t="shared" si="6"/>
        <v>0.2</v>
      </c>
    </row>
    <row r="196" spans="1:8" ht="72.75" customHeight="1" thickBot="1" x14ac:dyDescent="0.25">
      <c r="A196" s="565">
        <v>2022003630006</v>
      </c>
      <c r="B196" s="517" t="s">
        <v>1486</v>
      </c>
      <c r="C196" s="566">
        <f>'SGTO POAI 2022'!BF304</f>
        <v>50000000</v>
      </c>
      <c r="D196" s="514">
        <f>C196/C196</f>
        <v>1</v>
      </c>
      <c r="E196" s="527">
        <f>'SGTO POAI 2022'!BG304</f>
        <v>10000000</v>
      </c>
      <c r="F196" s="540">
        <f t="shared" si="7"/>
        <v>0.2</v>
      </c>
      <c r="G196" s="566">
        <f>'SGTO POAI 2022'!BH304</f>
        <v>10000000</v>
      </c>
      <c r="H196" s="498">
        <f t="shared" ref="H196:H200" si="9">G196/C196</f>
        <v>0.2</v>
      </c>
    </row>
    <row r="197" spans="1:8" ht="37.5" customHeight="1" thickBot="1" x14ac:dyDescent="0.25">
      <c r="A197" s="695" t="s">
        <v>1330</v>
      </c>
      <c r="B197" s="704"/>
      <c r="C197" s="530">
        <f>C198</f>
        <v>113516300</v>
      </c>
      <c r="D197" s="496">
        <f t="shared" si="8"/>
        <v>1</v>
      </c>
      <c r="E197" s="530">
        <f>E198</f>
        <v>112804044</v>
      </c>
      <c r="F197" s="498">
        <f t="shared" si="7"/>
        <v>0.9937255178331218</v>
      </c>
      <c r="G197" s="530">
        <f>G198</f>
        <v>112804044</v>
      </c>
      <c r="H197" s="498">
        <f t="shared" si="9"/>
        <v>0.9937255178331218</v>
      </c>
    </row>
    <row r="198" spans="1:8" ht="39" customHeight="1" thickBot="1" x14ac:dyDescent="0.25">
      <c r="A198" s="550">
        <v>3</v>
      </c>
      <c r="B198" s="534" t="s">
        <v>150</v>
      </c>
      <c r="C198" s="535">
        <f>C199</f>
        <v>113516300</v>
      </c>
      <c r="D198" s="536">
        <f>C198/C198</f>
        <v>1</v>
      </c>
      <c r="E198" s="535">
        <f>E199</f>
        <v>112804044</v>
      </c>
      <c r="F198" s="503">
        <f t="shared" si="7"/>
        <v>0.9937255178331218</v>
      </c>
      <c r="G198" s="535">
        <f>G199</f>
        <v>112804044</v>
      </c>
      <c r="H198" s="498">
        <f t="shared" si="9"/>
        <v>0.9937255178331218</v>
      </c>
    </row>
    <row r="199" spans="1:8" ht="60" customHeight="1" thickBot="1" x14ac:dyDescent="0.25">
      <c r="A199" s="567">
        <v>2020003630149</v>
      </c>
      <c r="B199" s="526" t="s">
        <v>1113</v>
      </c>
      <c r="C199" s="568">
        <f>SUM('SGTO POAI 2022'!BF305:BF308)</f>
        <v>113516300</v>
      </c>
      <c r="D199" s="569">
        <f t="shared" si="8"/>
        <v>1</v>
      </c>
      <c r="E199" s="527">
        <f>'FUENTES POR UNIDAD'!E80</f>
        <v>112804044</v>
      </c>
      <c r="F199" s="540">
        <f t="shared" si="7"/>
        <v>0.9937255178331218</v>
      </c>
      <c r="G199" s="521">
        <f>'FUENTES POR UNIDAD'!G80</f>
        <v>112804044</v>
      </c>
      <c r="H199" s="498">
        <f t="shared" si="9"/>
        <v>0.9937255178331218</v>
      </c>
    </row>
    <row r="200" spans="1:8" ht="33.75" customHeight="1" thickBot="1" x14ac:dyDescent="0.25">
      <c r="A200" s="702" t="s">
        <v>1333</v>
      </c>
      <c r="B200" s="703"/>
      <c r="C200" s="570">
        <f>C197+C188+C183+C173+C148+C119+C107+C101+C79+C71+C65+C49+C23+C19+C10+C3</f>
        <v>428935200441.49994</v>
      </c>
      <c r="D200" s="571">
        <f t="shared" si="8"/>
        <v>1</v>
      </c>
      <c r="E200" s="570">
        <f>E197+E188+E183+E173+E148+E119+E107+E101+E79+E71+E65+E49+E23+E19+E10+E3</f>
        <v>324925246568.29999</v>
      </c>
      <c r="F200" s="498">
        <f t="shared" si="7"/>
        <v>0.75751592835900794</v>
      </c>
      <c r="G200" s="570">
        <f>G197+G188+G183+G173+G148+G119+G107+G101+G79+G71+G65+G49+G23+G19+G10+G3</f>
        <v>311161643971.59998</v>
      </c>
      <c r="H200" s="498">
        <f>G200/C200</f>
        <v>0.72542809182208301</v>
      </c>
    </row>
    <row r="202" spans="1:8" x14ac:dyDescent="0.2">
      <c r="C202" s="8"/>
      <c r="D202" s="8"/>
      <c r="E202" s="311"/>
      <c r="F202" s="103"/>
      <c r="G202" s="2"/>
    </row>
    <row r="203" spans="1:8" x14ac:dyDescent="0.2">
      <c r="C203" s="8"/>
      <c r="D203" s="8"/>
      <c r="E203" s="2"/>
      <c r="F203" s="103"/>
      <c r="G203" s="2"/>
    </row>
    <row r="206" spans="1:8" ht="15.75" thickBot="1" x14ac:dyDescent="0.25"/>
    <row r="207" spans="1:8" ht="15.75" x14ac:dyDescent="0.2">
      <c r="B207" s="241" t="s">
        <v>1482</v>
      </c>
    </row>
    <row r="208" spans="1:8" x14ac:dyDescent="0.2">
      <c r="B208" s="242" t="s">
        <v>1440</v>
      </c>
    </row>
    <row r="209" spans="2:2" x14ac:dyDescent="0.2">
      <c r="B209" s="243" t="s">
        <v>1442</v>
      </c>
    </row>
    <row r="210" spans="2:2" x14ac:dyDescent="0.2">
      <c r="B210" s="244" t="s">
        <v>1444</v>
      </c>
    </row>
    <row r="211" spans="2:2" x14ac:dyDescent="0.2">
      <c r="B211" s="245" t="s">
        <v>1446</v>
      </c>
    </row>
    <row r="212" spans="2:2" ht="15.75" thickBot="1" x14ac:dyDescent="0.25">
      <c r="B212" s="246" t="s">
        <v>1447</v>
      </c>
    </row>
  </sheetData>
  <mergeCells count="18">
    <mergeCell ref="A119:B119"/>
    <mergeCell ref="A148:B148"/>
    <mergeCell ref="A3:B3"/>
    <mergeCell ref="A10:B10"/>
    <mergeCell ref="A19:B19"/>
    <mergeCell ref="A23:B23"/>
    <mergeCell ref="A49:B49"/>
    <mergeCell ref="A65:B65"/>
    <mergeCell ref="A200:B200"/>
    <mergeCell ref="A173:B173"/>
    <mergeCell ref="A183:B183"/>
    <mergeCell ref="A188:B188"/>
    <mergeCell ref="A197:B197"/>
    <mergeCell ref="A71:B71"/>
    <mergeCell ref="A79:B79"/>
    <mergeCell ref="A1:H1"/>
    <mergeCell ref="A101:B101"/>
    <mergeCell ref="A107:B107"/>
  </mergeCells>
  <conditionalFormatting sqref="F3:F10 F12:F19 F21:F23 F25:F29 F34:F35 F37:F42 F46:F47 F51:F58 F60:F61 F63:F65 F67:F71 F73:F79 F81:F92 F94:F101 F103:F107 F109:F116 F118:F119 F121:F138 F140:F141 F143:F148 F150:F173 F175:F177 F179:F180 F182:F183 F185:F188 F190:F191 F193:F194 F196:F197 F199:F200 F31 F49">
    <cfRule type="cellIs" dxfId="174" priority="186" operator="between">
      <formula>0</formula>
      <formula>0.3999</formula>
    </cfRule>
    <cfRule type="cellIs" dxfId="173" priority="187" operator="between">
      <formula>0.4</formula>
      <formula>0.5949</formula>
    </cfRule>
    <cfRule type="cellIs" dxfId="172" priority="188" operator="between">
      <formula>0.595</formula>
      <formula>0.6949</formula>
    </cfRule>
    <cfRule type="cellIs" dxfId="171" priority="189" operator="between">
      <formula>0.695</formula>
      <formula>0.7949</formula>
    </cfRule>
    <cfRule type="cellIs" dxfId="170" priority="190" operator="between">
      <formula>0.795</formula>
      <formula>1</formula>
    </cfRule>
  </conditionalFormatting>
  <conditionalFormatting sqref="F11">
    <cfRule type="cellIs" dxfId="169" priority="176" operator="between">
      <formula>0</formula>
      <formula>0.3999</formula>
    </cfRule>
    <cfRule type="cellIs" dxfId="168" priority="177" operator="between">
      <formula>0.4</formula>
      <formula>0.59</formula>
    </cfRule>
    <cfRule type="cellIs" dxfId="167" priority="178" operator="between">
      <formula>0.595</formula>
      <formula>0.69</formula>
    </cfRule>
    <cfRule type="cellIs" dxfId="166" priority="179" operator="between">
      <formula>0.695</formula>
      <formula>0.7949</formula>
    </cfRule>
    <cfRule type="cellIs" dxfId="165" priority="180" operator="between">
      <formula>0.795</formula>
      <formula>1</formula>
    </cfRule>
  </conditionalFormatting>
  <conditionalFormatting sqref="F20">
    <cfRule type="cellIs" dxfId="164" priority="171" operator="between">
      <formula>0</formula>
      <formula>0.3999</formula>
    </cfRule>
    <cfRule type="cellIs" dxfId="163" priority="172" operator="between">
      <formula>0.4</formula>
      <formula>0.59</formula>
    </cfRule>
    <cfRule type="cellIs" dxfId="162" priority="173" operator="between">
      <formula>0.595</formula>
      <formula>0.69</formula>
    </cfRule>
    <cfRule type="cellIs" dxfId="161" priority="174" operator="between">
      <formula>0.695</formula>
      <formula>0.7949</formula>
    </cfRule>
    <cfRule type="cellIs" dxfId="160" priority="175" operator="between">
      <formula>0.795</formula>
      <formula>1</formula>
    </cfRule>
  </conditionalFormatting>
  <conditionalFormatting sqref="F24">
    <cfRule type="cellIs" dxfId="159" priority="166" operator="between">
      <formula>0</formula>
      <formula>0.3999</formula>
    </cfRule>
    <cfRule type="cellIs" dxfId="158" priority="167" operator="between">
      <formula>0.4</formula>
      <formula>0.59</formula>
    </cfRule>
    <cfRule type="cellIs" dxfId="157" priority="168" operator="between">
      <formula>0.595</formula>
      <formula>0.69</formula>
    </cfRule>
    <cfRule type="cellIs" dxfId="156" priority="169" operator="between">
      <formula>0.695</formula>
      <formula>0.7949</formula>
    </cfRule>
    <cfRule type="cellIs" dxfId="155" priority="170" operator="between">
      <formula>0.795</formula>
      <formula>1</formula>
    </cfRule>
  </conditionalFormatting>
  <conditionalFormatting sqref="F33">
    <cfRule type="cellIs" dxfId="154" priority="161" operator="between">
      <formula>0</formula>
      <formula>0.3999</formula>
    </cfRule>
    <cfRule type="cellIs" dxfId="153" priority="162" operator="between">
      <formula>0.4</formula>
      <formula>0.59</formula>
    </cfRule>
    <cfRule type="cellIs" dxfId="152" priority="163" operator="between">
      <formula>0.595</formula>
      <formula>0.69</formula>
    </cfRule>
    <cfRule type="cellIs" dxfId="151" priority="164" operator="between">
      <formula>0.695</formula>
      <formula>0.7949</formula>
    </cfRule>
    <cfRule type="cellIs" dxfId="150" priority="165" operator="between">
      <formula>0.795</formula>
      <formula>1</formula>
    </cfRule>
  </conditionalFormatting>
  <conditionalFormatting sqref="F36">
    <cfRule type="cellIs" dxfId="149" priority="156" operator="between">
      <formula>0</formula>
      <formula>0.3999</formula>
    </cfRule>
    <cfRule type="cellIs" dxfId="148" priority="157" operator="between">
      <formula>0.4</formula>
      <formula>0.59</formula>
    </cfRule>
    <cfRule type="cellIs" dxfId="147" priority="158" operator="between">
      <formula>0.595</formula>
      <formula>0.69</formula>
    </cfRule>
    <cfRule type="cellIs" dxfId="146" priority="159" operator="between">
      <formula>0.695</formula>
      <formula>0.7949</formula>
    </cfRule>
    <cfRule type="cellIs" dxfId="145" priority="160" operator="between">
      <formula>0.795</formula>
      <formula>1</formula>
    </cfRule>
  </conditionalFormatting>
  <conditionalFormatting sqref="F45">
    <cfRule type="cellIs" dxfId="144" priority="151" operator="between">
      <formula>0</formula>
      <formula>0.3999</formula>
    </cfRule>
    <cfRule type="cellIs" dxfId="143" priority="152" operator="between">
      <formula>0.4</formula>
      <formula>0.59</formula>
    </cfRule>
    <cfRule type="cellIs" dxfId="142" priority="153" operator="between">
      <formula>0.595</formula>
      <formula>0.69</formula>
    </cfRule>
    <cfRule type="cellIs" dxfId="141" priority="154" operator="between">
      <formula>0.695</formula>
      <formula>0.7949</formula>
    </cfRule>
    <cfRule type="cellIs" dxfId="140" priority="155" operator="between">
      <formula>0.795</formula>
      <formula>1</formula>
    </cfRule>
  </conditionalFormatting>
  <conditionalFormatting sqref="F50">
    <cfRule type="cellIs" dxfId="139" priority="146" operator="between">
      <formula>0</formula>
      <formula>0.3999</formula>
    </cfRule>
    <cfRule type="cellIs" dxfId="138" priority="147" operator="between">
      <formula>0.4</formula>
      <formula>0.59</formula>
    </cfRule>
    <cfRule type="cellIs" dxfId="137" priority="148" operator="between">
      <formula>0.595</formula>
      <formula>0.69</formula>
    </cfRule>
    <cfRule type="cellIs" dxfId="136" priority="149" operator="between">
      <formula>0.695</formula>
      <formula>0.7949</formula>
    </cfRule>
    <cfRule type="cellIs" dxfId="135" priority="150" operator="between">
      <formula>0.795</formula>
      <formula>1</formula>
    </cfRule>
  </conditionalFormatting>
  <conditionalFormatting sqref="F59">
    <cfRule type="cellIs" dxfId="134" priority="141" operator="between">
      <formula>0</formula>
      <formula>0.3999</formula>
    </cfRule>
    <cfRule type="cellIs" dxfId="133" priority="142" operator="between">
      <formula>0.4</formula>
      <formula>0.59</formula>
    </cfRule>
    <cfRule type="cellIs" dxfId="132" priority="143" operator="between">
      <formula>0.595</formula>
      <formula>0.69</formula>
    </cfRule>
    <cfRule type="cellIs" dxfId="131" priority="144" operator="between">
      <formula>0.695</formula>
      <formula>0.7949</formula>
    </cfRule>
    <cfRule type="cellIs" dxfId="130" priority="145" operator="between">
      <formula>0.795</formula>
      <formula>1</formula>
    </cfRule>
  </conditionalFormatting>
  <conditionalFormatting sqref="F62">
    <cfRule type="cellIs" dxfId="129" priority="136" operator="between">
      <formula>0</formula>
      <formula>0.3999</formula>
    </cfRule>
    <cfRule type="cellIs" dxfId="128" priority="137" operator="between">
      <formula>0.4</formula>
      <formula>0.59</formula>
    </cfRule>
    <cfRule type="cellIs" dxfId="127" priority="138" operator="between">
      <formula>0.595</formula>
      <formula>0.69</formula>
    </cfRule>
    <cfRule type="cellIs" dxfId="126" priority="139" operator="between">
      <formula>0.695</formula>
      <formula>0.7949</formula>
    </cfRule>
    <cfRule type="cellIs" dxfId="125" priority="140" operator="between">
      <formula>0.795</formula>
      <formula>1</formula>
    </cfRule>
  </conditionalFormatting>
  <conditionalFormatting sqref="F66">
    <cfRule type="cellIs" dxfId="124" priority="131" operator="between">
      <formula>0</formula>
      <formula>0.3999</formula>
    </cfRule>
    <cfRule type="cellIs" dxfId="123" priority="132" operator="between">
      <formula>0.4</formula>
      <formula>0.59</formula>
    </cfRule>
    <cfRule type="cellIs" dxfId="122" priority="133" operator="between">
      <formula>0.595</formula>
      <formula>0.69</formula>
    </cfRule>
    <cfRule type="cellIs" dxfId="121" priority="134" operator="between">
      <formula>0.695</formula>
      <formula>0.7949</formula>
    </cfRule>
    <cfRule type="cellIs" dxfId="120" priority="135" operator="between">
      <formula>0.795</formula>
      <formula>1</formula>
    </cfRule>
  </conditionalFormatting>
  <conditionalFormatting sqref="F72">
    <cfRule type="cellIs" dxfId="119" priority="126" operator="between">
      <formula>0</formula>
      <formula>0.3999</formula>
    </cfRule>
    <cfRule type="cellIs" dxfId="118" priority="127" operator="between">
      <formula>0.4</formula>
      <formula>0.59</formula>
    </cfRule>
    <cfRule type="cellIs" dxfId="117" priority="128" operator="between">
      <formula>0.595</formula>
      <formula>0.69</formula>
    </cfRule>
    <cfRule type="cellIs" dxfId="116" priority="129" operator="between">
      <formula>0.695</formula>
      <formula>0.7949</formula>
    </cfRule>
    <cfRule type="cellIs" dxfId="115" priority="130" operator="between">
      <formula>0.795</formula>
      <formula>1</formula>
    </cfRule>
  </conditionalFormatting>
  <conditionalFormatting sqref="F80">
    <cfRule type="cellIs" dxfId="114" priority="121" operator="between">
      <formula>0</formula>
      <formula>0.3999</formula>
    </cfRule>
    <cfRule type="cellIs" dxfId="113" priority="122" operator="between">
      <formula>0.4</formula>
      <formula>0.59</formula>
    </cfRule>
    <cfRule type="cellIs" dxfId="112" priority="123" operator="between">
      <formula>0.595</formula>
      <formula>0.69</formula>
    </cfRule>
    <cfRule type="cellIs" dxfId="111" priority="124" operator="between">
      <formula>0.695</formula>
      <formula>0.7949</formula>
    </cfRule>
    <cfRule type="cellIs" dxfId="110" priority="125" operator="between">
      <formula>0.795</formula>
      <formula>1</formula>
    </cfRule>
  </conditionalFormatting>
  <conditionalFormatting sqref="F93">
    <cfRule type="cellIs" dxfId="109" priority="116" operator="between">
      <formula>0</formula>
      <formula>0.3999</formula>
    </cfRule>
    <cfRule type="cellIs" dxfId="108" priority="117" operator="between">
      <formula>0.4</formula>
      <formula>0.59</formula>
    </cfRule>
    <cfRule type="cellIs" dxfId="107" priority="118" operator="between">
      <formula>0.595</formula>
      <formula>0.69</formula>
    </cfRule>
    <cfRule type="cellIs" dxfId="106" priority="119" operator="between">
      <formula>0.695</formula>
      <formula>0.7949</formula>
    </cfRule>
    <cfRule type="cellIs" dxfId="105" priority="120" operator="between">
      <formula>0.795</formula>
      <formula>1</formula>
    </cfRule>
  </conditionalFormatting>
  <conditionalFormatting sqref="F102">
    <cfRule type="cellIs" dxfId="104" priority="111" operator="between">
      <formula>0</formula>
      <formula>0.3999</formula>
    </cfRule>
    <cfRule type="cellIs" dxfId="103" priority="112" operator="between">
      <formula>0.4</formula>
      <formula>0.59</formula>
    </cfRule>
    <cfRule type="cellIs" dxfId="102" priority="113" operator="between">
      <formula>0.595</formula>
      <formula>0.69</formula>
    </cfRule>
    <cfRule type="cellIs" dxfId="101" priority="114" operator="between">
      <formula>0.695</formula>
      <formula>0.7949</formula>
    </cfRule>
    <cfRule type="cellIs" dxfId="100" priority="115" operator="between">
      <formula>0.795</formula>
      <formula>1</formula>
    </cfRule>
  </conditionalFormatting>
  <conditionalFormatting sqref="F108">
    <cfRule type="cellIs" dxfId="99" priority="106" operator="between">
      <formula>0</formula>
      <formula>0.3999</formula>
    </cfRule>
    <cfRule type="cellIs" dxfId="98" priority="107" operator="between">
      <formula>0.4</formula>
      <formula>0.59</formula>
    </cfRule>
    <cfRule type="cellIs" dxfId="97" priority="108" operator="between">
      <formula>0.595</formula>
      <formula>0.69</formula>
    </cfRule>
    <cfRule type="cellIs" dxfId="96" priority="109" operator="between">
      <formula>0.695</formula>
      <formula>0.7949</formula>
    </cfRule>
    <cfRule type="cellIs" dxfId="95" priority="110" operator="between">
      <formula>0.795</formula>
      <formula>1</formula>
    </cfRule>
  </conditionalFormatting>
  <conditionalFormatting sqref="F117">
    <cfRule type="cellIs" dxfId="94" priority="101" operator="between">
      <formula>0</formula>
      <formula>0.3999</formula>
    </cfRule>
    <cfRule type="cellIs" dxfId="93" priority="102" operator="between">
      <formula>0.4</formula>
      <formula>0.59</formula>
    </cfRule>
    <cfRule type="cellIs" dxfId="92" priority="103" operator="between">
      <formula>0.595</formula>
      <formula>0.69</formula>
    </cfRule>
    <cfRule type="cellIs" dxfId="91" priority="104" operator="between">
      <formula>0.695</formula>
      <formula>0.7949</formula>
    </cfRule>
    <cfRule type="cellIs" dxfId="90" priority="105" operator="between">
      <formula>0.795</formula>
      <formula>1</formula>
    </cfRule>
  </conditionalFormatting>
  <conditionalFormatting sqref="F120">
    <cfRule type="cellIs" dxfId="89" priority="96" operator="between">
      <formula>0</formula>
      <formula>0.3999</formula>
    </cfRule>
    <cfRule type="cellIs" dxfId="88" priority="97" operator="between">
      <formula>0.4</formula>
      <formula>0.59</formula>
    </cfRule>
    <cfRule type="cellIs" dxfId="87" priority="98" operator="between">
      <formula>0.595</formula>
      <formula>0.69</formula>
    </cfRule>
    <cfRule type="cellIs" dxfId="86" priority="99" operator="between">
      <formula>0.695</formula>
      <formula>0.7949</formula>
    </cfRule>
    <cfRule type="cellIs" dxfId="85" priority="100" operator="between">
      <formula>0.795</formula>
      <formula>1</formula>
    </cfRule>
  </conditionalFormatting>
  <conditionalFormatting sqref="F139">
    <cfRule type="cellIs" dxfId="84" priority="91" operator="between">
      <formula>0</formula>
      <formula>0.3999</formula>
    </cfRule>
    <cfRule type="cellIs" dxfId="83" priority="92" operator="between">
      <formula>0.4</formula>
      <formula>0.59</formula>
    </cfRule>
    <cfRule type="cellIs" dxfId="82" priority="93" operator="between">
      <formula>0.595</formula>
      <formula>0.69</formula>
    </cfRule>
    <cfRule type="cellIs" dxfId="81" priority="94" operator="between">
      <formula>0.695</formula>
      <formula>0.7949</formula>
    </cfRule>
    <cfRule type="cellIs" dxfId="80" priority="95" operator="between">
      <formula>0.795</formula>
      <formula>1</formula>
    </cfRule>
  </conditionalFormatting>
  <conditionalFormatting sqref="F142">
    <cfRule type="cellIs" dxfId="79" priority="86" operator="between">
      <formula>0</formula>
      <formula>0.3999</formula>
    </cfRule>
    <cfRule type="cellIs" dxfId="78" priority="87" operator="between">
      <formula>0.4</formula>
      <formula>0.59</formula>
    </cfRule>
    <cfRule type="cellIs" dxfId="77" priority="88" operator="between">
      <formula>0.595</formula>
      <formula>0.69</formula>
    </cfRule>
    <cfRule type="cellIs" dxfId="76" priority="89" operator="between">
      <formula>0.695</formula>
      <formula>0.7949</formula>
    </cfRule>
    <cfRule type="cellIs" dxfId="75" priority="90" operator="between">
      <formula>0.795</formula>
      <formula>1</formula>
    </cfRule>
  </conditionalFormatting>
  <conditionalFormatting sqref="F149">
    <cfRule type="cellIs" dxfId="74" priority="81" operator="between">
      <formula>0</formula>
      <formula>0.3999</formula>
    </cfRule>
    <cfRule type="cellIs" dxfId="73" priority="82" operator="between">
      <formula>0.4</formula>
      <formula>0.59</formula>
    </cfRule>
    <cfRule type="cellIs" dxfId="72" priority="83" operator="between">
      <formula>0.595</formula>
      <formula>0.69</formula>
    </cfRule>
    <cfRule type="cellIs" dxfId="71" priority="84" operator="between">
      <formula>0.695</formula>
      <formula>0.7949</formula>
    </cfRule>
    <cfRule type="cellIs" dxfId="70" priority="85" operator="between">
      <formula>0.795</formula>
      <formula>1</formula>
    </cfRule>
  </conditionalFormatting>
  <conditionalFormatting sqref="F174">
    <cfRule type="cellIs" dxfId="69" priority="76" operator="between">
      <formula>0</formula>
      <formula>0.3999</formula>
    </cfRule>
    <cfRule type="cellIs" dxfId="68" priority="77" operator="between">
      <formula>0.4</formula>
      <formula>0.59</formula>
    </cfRule>
    <cfRule type="cellIs" dxfId="67" priority="78" operator="between">
      <formula>0.595</formula>
      <formula>0.69</formula>
    </cfRule>
    <cfRule type="cellIs" dxfId="66" priority="79" operator="between">
      <formula>0.695</formula>
      <formula>0.7949</formula>
    </cfRule>
    <cfRule type="cellIs" dxfId="65" priority="80" operator="between">
      <formula>0.795</formula>
      <formula>1</formula>
    </cfRule>
  </conditionalFormatting>
  <conditionalFormatting sqref="F178">
    <cfRule type="cellIs" dxfId="64" priority="71" operator="between">
      <formula>0</formula>
      <formula>0.3999</formula>
    </cfRule>
    <cfRule type="cellIs" dxfId="63" priority="72" operator="between">
      <formula>0.4</formula>
      <formula>0.59</formula>
    </cfRule>
    <cfRule type="cellIs" dxfId="62" priority="73" operator="between">
      <formula>0.595</formula>
      <formula>0.69</formula>
    </cfRule>
    <cfRule type="cellIs" dxfId="61" priority="74" operator="between">
      <formula>0.695</formula>
      <formula>0.7949</formula>
    </cfRule>
    <cfRule type="cellIs" dxfId="60" priority="75" operator="between">
      <formula>0.795</formula>
      <formula>1</formula>
    </cfRule>
  </conditionalFormatting>
  <conditionalFormatting sqref="F181">
    <cfRule type="cellIs" dxfId="59" priority="66" operator="between">
      <formula>0</formula>
      <formula>0.3999</formula>
    </cfRule>
    <cfRule type="cellIs" dxfId="58" priority="67" operator="between">
      <formula>0.4</formula>
      <formula>0.59</formula>
    </cfRule>
    <cfRule type="cellIs" dxfId="57" priority="68" operator="between">
      <formula>0.595</formula>
      <formula>0.69</formula>
    </cfRule>
    <cfRule type="cellIs" dxfId="56" priority="69" operator="between">
      <formula>0.695</formula>
      <formula>0.7949</formula>
    </cfRule>
    <cfRule type="cellIs" dxfId="55" priority="70" operator="between">
      <formula>0.795</formula>
      <formula>1</formula>
    </cfRule>
  </conditionalFormatting>
  <conditionalFormatting sqref="F184">
    <cfRule type="cellIs" dxfId="54" priority="61" operator="between">
      <formula>0</formula>
      <formula>0.3999</formula>
    </cfRule>
    <cfRule type="cellIs" dxfId="53" priority="62" operator="between">
      <formula>0.4</formula>
      <formula>0.59</formula>
    </cfRule>
    <cfRule type="cellIs" dxfId="52" priority="63" operator="between">
      <formula>0.595</formula>
      <formula>0.69</formula>
    </cfRule>
    <cfRule type="cellIs" dxfId="51" priority="64" operator="between">
      <formula>0.695</formula>
      <formula>0.7949</formula>
    </cfRule>
    <cfRule type="cellIs" dxfId="50" priority="65" operator="between">
      <formula>0.795</formula>
      <formula>1</formula>
    </cfRule>
  </conditionalFormatting>
  <conditionalFormatting sqref="F189">
    <cfRule type="cellIs" dxfId="49" priority="56" operator="between">
      <formula>0</formula>
      <formula>0.3999</formula>
    </cfRule>
    <cfRule type="cellIs" dxfId="48" priority="57" operator="between">
      <formula>0.4</formula>
      <formula>0.59</formula>
    </cfRule>
    <cfRule type="cellIs" dxfId="47" priority="58" operator="between">
      <formula>0.595</formula>
      <formula>0.69</formula>
    </cfRule>
    <cfRule type="cellIs" dxfId="46" priority="59" operator="between">
      <formula>0.695</formula>
      <formula>0.7949</formula>
    </cfRule>
    <cfRule type="cellIs" dxfId="45" priority="60" operator="between">
      <formula>0.795</formula>
      <formula>1</formula>
    </cfRule>
  </conditionalFormatting>
  <conditionalFormatting sqref="F192">
    <cfRule type="cellIs" dxfId="44" priority="51" operator="between">
      <formula>0</formula>
      <formula>0.3999</formula>
    </cfRule>
    <cfRule type="cellIs" dxfId="43" priority="52" operator="between">
      <formula>0.4</formula>
      <formula>0.59</formula>
    </cfRule>
    <cfRule type="cellIs" dxfId="42" priority="53" operator="between">
      <formula>0.595</formula>
      <formula>0.69</formula>
    </cfRule>
    <cfRule type="cellIs" dxfId="41" priority="54" operator="between">
      <formula>0.695</formula>
      <formula>0.7949</formula>
    </cfRule>
    <cfRule type="cellIs" dxfId="40" priority="55" operator="between">
      <formula>0.795</formula>
      <formula>1</formula>
    </cfRule>
  </conditionalFormatting>
  <conditionalFormatting sqref="F195">
    <cfRule type="cellIs" dxfId="39" priority="41" operator="between">
      <formula>0</formula>
      <formula>0.3999</formula>
    </cfRule>
    <cfRule type="cellIs" dxfId="38" priority="42" operator="between">
      <formula>0.4</formula>
      <formula>0.59</formula>
    </cfRule>
    <cfRule type="cellIs" dxfId="37" priority="43" operator="between">
      <formula>0.595</formula>
      <formula>0.69</formula>
    </cfRule>
    <cfRule type="cellIs" dxfId="36" priority="44" operator="between">
      <formula>0.695</formula>
      <formula>0.7949</formula>
    </cfRule>
    <cfRule type="cellIs" dxfId="35" priority="45" operator="between">
      <formula>0.795</formula>
      <formula>1</formula>
    </cfRule>
  </conditionalFormatting>
  <conditionalFormatting sqref="F198">
    <cfRule type="cellIs" dxfId="34" priority="36" operator="between">
      <formula>0</formula>
      <formula>0.3999</formula>
    </cfRule>
    <cfRule type="cellIs" dxfId="33" priority="37" operator="between">
      <formula>0.4</formula>
      <formula>0.59</formula>
    </cfRule>
    <cfRule type="cellIs" dxfId="32" priority="38" operator="between">
      <formula>0.595</formula>
      <formula>0.69</formula>
    </cfRule>
    <cfRule type="cellIs" dxfId="31" priority="39" operator="between">
      <formula>0.695</formula>
      <formula>0.7949</formula>
    </cfRule>
    <cfRule type="cellIs" dxfId="30" priority="40" operator="between">
      <formula>0.795</formula>
      <formula>1</formula>
    </cfRule>
  </conditionalFormatting>
  <conditionalFormatting sqref="F30">
    <cfRule type="cellIs" dxfId="29" priority="31" operator="between">
      <formula>0</formula>
      <formula>0.3999</formula>
    </cfRule>
    <cfRule type="cellIs" dxfId="28" priority="32" operator="between">
      <formula>0.4</formula>
      <formula>0.5949</formula>
    </cfRule>
    <cfRule type="cellIs" dxfId="27" priority="33" operator="between">
      <formula>0.595</formula>
      <formula>0.6949</formula>
    </cfRule>
    <cfRule type="cellIs" dxfId="26" priority="34" operator="between">
      <formula>0.695</formula>
      <formula>0.7949</formula>
    </cfRule>
    <cfRule type="cellIs" dxfId="25" priority="35" operator="between">
      <formula>0.795</formula>
      <formula>1</formula>
    </cfRule>
  </conditionalFormatting>
  <conditionalFormatting sqref="F32">
    <cfRule type="cellIs" dxfId="24" priority="26" operator="between">
      <formula>0</formula>
      <formula>0.3999</formula>
    </cfRule>
    <cfRule type="cellIs" dxfId="23" priority="27" operator="between">
      <formula>0.4</formula>
      <formula>0.5949</formula>
    </cfRule>
    <cfRule type="cellIs" dxfId="22" priority="28" operator="between">
      <formula>0.595</formula>
      <formula>0.6949</formula>
    </cfRule>
    <cfRule type="cellIs" dxfId="21" priority="29" operator="between">
      <formula>0.695</formula>
      <formula>0.7949</formula>
    </cfRule>
    <cfRule type="cellIs" dxfId="20" priority="30" operator="between">
      <formula>0.795</formula>
      <formula>1</formula>
    </cfRule>
  </conditionalFormatting>
  <conditionalFormatting sqref="F43:F44">
    <cfRule type="cellIs" dxfId="19" priority="16" operator="between">
      <formula>0</formula>
      <formula>0.3999</formula>
    </cfRule>
    <cfRule type="cellIs" dxfId="18" priority="17" operator="between">
      <formula>0.4</formula>
      <formula>0.5949</formula>
    </cfRule>
    <cfRule type="cellIs" dxfId="17" priority="18" operator="between">
      <formula>0.595</formula>
      <formula>0.6949</formula>
    </cfRule>
    <cfRule type="cellIs" dxfId="16" priority="19" operator="between">
      <formula>0.695</formula>
      <formula>0.7949</formula>
    </cfRule>
    <cfRule type="cellIs" dxfId="15" priority="20" operator="between">
      <formula>0.795</formula>
      <formula>1</formula>
    </cfRule>
  </conditionalFormatting>
  <conditionalFormatting sqref="F48">
    <cfRule type="cellIs" dxfId="14" priority="11" operator="between">
      <formula>0</formula>
      <formula>0.3999</formula>
    </cfRule>
    <cfRule type="cellIs" dxfId="13" priority="12" operator="between">
      <formula>0.4</formula>
      <formula>0.5949</formula>
    </cfRule>
    <cfRule type="cellIs" dxfId="12" priority="13" operator="between">
      <formula>0.595</formula>
      <formula>0.6949</formula>
    </cfRule>
    <cfRule type="cellIs" dxfId="11" priority="14" operator="between">
      <formula>0.695</formula>
      <formula>0.7949</formula>
    </cfRule>
    <cfRule type="cellIs" dxfId="10" priority="15" operator="between">
      <formula>0.795</formula>
      <formula>1</formula>
    </cfRule>
  </conditionalFormatting>
  <conditionalFormatting sqref="H3">
    <cfRule type="cellIs" dxfId="9" priority="6" operator="between">
      <formula>0</formula>
      <formula>0.3999</formula>
    </cfRule>
    <cfRule type="cellIs" dxfId="8" priority="7" operator="between">
      <formula>0.4</formula>
      <formula>0.5949</formula>
    </cfRule>
    <cfRule type="cellIs" dxfId="7" priority="8" operator="between">
      <formula>0.595</formula>
      <formula>0.6949</formula>
    </cfRule>
    <cfRule type="cellIs" dxfId="6" priority="9" operator="between">
      <formula>0.695</formula>
      <formula>0.7949</formula>
    </cfRule>
    <cfRule type="cellIs" dxfId="5" priority="10" operator="between">
      <formula>0.795</formula>
      <formula>1</formula>
    </cfRule>
  </conditionalFormatting>
  <conditionalFormatting sqref="H4:H200">
    <cfRule type="cellIs" dxfId="4" priority="1" operator="between">
      <formula>0</formula>
      <formula>0.3999</formula>
    </cfRule>
    <cfRule type="cellIs" dxfId="3" priority="2" operator="between">
      <formula>0.4</formula>
      <formula>0.5949</formula>
    </cfRule>
    <cfRule type="cellIs" dxfId="2" priority="3" operator="between">
      <formula>0.595</formula>
      <formula>0.6949</formula>
    </cfRule>
    <cfRule type="cellIs" dxfId="1" priority="4" operator="between">
      <formula>0.695</formula>
      <formula>0.7949</formula>
    </cfRule>
    <cfRule type="cellIs" dxfId="0" priority="5" operator="between">
      <formula>0.795</formula>
      <formula>1</formula>
    </cfRule>
  </conditionalFormatting>
  <pageMargins left="0.7" right="0.7" top="0.75" bottom="0.75" header="0.3" footer="0.3"/>
  <pageSetup orientation="portrait" verticalDpi="4294967295"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499984740745262"/>
  </sheetPr>
  <dimension ref="A1:AZ48"/>
  <sheetViews>
    <sheetView showGridLines="0" zoomScale="80" zoomScaleNormal="80" workbookViewId="0">
      <selection activeCell="A9" sqref="A9"/>
    </sheetView>
  </sheetViews>
  <sheetFormatPr baseColWidth="10" defaultColWidth="11.42578125" defaultRowHeight="15" x14ac:dyDescent="0.2"/>
  <cols>
    <col min="1" max="1" width="10.85546875" style="11" customWidth="1"/>
    <col min="2" max="2" width="21.28515625" style="11" customWidth="1"/>
    <col min="3" max="3" width="10.7109375" style="6" customWidth="1"/>
    <col min="4" max="4" width="21.28515625" style="9" customWidth="1"/>
    <col min="5" max="5" width="21.28515625" style="10" customWidth="1"/>
    <col min="6" max="6" width="24.42578125" style="9" customWidth="1"/>
    <col min="7" max="7" width="21.28515625" style="10" customWidth="1"/>
    <col min="8" max="8" width="41.7109375" style="11" customWidth="1"/>
    <col min="9" max="9" width="21.28515625" style="11" customWidth="1"/>
    <col min="10" max="10" width="41.7109375" style="11" customWidth="1"/>
    <col min="11" max="11" width="41.7109375" style="9" customWidth="1"/>
    <col min="12" max="12" width="14.5703125" style="10" customWidth="1"/>
    <col min="13" max="13" width="21.85546875" style="9" customWidth="1"/>
    <col min="14" max="14" width="11.7109375" style="7" customWidth="1"/>
    <col min="15" max="15" width="22.42578125" style="9" customWidth="1"/>
    <col min="16" max="16" width="17.42578125" style="9" customWidth="1"/>
    <col min="17" max="17" width="18.5703125" style="11" customWidth="1"/>
    <col min="18" max="18" width="17.7109375" style="10" customWidth="1"/>
    <col min="19" max="19" width="29.140625" style="11" customWidth="1"/>
    <col min="20" max="20" width="20.140625" style="38" customWidth="1"/>
    <col min="21" max="21" width="53.85546875" style="11" customWidth="1"/>
    <col min="22" max="22" width="75" style="11" customWidth="1"/>
    <col min="23" max="23" width="28.42578125" style="16" customWidth="1"/>
    <col min="24" max="25" width="28.42578125" style="103" customWidth="1"/>
    <col min="26" max="26" width="34.5703125" style="16" customWidth="1"/>
    <col min="27" max="28" width="33.42578125" style="2" customWidth="1"/>
    <col min="29" max="29" width="27" style="190" customWidth="1"/>
    <col min="30" max="30" width="25.7109375" style="12" customWidth="1"/>
    <col min="31" max="31" width="27" style="12" customWidth="1"/>
    <col min="32" max="32" width="25.140625" style="16" customWidth="1"/>
    <col min="33" max="33" width="26.5703125" style="103" customWidth="1"/>
    <col min="34" max="34" width="26.140625" style="103" customWidth="1"/>
    <col min="35" max="35" width="28" style="16" customWidth="1"/>
    <col min="36" max="36" width="28.140625" style="103" customWidth="1"/>
    <col min="37" max="37" width="25.5703125" style="103" customWidth="1"/>
    <col min="38" max="38" width="35.85546875" style="16" customWidth="1"/>
    <col min="39" max="40" width="35.85546875" style="2" customWidth="1"/>
    <col min="41" max="41" width="26" style="19" customWidth="1"/>
    <col min="42" max="42" width="11.42578125" style="103"/>
    <col min="43" max="43" width="30.42578125" style="103" customWidth="1"/>
    <col min="44" max="44" width="29.7109375" style="103" customWidth="1"/>
    <col min="45" max="47" width="27" style="103" customWidth="1"/>
    <col min="48" max="49" width="11.42578125" style="103"/>
    <col min="50" max="52" width="17.7109375" style="103" bestFit="1" customWidth="1"/>
    <col min="53" max="16384" width="11.42578125" style="103"/>
  </cols>
  <sheetData>
    <row r="1" spans="1:46" ht="15.75" customHeight="1" x14ac:dyDescent="0.2">
      <c r="C1" s="627"/>
      <c r="D1" s="628"/>
      <c r="E1" s="628"/>
      <c r="F1" s="628"/>
      <c r="G1" s="628"/>
      <c r="H1" s="628"/>
      <c r="I1" s="628"/>
      <c r="J1" s="628"/>
      <c r="K1" s="628"/>
      <c r="L1" s="628"/>
      <c r="M1" s="628"/>
      <c r="N1" s="628"/>
      <c r="O1" s="628"/>
      <c r="P1" s="628"/>
      <c r="Q1" s="628"/>
      <c r="R1" s="628"/>
      <c r="S1" s="628"/>
      <c r="T1" s="628"/>
      <c r="U1" s="628"/>
      <c r="V1" s="628"/>
      <c r="W1" s="629"/>
      <c r="X1" s="628"/>
      <c r="Y1" s="628"/>
      <c r="Z1" s="629"/>
      <c r="AA1" s="628"/>
      <c r="AB1" s="628"/>
      <c r="AC1" s="629"/>
      <c r="AD1" s="628"/>
      <c r="AE1" s="628"/>
      <c r="AF1" s="629"/>
      <c r="AG1" s="628"/>
      <c r="AH1" s="628"/>
      <c r="AI1" s="629"/>
      <c r="AJ1" s="628"/>
      <c r="AK1" s="628"/>
      <c r="AL1" s="629"/>
      <c r="AM1" s="628"/>
      <c r="AN1" s="279" t="s">
        <v>0</v>
      </c>
      <c r="AO1" s="280" t="s">
        <v>1452</v>
      </c>
    </row>
    <row r="2" spans="1:46" ht="14.25" customHeight="1" x14ac:dyDescent="0.2">
      <c r="C2" s="634" t="s">
        <v>1533</v>
      </c>
      <c r="D2" s="635"/>
      <c r="E2" s="635"/>
      <c r="F2" s="635"/>
      <c r="G2" s="635"/>
      <c r="H2" s="635"/>
      <c r="I2" s="635"/>
      <c r="J2" s="635"/>
      <c r="K2" s="635"/>
      <c r="L2" s="635"/>
      <c r="M2" s="635"/>
      <c r="N2" s="635"/>
      <c r="O2" s="635"/>
      <c r="P2" s="635"/>
      <c r="Q2" s="635"/>
      <c r="R2" s="635"/>
      <c r="S2" s="635"/>
      <c r="T2" s="635"/>
      <c r="U2" s="635"/>
      <c r="V2" s="635"/>
      <c r="W2" s="636"/>
      <c r="X2" s="635"/>
      <c r="Y2" s="635"/>
      <c r="Z2" s="636"/>
      <c r="AA2" s="635"/>
      <c r="AB2" s="635"/>
      <c r="AC2" s="636"/>
      <c r="AD2" s="635"/>
      <c r="AE2" s="635"/>
      <c r="AF2" s="636"/>
      <c r="AG2" s="635"/>
      <c r="AH2" s="635"/>
      <c r="AI2" s="636"/>
      <c r="AJ2" s="635"/>
      <c r="AK2" s="635"/>
      <c r="AL2" s="636"/>
      <c r="AM2" s="635"/>
      <c r="AN2" s="281" t="s">
        <v>1</v>
      </c>
      <c r="AO2" s="282">
        <v>4</v>
      </c>
    </row>
    <row r="3" spans="1:46" ht="15" customHeight="1" x14ac:dyDescent="0.2">
      <c r="C3" s="634" t="s">
        <v>1271</v>
      </c>
      <c r="D3" s="635"/>
      <c r="E3" s="635"/>
      <c r="F3" s="635"/>
      <c r="G3" s="635"/>
      <c r="H3" s="635"/>
      <c r="I3" s="635"/>
      <c r="J3" s="635"/>
      <c r="K3" s="635"/>
      <c r="L3" s="635"/>
      <c r="M3" s="635"/>
      <c r="N3" s="635"/>
      <c r="O3" s="635"/>
      <c r="P3" s="635"/>
      <c r="Q3" s="635"/>
      <c r="R3" s="635"/>
      <c r="S3" s="635"/>
      <c r="T3" s="635"/>
      <c r="U3" s="635"/>
      <c r="V3" s="635"/>
      <c r="W3" s="636"/>
      <c r="X3" s="635"/>
      <c r="Y3" s="635"/>
      <c r="Z3" s="636"/>
      <c r="AA3" s="635"/>
      <c r="AB3" s="635"/>
      <c r="AC3" s="636"/>
      <c r="AD3" s="635"/>
      <c r="AE3" s="635"/>
      <c r="AF3" s="636"/>
      <c r="AG3" s="635"/>
      <c r="AH3" s="635"/>
      <c r="AI3" s="636"/>
      <c r="AJ3" s="635"/>
      <c r="AK3" s="635"/>
      <c r="AL3" s="636"/>
      <c r="AM3" s="635"/>
      <c r="AN3" s="283" t="s">
        <v>2</v>
      </c>
      <c r="AO3" s="284">
        <v>44718</v>
      </c>
    </row>
    <row r="4" spans="1:46" ht="16.5" customHeight="1" x14ac:dyDescent="0.2">
      <c r="C4" s="276"/>
      <c r="D4" s="17"/>
      <c r="E4" s="277"/>
      <c r="F4" s="17"/>
      <c r="G4" s="277"/>
      <c r="H4" s="17"/>
      <c r="I4" s="17"/>
      <c r="J4" s="17"/>
      <c r="K4" s="17"/>
      <c r="L4" s="277"/>
      <c r="M4" s="18"/>
      <c r="N4" s="5"/>
      <c r="O4" s="18"/>
      <c r="P4" s="31"/>
      <c r="Q4" s="33"/>
      <c r="R4" s="32"/>
      <c r="S4" s="33"/>
      <c r="T4" s="35"/>
      <c r="U4" s="33"/>
      <c r="V4" s="33"/>
      <c r="AA4" s="103"/>
      <c r="AB4" s="103"/>
      <c r="AC4" s="16"/>
      <c r="AD4" s="103"/>
      <c r="AE4" s="103"/>
      <c r="AN4" s="279" t="s">
        <v>3</v>
      </c>
      <c r="AO4" s="285" t="s">
        <v>1142</v>
      </c>
    </row>
    <row r="5" spans="1:46" s="3" customFormat="1" ht="38.25" customHeight="1" x14ac:dyDescent="0.25">
      <c r="A5" s="616" t="s">
        <v>4</v>
      </c>
      <c r="B5" s="617"/>
      <c r="C5" s="618" t="s">
        <v>5</v>
      </c>
      <c r="D5" s="618"/>
      <c r="E5" s="618" t="s">
        <v>6</v>
      </c>
      <c r="F5" s="618"/>
      <c r="G5" s="619" t="s">
        <v>7</v>
      </c>
      <c r="H5" s="620"/>
      <c r="I5" s="620"/>
      <c r="J5" s="620"/>
      <c r="K5" s="621"/>
      <c r="L5" s="619" t="s">
        <v>9</v>
      </c>
      <c r="M5" s="620"/>
      <c r="N5" s="620"/>
      <c r="O5" s="621"/>
      <c r="P5" s="619" t="s">
        <v>10</v>
      </c>
      <c r="Q5" s="620"/>
      <c r="R5" s="620"/>
      <c r="S5" s="621"/>
      <c r="T5" s="618" t="s">
        <v>11</v>
      </c>
      <c r="U5" s="618"/>
      <c r="V5" s="618"/>
      <c r="W5" s="631" t="s">
        <v>1186</v>
      </c>
      <c r="X5" s="632"/>
      <c r="Y5" s="632"/>
      <c r="Z5" s="632"/>
      <c r="AA5" s="632"/>
      <c r="AB5" s="632"/>
      <c r="AC5" s="632"/>
      <c r="AD5" s="632"/>
      <c r="AE5" s="632"/>
      <c r="AF5" s="632"/>
      <c r="AG5" s="632"/>
      <c r="AH5" s="632"/>
      <c r="AI5" s="632"/>
      <c r="AJ5" s="632"/>
      <c r="AK5" s="632"/>
      <c r="AL5" s="632"/>
      <c r="AM5" s="632"/>
      <c r="AN5" s="633"/>
      <c r="AO5" s="638" t="s">
        <v>1461</v>
      </c>
    </row>
    <row r="6" spans="1:46" s="186" customFormat="1" ht="76.5" customHeight="1" x14ac:dyDescent="0.25">
      <c r="A6" s="612" t="s">
        <v>12</v>
      </c>
      <c r="B6" s="614" t="s">
        <v>13</v>
      </c>
      <c r="C6" s="614" t="s">
        <v>12</v>
      </c>
      <c r="D6" s="614" t="s">
        <v>13</v>
      </c>
      <c r="E6" s="614" t="s">
        <v>12</v>
      </c>
      <c r="F6" s="614" t="s">
        <v>13</v>
      </c>
      <c r="G6" s="614" t="s">
        <v>1210</v>
      </c>
      <c r="H6" s="614" t="s">
        <v>1211</v>
      </c>
      <c r="I6" s="614" t="s">
        <v>1217</v>
      </c>
      <c r="J6" s="614" t="s">
        <v>1212</v>
      </c>
      <c r="K6" s="625" t="s">
        <v>8</v>
      </c>
      <c r="L6" s="614" t="s">
        <v>14</v>
      </c>
      <c r="M6" s="614" t="s">
        <v>15</v>
      </c>
      <c r="N6" s="614" t="s">
        <v>16</v>
      </c>
      <c r="O6" s="614" t="s">
        <v>17</v>
      </c>
      <c r="P6" s="187" t="s">
        <v>14</v>
      </c>
      <c r="Q6" s="625" t="s">
        <v>18</v>
      </c>
      <c r="R6" s="625" t="s">
        <v>19</v>
      </c>
      <c r="S6" s="187" t="s">
        <v>20</v>
      </c>
      <c r="T6" s="614" t="s">
        <v>21</v>
      </c>
      <c r="U6" s="625" t="s">
        <v>22</v>
      </c>
      <c r="V6" s="625" t="s">
        <v>23</v>
      </c>
      <c r="W6" s="622" t="s">
        <v>1269</v>
      </c>
      <c r="X6" s="623"/>
      <c r="Y6" s="624"/>
      <c r="Z6" s="622" t="s">
        <v>1266</v>
      </c>
      <c r="AA6" s="623"/>
      <c r="AB6" s="624"/>
      <c r="AC6" s="622" t="s">
        <v>26</v>
      </c>
      <c r="AD6" s="623"/>
      <c r="AE6" s="624"/>
      <c r="AF6" s="622" t="s">
        <v>1267</v>
      </c>
      <c r="AG6" s="623"/>
      <c r="AH6" s="624"/>
      <c r="AI6" s="622" t="s">
        <v>1188</v>
      </c>
      <c r="AJ6" s="623"/>
      <c r="AK6" s="624"/>
      <c r="AL6" s="622" t="s">
        <v>1453</v>
      </c>
      <c r="AM6" s="623"/>
      <c r="AN6" s="624"/>
      <c r="AO6" s="639"/>
    </row>
    <row r="7" spans="1:46" s="186" customFormat="1" ht="29.25" customHeight="1" x14ac:dyDescent="0.25">
      <c r="A7" s="613"/>
      <c r="B7" s="615"/>
      <c r="C7" s="615"/>
      <c r="D7" s="615"/>
      <c r="E7" s="615"/>
      <c r="F7" s="615"/>
      <c r="G7" s="615"/>
      <c r="H7" s="615"/>
      <c r="I7" s="615"/>
      <c r="J7" s="615"/>
      <c r="K7" s="626"/>
      <c r="L7" s="615"/>
      <c r="M7" s="615"/>
      <c r="N7" s="615"/>
      <c r="O7" s="615"/>
      <c r="P7" s="187"/>
      <c r="Q7" s="626"/>
      <c r="R7" s="626"/>
      <c r="S7" s="187"/>
      <c r="T7" s="615"/>
      <c r="U7" s="626"/>
      <c r="V7" s="626"/>
      <c r="W7" s="286" t="s">
        <v>1329</v>
      </c>
      <c r="X7" s="286" t="s">
        <v>1421</v>
      </c>
      <c r="Y7" s="286" t="s">
        <v>1451</v>
      </c>
      <c r="Z7" s="286" t="s">
        <v>1329</v>
      </c>
      <c r="AA7" s="286" t="s">
        <v>1421</v>
      </c>
      <c r="AB7" s="286" t="s">
        <v>1451</v>
      </c>
      <c r="AC7" s="286" t="s">
        <v>1329</v>
      </c>
      <c r="AD7" s="286" t="s">
        <v>1421</v>
      </c>
      <c r="AE7" s="286" t="s">
        <v>1451</v>
      </c>
      <c r="AF7" s="286" t="s">
        <v>1329</v>
      </c>
      <c r="AG7" s="286" t="s">
        <v>1421</v>
      </c>
      <c r="AH7" s="286" t="s">
        <v>1451</v>
      </c>
      <c r="AI7" s="286" t="s">
        <v>1329</v>
      </c>
      <c r="AJ7" s="286" t="s">
        <v>1421</v>
      </c>
      <c r="AK7" s="286" t="s">
        <v>1451</v>
      </c>
      <c r="AL7" s="286" t="s">
        <v>1329</v>
      </c>
      <c r="AM7" s="286" t="s">
        <v>1421</v>
      </c>
      <c r="AN7" s="286" t="s">
        <v>1451</v>
      </c>
      <c r="AO7" s="640"/>
    </row>
    <row r="8" spans="1:46" s="328" customFormat="1" ht="110.25" customHeight="1" x14ac:dyDescent="0.25">
      <c r="A8" s="312">
        <v>8</v>
      </c>
      <c r="B8" s="314" t="s">
        <v>1203</v>
      </c>
      <c r="C8" s="312">
        <v>1</v>
      </c>
      <c r="D8" s="314" t="s">
        <v>1200</v>
      </c>
      <c r="E8" s="312">
        <v>22</v>
      </c>
      <c r="F8" s="314" t="s">
        <v>124</v>
      </c>
      <c r="G8" s="312">
        <v>2201</v>
      </c>
      <c r="H8" s="314" t="s">
        <v>229</v>
      </c>
      <c r="I8" s="312">
        <v>2201</v>
      </c>
      <c r="J8" s="315" t="s">
        <v>1241</v>
      </c>
      <c r="K8" s="321" t="s">
        <v>126</v>
      </c>
      <c r="L8" s="312">
        <v>2201071</v>
      </c>
      <c r="M8" s="403" t="s">
        <v>613</v>
      </c>
      <c r="N8" s="312">
        <v>2201071</v>
      </c>
      <c r="O8" s="403" t="s">
        <v>613</v>
      </c>
      <c r="P8" s="391">
        <v>220107100</v>
      </c>
      <c r="Q8" s="316" t="s">
        <v>614</v>
      </c>
      <c r="R8" s="391">
        <v>220107100</v>
      </c>
      <c r="S8" s="316" t="s">
        <v>614</v>
      </c>
      <c r="T8" s="320">
        <v>2020003630016</v>
      </c>
      <c r="U8" s="344" t="s">
        <v>607</v>
      </c>
      <c r="V8" s="472" t="s">
        <v>608</v>
      </c>
      <c r="W8" s="473"/>
      <c r="X8" s="473"/>
      <c r="Y8" s="473"/>
      <c r="Z8" s="365">
        <v>619500</v>
      </c>
      <c r="AA8" s="365">
        <v>619500</v>
      </c>
      <c r="AB8" s="365">
        <v>619500</v>
      </c>
      <c r="AC8" s="473"/>
      <c r="AD8" s="473"/>
      <c r="AE8" s="473"/>
      <c r="AF8" s="473"/>
      <c r="AG8" s="473"/>
      <c r="AH8" s="473"/>
      <c r="AI8" s="473"/>
      <c r="AJ8" s="473"/>
      <c r="AK8" s="473"/>
      <c r="AL8" s="462">
        <f>W8+Z8+AC8+AF8+AI8</f>
        <v>619500</v>
      </c>
      <c r="AM8" s="462">
        <f>X8+AA8+AD8+AG8+AJ8</f>
        <v>619500</v>
      </c>
      <c r="AN8" s="462">
        <f>Y8+AB8+AE8+AH8+AK8</f>
        <v>619500</v>
      </c>
      <c r="AO8" s="317" t="s">
        <v>1472</v>
      </c>
    </row>
    <row r="9" spans="1:46" s="326" customFormat="1" ht="156" customHeight="1" x14ac:dyDescent="0.2">
      <c r="A9" s="312">
        <v>8</v>
      </c>
      <c r="B9" s="314" t="s">
        <v>1194</v>
      </c>
      <c r="C9" s="312">
        <v>1</v>
      </c>
      <c r="D9" s="314" t="s">
        <v>1195</v>
      </c>
      <c r="E9" s="312">
        <v>43</v>
      </c>
      <c r="F9" s="314" t="s">
        <v>141</v>
      </c>
      <c r="G9" s="312">
        <v>4301</v>
      </c>
      <c r="H9" s="314" t="s">
        <v>1361</v>
      </c>
      <c r="I9" s="312">
        <v>4301</v>
      </c>
      <c r="J9" s="315" t="s">
        <v>1261</v>
      </c>
      <c r="K9" s="321" t="s">
        <v>143</v>
      </c>
      <c r="L9" s="312" t="s">
        <v>31</v>
      </c>
      <c r="M9" s="344" t="s">
        <v>144</v>
      </c>
      <c r="N9" s="312">
        <v>4301004</v>
      </c>
      <c r="O9" s="344" t="s">
        <v>145</v>
      </c>
      <c r="P9" s="312" t="s">
        <v>31</v>
      </c>
      <c r="Q9" s="344" t="s">
        <v>146</v>
      </c>
      <c r="R9" s="312">
        <v>430100401</v>
      </c>
      <c r="S9" s="344" t="s">
        <v>147</v>
      </c>
      <c r="T9" s="320">
        <v>2016630000021</v>
      </c>
      <c r="U9" s="315" t="s">
        <v>1501</v>
      </c>
      <c r="V9" s="472" t="s">
        <v>1501</v>
      </c>
      <c r="W9" s="365">
        <v>30983766</v>
      </c>
      <c r="X9" s="365">
        <v>30983766</v>
      </c>
      <c r="Y9" s="365">
        <v>30983766</v>
      </c>
      <c r="Z9" s="322"/>
      <c r="AA9" s="322"/>
      <c r="AB9" s="322"/>
      <c r="AC9" s="473"/>
      <c r="AD9" s="342"/>
      <c r="AE9" s="342"/>
      <c r="AF9" s="323"/>
      <c r="AG9" s="322"/>
      <c r="AH9" s="322"/>
      <c r="AI9" s="323"/>
      <c r="AJ9" s="322"/>
      <c r="AK9" s="322"/>
      <c r="AL9" s="462">
        <f t="shared" ref="AL9:AL23" si="0">W9+Z9+AC9+AF9+AI9</f>
        <v>30983766</v>
      </c>
      <c r="AM9" s="462">
        <f t="shared" ref="AM9:AM23" si="1">X9+AA9+AD9+AG9+AJ9</f>
        <v>30983766</v>
      </c>
      <c r="AN9" s="462">
        <f t="shared" ref="AN9:AN23" si="2">Y9+AB9+AE9+AH9+AK9</f>
        <v>30983766</v>
      </c>
      <c r="AO9" s="315" t="s">
        <v>1528</v>
      </c>
      <c r="AQ9" s="328"/>
      <c r="AR9" s="328"/>
    </row>
    <row r="10" spans="1:46" s="326" customFormat="1" ht="165.75" customHeight="1" x14ac:dyDescent="0.2">
      <c r="A10" s="312">
        <v>9</v>
      </c>
      <c r="B10" s="314" t="s">
        <v>1194</v>
      </c>
      <c r="C10" s="312">
        <v>1</v>
      </c>
      <c r="D10" s="314" t="s">
        <v>1195</v>
      </c>
      <c r="E10" s="312">
        <v>43</v>
      </c>
      <c r="F10" s="314" t="s">
        <v>141</v>
      </c>
      <c r="G10" s="312">
        <v>4301</v>
      </c>
      <c r="H10" s="314" t="s">
        <v>1361</v>
      </c>
      <c r="I10" s="312">
        <v>4301</v>
      </c>
      <c r="J10" s="315" t="s">
        <v>1261</v>
      </c>
      <c r="K10" s="321" t="s">
        <v>143</v>
      </c>
      <c r="L10" s="312" t="s">
        <v>31</v>
      </c>
      <c r="M10" s="344" t="s">
        <v>144</v>
      </c>
      <c r="N10" s="312">
        <v>4301004</v>
      </c>
      <c r="O10" s="344" t="s">
        <v>145</v>
      </c>
      <c r="P10" s="312" t="s">
        <v>31</v>
      </c>
      <c r="Q10" s="344" t="s">
        <v>146</v>
      </c>
      <c r="R10" s="312">
        <v>430100401</v>
      </c>
      <c r="S10" s="344" t="s">
        <v>147</v>
      </c>
      <c r="T10" s="320">
        <v>2020003630052</v>
      </c>
      <c r="U10" s="315" t="s">
        <v>148</v>
      </c>
      <c r="V10" s="321" t="s">
        <v>149</v>
      </c>
      <c r="W10" s="365">
        <v>125516848.73</v>
      </c>
      <c r="X10" s="365">
        <v>112960548.48999999</v>
      </c>
      <c r="Y10" s="365">
        <v>112960548.48999999</v>
      </c>
      <c r="Z10" s="322"/>
      <c r="AA10" s="322"/>
      <c r="AB10" s="322"/>
      <c r="AC10" s="322"/>
      <c r="AD10" s="322"/>
      <c r="AE10" s="342"/>
      <c r="AF10" s="323"/>
      <c r="AG10" s="322"/>
      <c r="AH10" s="322"/>
      <c r="AI10" s="323"/>
      <c r="AJ10" s="322"/>
      <c r="AK10" s="322"/>
      <c r="AL10" s="462">
        <f t="shared" si="0"/>
        <v>125516848.73</v>
      </c>
      <c r="AM10" s="462">
        <f t="shared" si="1"/>
        <v>112960548.48999999</v>
      </c>
      <c r="AN10" s="462">
        <f t="shared" si="2"/>
        <v>112960548.48999999</v>
      </c>
      <c r="AO10" s="315" t="s">
        <v>1528</v>
      </c>
      <c r="AQ10" s="328"/>
      <c r="AR10" s="328"/>
    </row>
    <row r="11" spans="1:46" s="326" customFormat="1" ht="117" customHeight="1" x14ac:dyDescent="0.2">
      <c r="A11" s="312">
        <v>9</v>
      </c>
      <c r="B11" s="314" t="s">
        <v>1293</v>
      </c>
      <c r="C11" s="312">
        <v>1</v>
      </c>
      <c r="D11" s="314" t="s">
        <v>1200</v>
      </c>
      <c r="E11" s="312">
        <v>23</v>
      </c>
      <c r="F11" s="314" t="s">
        <v>985</v>
      </c>
      <c r="G11" s="312">
        <v>2301</v>
      </c>
      <c r="H11" s="314" t="s">
        <v>1364</v>
      </c>
      <c r="I11" s="312">
        <v>2301</v>
      </c>
      <c r="J11" s="315" t="s">
        <v>1221</v>
      </c>
      <c r="K11" s="321" t="s">
        <v>987</v>
      </c>
      <c r="L11" s="312">
        <v>2301024</v>
      </c>
      <c r="M11" s="315" t="s">
        <v>988</v>
      </c>
      <c r="N11" s="312">
        <v>2301024</v>
      </c>
      <c r="O11" s="315" t="s">
        <v>988</v>
      </c>
      <c r="P11" s="329">
        <v>230102404</v>
      </c>
      <c r="Q11" s="316" t="s">
        <v>992</v>
      </c>
      <c r="R11" s="329">
        <v>230102404</v>
      </c>
      <c r="S11" s="316" t="s">
        <v>992</v>
      </c>
      <c r="T11" s="320">
        <v>2020003630038</v>
      </c>
      <c r="U11" s="412" t="s">
        <v>1360</v>
      </c>
      <c r="V11" s="321" t="s">
        <v>991</v>
      </c>
      <c r="W11" s="322"/>
      <c r="X11" s="322"/>
      <c r="Y11" s="322"/>
      <c r="Z11" s="365"/>
      <c r="AA11" s="365"/>
      <c r="AB11" s="365"/>
      <c r="AC11" s="365">
        <v>49185026.450000003</v>
      </c>
      <c r="AD11" s="365">
        <v>49185026.450000003</v>
      </c>
      <c r="AE11" s="365">
        <v>49185026.450000003</v>
      </c>
      <c r="AF11" s="386"/>
      <c r="AG11" s="365"/>
      <c r="AH11" s="365"/>
      <c r="AI11" s="386"/>
      <c r="AJ11" s="365"/>
      <c r="AK11" s="365"/>
      <c r="AL11" s="462">
        <f t="shared" si="0"/>
        <v>49185026.450000003</v>
      </c>
      <c r="AM11" s="462">
        <f t="shared" si="1"/>
        <v>49185026.450000003</v>
      </c>
      <c r="AN11" s="462">
        <f t="shared" si="2"/>
        <v>49185026.450000003</v>
      </c>
      <c r="AO11" s="332" t="s">
        <v>1470</v>
      </c>
      <c r="AP11" s="328"/>
      <c r="AQ11" s="328"/>
      <c r="AR11" s="328"/>
    </row>
    <row r="12" spans="1:46" s="326" customFormat="1" ht="117" customHeight="1" x14ac:dyDescent="0.2">
      <c r="A12" s="312">
        <v>9</v>
      </c>
      <c r="B12" s="314" t="s">
        <v>1201</v>
      </c>
      <c r="C12" s="388">
        <v>2</v>
      </c>
      <c r="D12" s="314" t="s">
        <v>1196</v>
      </c>
      <c r="E12" s="312">
        <v>35</v>
      </c>
      <c r="F12" s="314" t="s">
        <v>334</v>
      </c>
      <c r="G12" s="312">
        <v>3502</v>
      </c>
      <c r="H12" s="314" t="s">
        <v>1362</v>
      </c>
      <c r="I12" s="312">
        <v>3502</v>
      </c>
      <c r="J12" s="315" t="s">
        <v>1252</v>
      </c>
      <c r="K12" s="321" t="s">
        <v>349</v>
      </c>
      <c r="L12" s="319">
        <v>3502046</v>
      </c>
      <c r="M12" s="315" t="s">
        <v>354</v>
      </c>
      <c r="N12" s="319">
        <v>3502046</v>
      </c>
      <c r="O12" s="315" t="s">
        <v>354</v>
      </c>
      <c r="P12" s="312" t="s">
        <v>355</v>
      </c>
      <c r="Q12" s="316" t="s">
        <v>356</v>
      </c>
      <c r="R12" s="312">
        <v>350204600</v>
      </c>
      <c r="S12" s="316" t="s">
        <v>356</v>
      </c>
      <c r="T12" s="320">
        <v>2020003630077</v>
      </c>
      <c r="U12" s="321" t="s">
        <v>1383</v>
      </c>
      <c r="V12" s="321" t="s">
        <v>357</v>
      </c>
      <c r="W12" s="322"/>
      <c r="X12" s="322"/>
      <c r="Y12" s="322"/>
      <c r="Z12" s="322"/>
      <c r="AA12" s="322"/>
      <c r="AB12" s="322"/>
      <c r="AC12" s="343"/>
      <c r="AD12" s="331"/>
      <c r="AE12" s="331"/>
      <c r="AF12" s="386">
        <v>9721053.9000000004</v>
      </c>
      <c r="AG12" s="365">
        <v>8826898.9000000004</v>
      </c>
      <c r="AH12" s="365">
        <v>8826898.9000000004</v>
      </c>
      <c r="AI12" s="394"/>
      <c r="AJ12" s="331"/>
      <c r="AK12" s="331"/>
      <c r="AL12" s="462">
        <f t="shared" si="0"/>
        <v>9721053.9000000004</v>
      </c>
      <c r="AM12" s="462">
        <f t="shared" si="1"/>
        <v>8826898.9000000004</v>
      </c>
      <c r="AN12" s="462">
        <f t="shared" si="2"/>
        <v>8826898.9000000004</v>
      </c>
      <c r="AO12" s="393" t="s">
        <v>1529</v>
      </c>
      <c r="AQ12" s="328"/>
      <c r="AR12" s="328"/>
      <c r="AS12" s="326">
        <v>8826898.9000000004</v>
      </c>
      <c r="AT12" s="326">
        <v>8826898.9000000004</v>
      </c>
    </row>
    <row r="13" spans="1:46" s="326" customFormat="1" ht="117" customHeight="1" x14ac:dyDescent="0.2">
      <c r="A13" s="312">
        <v>9</v>
      </c>
      <c r="B13" s="314" t="s">
        <v>1192</v>
      </c>
      <c r="C13" s="312">
        <v>4</v>
      </c>
      <c r="D13" s="314" t="s">
        <v>1191</v>
      </c>
      <c r="E13" s="312">
        <v>45</v>
      </c>
      <c r="F13" s="314" t="s">
        <v>28</v>
      </c>
      <c r="G13" s="312">
        <v>4502</v>
      </c>
      <c r="H13" s="314" t="s">
        <v>1223</v>
      </c>
      <c r="I13" s="312">
        <v>4502</v>
      </c>
      <c r="J13" s="315" t="s">
        <v>1222</v>
      </c>
      <c r="K13" s="315" t="s">
        <v>56</v>
      </c>
      <c r="L13" s="312" t="s">
        <v>31</v>
      </c>
      <c r="M13" s="315" t="s">
        <v>57</v>
      </c>
      <c r="N13" s="312">
        <v>4502001</v>
      </c>
      <c r="O13" s="315" t="s">
        <v>58</v>
      </c>
      <c r="P13" s="312" t="s">
        <v>31</v>
      </c>
      <c r="Q13" s="316" t="s">
        <v>59</v>
      </c>
      <c r="R13" s="329">
        <v>450200100</v>
      </c>
      <c r="S13" s="316" t="s">
        <v>60</v>
      </c>
      <c r="T13" s="320">
        <v>2020003630042</v>
      </c>
      <c r="U13" s="315" t="s">
        <v>61</v>
      </c>
      <c r="V13" s="321" t="s">
        <v>62</v>
      </c>
      <c r="W13" s="322"/>
      <c r="X13" s="322"/>
      <c r="Y13" s="322"/>
      <c r="Z13" s="322"/>
      <c r="AA13" s="322"/>
      <c r="AB13" s="322"/>
      <c r="AC13" s="343">
        <v>2208674</v>
      </c>
      <c r="AD13" s="342">
        <v>2208674</v>
      </c>
      <c r="AE13" s="342">
        <v>2208674</v>
      </c>
      <c r="AF13" s="323"/>
      <c r="AG13" s="322"/>
      <c r="AH13" s="322"/>
      <c r="AI13" s="323"/>
      <c r="AJ13" s="322"/>
      <c r="AK13" s="322"/>
      <c r="AL13" s="462">
        <f t="shared" si="0"/>
        <v>2208674</v>
      </c>
      <c r="AM13" s="462">
        <f t="shared" si="1"/>
        <v>2208674</v>
      </c>
      <c r="AN13" s="462">
        <f t="shared" si="2"/>
        <v>2208674</v>
      </c>
      <c r="AO13" s="332" t="s">
        <v>1465</v>
      </c>
      <c r="AQ13" s="328"/>
      <c r="AR13" s="328"/>
    </row>
    <row r="14" spans="1:46" s="326" customFormat="1" ht="117" customHeight="1" x14ac:dyDescent="0.2">
      <c r="A14" s="312">
        <v>9</v>
      </c>
      <c r="B14" s="314" t="s">
        <v>1198</v>
      </c>
      <c r="C14" s="312">
        <v>4</v>
      </c>
      <c r="D14" s="314" t="s">
        <v>1191</v>
      </c>
      <c r="E14" s="312">
        <v>45</v>
      </c>
      <c r="F14" s="314" t="s">
        <v>28</v>
      </c>
      <c r="G14" s="312">
        <v>4502</v>
      </c>
      <c r="H14" s="314" t="s">
        <v>1223</v>
      </c>
      <c r="I14" s="312">
        <v>4502</v>
      </c>
      <c r="J14" s="315" t="s">
        <v>1222</v>
      </c>
      <c r="K14" s="321" t="s">
        <v>48</v>
      </c>
      <c r="L14" s="312">
        <v>4502001</v>
      </c>
      <c r="M14" s="315" t="s">
        <v>58</v>
      </c>
      <c r="N14" s="388">
        <v>4502001</v>
      </c>
      <c r="O14" s="315" t="s">
        <v>58</v>
      </c>
      <c r="P14" s="312">
        <v>450200100</v>
      </c>
      <c r="Q14" s="316" t="s">
        <v>288</v>
      </c>
      <c r="R14" s="329">
        <v>450200100</v>
      </c>
      <c r="S14" s="316" t="s">
        <v>60</v>
      </c>
      <c r="T14" s="320">
        <v>2020003630071</v>
      </c>
      <c r="U14" s="321" t="s">
        <v>1385</v>
      </c>
      <c r="V14" s="321" t="s">
        <v>290</v>
      </c>
      <c r="W14" s="322"/>
      <c r="X14" s="322"/>
      <c r="Y14" s="322"/>
      <c r="Z14" s="322"/>
      <c r="AA14" s="322"/>
      <c r="AB14" s="322"/>
      <c r="AC14" s="343">
        <v>9252533.9000000004</v>
      </c>
      <c r="AD14" s="342">
        <v>9252533.9000000004</v>
      </c>
      <c r="AE14" s="342">
        <v>9252533.9000000004</v>
      </c>
      <c r="AF14" s="323"/>
      <c r="AG14" s="322"/>
      <c r="AH14" s="322"/>
      <c r="AI14" s="323"/>
      <c r="AJ14" s="322"/>
      <c r="AK14" s="322"/>
      <c r="AL14" s="462">
        <f t="shared" si="0"/>
        <v>9252533.9000000004</v>
      </c>
      <c r="AM14" s="462">
        <f t="shared" si="1"/>
        <v>9252533.9000000004</v>
      </c>
      <c r="AN14" s="462">
        <f t="shared" si="2"/>
        <v>9252533.9000000004</v>
      </c>
      <c r="AO14" s="315" t="s">
        <v>1466</v>
      </c>
      <c r="AQ14" s="328"/>
      <c r="AR14" s="328"/>
    </row>
    <row r="15" spans="1:46" s="326" customFormat="1" ht="117" customHeight="1" x14ac:dyDescent="0.2">
      <c r="A15" s="312">
        <v>9</v>
      </c>
      <c r="B15" s="313" t="s">
        <v>1190</v>
      </c>
      <c r="C15" s="312">
        <v>4</v>
      </c>
      <c r="D15" s="314" t="s">
        <v>1191</v>
      </c>
      <c r="E15" s="312">
        <v>45</v>
      </c>
      <c r="F15" s="314" t="s">
        <v>28</v>
      </c>
      <c r="G15" s="312">
        <v>4502</v>
      </c>
      <c r="H15" s="314" t="s">
        <v>1223</v>
      </c>
      <c r="I15" s="312">
        <v>4502</v>
      </c>
      <c r="J15" s="315" t="s">
        <v>1222</v>
      </c>
      <c r="K15" s="315" t="s">
        <v>48</v>
      </c>
      <c r="L15" s="312" t="s">
        <v>31</v>
      </c>
      <c r="M15" s="315" t="s">
        <v>49</v>
      </c>
      <c r="N15" s="312">
        <v>4502033</v>
      </c>
      <c r="O15" s="315" t="s">
        <v>50</v>
      </c>
      <c r="P15" s="312" t="s">
        <v>31</v>
      </c>
      <c r="Q15" s="316" t="s">
        <v>51</v>
      </c>
      <c r="R15" s="329">
        <v>450203300</v>
      </c>
      <c r="S15" s="316" t="s">
        <v>52</v>
      </c>
      <c r="T15" s="320">
        <v>2020003630005</v>
      </c>
      <c r="U15" s="315" t="s">
        <v>53</v>
      </c>
      <c r="V15" s="321" t="s">
        <v>54</v>
      </c>
      <c r="W15" s="322"/>
      <c r="X15" s="322"/>
      <c r="Y15" s="322"/>
      <c r="Z15" s="322"/>
      <c r="AA15" s="322"/>
      <c r="AB15" s="322"/>
      <c r="AC15" s="375">
        <v>937040</v>
      </c>
      <c r="AD15" s="346">
        <v>937040</v>
      </c>
      <c r="AE15" s="346">
        <v>937040</v>
      </c>
      <c r="AF15" s="323"/>
      <c r="AG15" s="322"/>
      <c r="AH15" s="322"/>
      <c r="AI15" s="323"/>
      <c r="AJ15" s="322"/>
      <c r="AK15" s="322"/>
      <c r="AL15" s="462">
        <f t="shared" si="0"/>
        <v>937040</v>
      </c>
      <c r="AM15" s="462">
        <f t="shared" si="1"/>
        <v>937040</v>
      </c>
      <c r="AN15" s="462">
        <f t="shared" si="2"/>
        <v>937040</v>
      </c>
      <c r="AO15" s="325" t="s">
        <v>1530</v>
      </c>
      <c r="AQ15" s="328"/>
      <c r="AR15" s="328"/>
    </row>
    <row r="16" spans="1:46" s="326" customFormat="1" ht="117" customHeight="1" x14ac:dyDescent="0.2">
      <c r="A16" s="312">
        <v>9</v>
      </c>
      <c r="B16" s="313" t="s">
        <v>1190</v>
      </c>
      <c r="C16" s="312">
        <v>4</v>
      </c>
      <c r="D16" s="314" t="s">
        <v>1191</v>
      </c>
      <c r="E16" s="312">
        <v>45</v>
      </c>
      <c r="F16" s="314" t="s">
        <v>28</v>
      </c>
      <c r="G16" s="312" t="s">
        <v>31</v>
      </c>
      <c r="H16" s="314" t="s">
        <v>1226</v>
      </c>
      <c r="I16" s="312">
        <v>4599</v>
      </c>
      <c r="J16" s="315" t="s">
        <v>1227</v>
      </c>
      <c r="K16" s="315" t="s">
        <v>30</v>
      </c>
      <c r="L16" s="312" t="s">
        <v>31</v>
      </c>
      <c r="M16" s="315" t="s">
        <v>38</v>
      </c>
      <c r="N16" s="312">
        <v>4599002</v>
      </c>
      <c r="O16" s="315" t="s">
        <v>39</v>
      </c>
      <c r="P16" s="312" t="s">
        <v>31</v>
      </c>
      <c r="Q16" s="316" t="s">
        <v>40</v>
      </c>
      <c r="R16" s="312">
        <v>459900200</v>
      </c>
      <c r="S16" s="316" t="s">
        <v>1124</v>
      </c>
      <c r="T16" s="320">
        <v>2020003630007</v>
      </c>
      <c r="U16" s="315" t="s">
        <v>41</v>
      </c>
      <c r="V16" s="321" t="s">
        <v>42</v>
      </c>
      <c r="W16" s="322"/>
      <c r="X16" s="322"/>
      <c r="Y16" s="322"/>
      <c r="Z16" s="322"/>
      <c r="AA16" s="322"/>
      <c r="AB16" s="322"/>
      <c r="AC16" s="392">
        <v>6670516.9500000002</v>
      </c>
      <c r="AD16" s="365">
        <v>6670516.9500000002</v>
      </c>
      <c r="AE16" s="365">
        <v>6670516.9500000002</v>
      </c>
      <c r="AF16" s="323"/>
      <c r="AG16" s="322"/>
      <c r="AH16" s="322"/>
      <c r="AI16" s="323"/>
      <c r="AJ16" s="322"/>
      <c r="AK16" s="322"/>
      <c r="AL16" s="462">
        <f t="shared" si="0"/>
        <v>6670516.9500000002</v>
      </c>
      <c r="AM16" s="462">
        <f t="shared" si="1"/>
        <v>6670516.9500000002</v>
      </c>
      <c r="AN16" s="462">
        <f t="shared" si="2"/>
        <v>6670516.9500000002</v>
      </c>
      <c r="AO16" s="325" t="s">
        <v>1530</v>
      </c>
      <c r="AQ16" s="328"/>
      <c r="AR16" s="328"/>
    </row>
    <row r="17" spans="1:52" s="326" customFormat="1" ht="117" customHeight="1" x14ac:dyDescent="0.2">
      <c r="A17" s="312">
        <v>9</v>
      </c>
      <c r="B17" s="313" t="s">
        <v>1190</v>
      </c>
      <c r="C17" s="312">
        <v>4</v>
      </c>
      <c r="D17" s="314" t="s">
        <v>1191</v>
      </c>
      <c r="E17" s="312">
        <v>45</v>
      </c>
      <c r="F17" s="314" t="s">
        <v>28</v>
      </c>
      <c r="G17" s="312" t="s">
        <v>31</v>
      </c>
      <c r="H17" s="314" t="s">
        <v>1226</v>
      </c>
      <c r="I17" s="312">
        <v>4599</v>
      </c>
      <c r="J17" s="315" t="s">
        <v>1227</v>
      </c>
      <c r="K17" s="315" t="s">
        <v>30</v>
      </c>
      <c r="L17" s="312" t="s">
        <v>31</v>
      </c>
      <c r="M17" s="315" t="s">
        <v>32</v>
      </c>
      <c r="N17" s="312">
        <v>4599023</v>
      </c>
      <c r="O17" s="315" t="s">
        <v>33</v>
      </c>
      <c r="P17" s="312" t="s">
        <v>31</v>
      </c>
      <c r="Q17" s="316" t="s">
        <v>34</v>
      </c>
      <c r="R17" s="312">
        <v>459902300</v>
      </c>
      <c r="S17" s="316" t="s">
        <v>35</v>
      </c>
      <c r="T17" s="320">
        <v>2020003630006</v>
      </c>
      <c r="U17" s="315" t="s">
        <v>36</v>
      </c>
      <c r="V17" s="321" t="s">
        <v>37</v>
      </c>
      <c r="W17" s="322"/>
      <c r="X17" s="322"/>
      <c r="Y17" s="322"/>
      <c r="Z17" s="322"/>
      <c r="AA17" s="322"/>
      <c r="AB17" s="322"/>
      <c r="AC17" s="330">
        <v>4088500</v>
      </c>
      <c r="AD17" s="331">
        <v>4088500</v>
      </c>
      <c r="AE17" s="331">
        <v>4088500</v>
      </c>
      <c r="AF17" s="323"/>
      <c r="AG17" s="322"/>
      <c r="AH17" s="322"/>
      <c r="AI17" s="323"/>
      <c r="AJ17" s="322"/>
      <c r="AK17" s="322"/>
      <c r="AL17" s="462">
        <f t="shared" si="0"/>
        <v>4088500</v>
      </c>
      <c r="AM17" s="462">
        <f t="shared" si="1"/>
        <v>4088500</v>
      </c>
      <c r="AN17" s="462">
        <f t="shared" si="2"/>
        <v>4088500</v>
      </c>
      <c r="AO17" s="325" t="s">
        <v>1530</v>
      </c>
      <c r="AQ17" s="328"/>
      <c r="AR17" s="328"/>
    </row>
    <row r="18" spans="1:52" s="326" customFormat="1" ht="117" customHeight="1" x14ac:dyDescent="0.2">
      <c r="A18" s="312">
        <v>9</v>
      </c>
      <c r="B18" s="314" t="s">
        <v>1199</v>
      </c>
      <c r="C18" s="312">
        <v>1</v>
      </c>
      <c r="D18" s="314" t="s">
        <v>1195</v>
      </c>
      <c r="E18" s="312">
        <v>33</v>
      </c>
      <c r="F18" s="314" t="s">
        <v>1393</v>
      </c>
      <c r="G18" s="312">
        <v>3301</v>
      </c>
      <c r="H18" s="314" t="s">
        <v>133</v>
      </c>
      <c r="I18" s="312">
        <v>3301</v>
      </c>
      <c r="J18" s="315" t="s">
        <v>1250</v>
      </c>
      <c r="K18" s="321" t="s">
        <v>1157</v>
      </c>
      <c r="L18" s="312">
        <v>3301085</v>
      </c>
      <c r="M18" s="315" t="s">
        <v>311</v>
      </c>
      <c r="N18" s="312">
        <v>3301085</v>
      </c>
      <c r="O18" s="315" t="s">
        <v>311</v>
      </c>
      <c r="P18" s="312" t="s">
        <v>312</v>
      </c>
      <c r="Q18" s="316" t="s">
        <v>313</v>
      </c>
      <c r="R18" s="312">
        <v>330108500</v>
      </c>
      <c r="S18" s="316" t="s">
        <v>313</v>
      </c>
      <c r="T18" s="320">
        <v>2020003630020</v>
      </c>
      <c r="U18" s="321" t="s">
        <v>314</v>
      </c>
      <c r="V18" s="321" t="s">
        <v>315</v>
      </c>
      <c r="W18" s="371">
        <v>11355716.949999999</v>
      </c>
      <c r="X18" s="371">
        <v>11355716.949999999</v>
      </c>
      <c r="Y18" s="371">
        <v>11355716.949999999</v>
      </c>
      <c r="Z18" s="322"/>
      <c r="AA18" s="322"/>
      <c r="AB18" s="322"/>
      <c r="AC18" s="343"/>
      <c r="AD18" s="342"/>
      <c r="AE18" s="342"/>
      <c r="AF18" s="323"/>
      <c r="AG18" s="322"/>
      <c r="AH18" s="322"/>
      <c r="AI18" s="323"/>
      <c r="AJ18" s="322"/>
      <c r="AK18" s="322"/>
      <c r="AL18" s="462">
        <f t="shared" si="0"/>
        <v>11355716.949999999</v>
      </c>
      <c r="AM18" s="462">
        <f t="shared" si="1"/>
        <v>11355716.949999999</v>
      </c>
      <c r="AN18" s="462">
        <f t="shared" si="2"/>
        <v>11355716.949999999</v>
      </c>
      <c r="AO18" s="315" t="s">
        <v>1463</v>
      </c>
      <c r="AQ18" s="328"/>
      <c r="AR18" s="328"/>
    </row>
    <row r="19" spans="1:52" s="326" customFormat="1" ht="117" customHeight="1" x14ac:dyDescent="0.2">
      <c r="A19" s="312">
        <v>9</v>
      </c>
      <c r="B19" s="314" t="s">
        <v>1198</v>
      </c>
      <c r="C19" s="312">
        <v>3</v>
      </c>
      <c r="D19" s="314" t="s">
        <v>1197</v>
      </c>
      <c r="E19" s="312">
        <v>45</v>
      </c>
      <c r="F19" s="314" t="s">
        <v>28</v>
      </c>
      <c r="G19" s="312">
        <v>4503</v>
      </c>
      <c r="H19" s="314" t="s">
        <v>1224</v>
      </c>
      <c r="I19" s="312">
        <v>4503</v>
      </c>
      <c r="J19" s="315" t="s">
        <v>1225</v>
      </c>
      <c r="K19" s="321" t="s">
        <v>277</v>
      </c>
      <c r="L19" s="312">
        <v>4503003</v>
      </c>
      <c r="M19" s="315" t="s">
        <v>84</v>
      </c>
      <c r="N19" s="312">
        <v>4503003</v>
      </c>
      <c r="O19" s="315" t="s">
        <v>84</v>
      </c>
      <c r="P19" s="312">
        <v>450300300</v>
      </c>
      <c r="Q19" s="316" t="s">
        <v>278</v>
      </c>
      <c r="R19" s="312">
        <v>450300300</v>
      </c>
      <c r="S19" s="316" t="s">
        <v>278</v>
      </c>
      <c r="T19" s="320">
        <v>2020003630070</v>
      </c>
      <c r="U19" s="321" t="s">
        <v>275</v>
      </c>
      <c r="V19" s="321" t="s">
        <v>276</v>
      </c>
      <c r="W19" s="322"/>
      <c r="X19" s="322"/>
      <c r="Y19" s="322"/>
      <c r="Z19" s="322"/>
      <c r="AA19" s="322"/>
      <c r="AB19" s="322"/>
      <c r="AC19" s="343">
        <v>2811120</v>
      </c>
      <c r="AD19" s="342">
        <v>2811120</v>
      </c>
      <c r="AE19" s="342">
        <v>2811120</v>
      </c>
      <c r="AF19" s="323"/>
      <c r="AG19" s="322"/>
      <c r="AH19" s="322"/>
      <c r="AI19" s="323"/>
      <c r="AJ19" s="322"/>
      <c r="AK19" s="322"/>
      <c r="AL19" s="462">
        <f t="shared" si="0"/>
        <v>2811120</v>
      </c>
      <c r="AM19" s="462">
        <f t="shared" si="1"/>
        <v>2811120</v>
      </c>
      <c r="AN19" s="462">
        <f t="shared" si="2"/>
        <v>2811120</v>
      </c>
      <c r="AO19" s="315" t="s">
        <v>1531</v>
      </c>
      <c r="AQ19" s="328"/>
      <c r="AR19" s="328"/>
    </row>
    <row r="20" spans="1:52" s="326" customFormat="1" ht="117" customHeight="1" x14ac:dyDescent="0.2">
      <c r="A20" s="312">
        <v>9</v>
      </c>
      <c r="B20" s="347" t="s">
        <v>1194</v>
      </c>
      <c r="C20" s="348">
        <v>1</v>
      </c>
      <c r="D20" s="349" t="s">
        <v>1195</v>
      </c>
      <c r="E20" s="348">
        <v>19</v>
      </c>
      <c r="F20" s="350" t="s">
        <v>122</v>
      </c>
      <c r="G20" s="312">
        <v>1906</v>
      </c>
      <c r="H20" s="314" t="s">
        <v>1215</v>
      </c>
      <c r="I20" s="312">
        <v>1906</v>
      </c>
      <c r="J20" s="315" t="s">
        <v>1216</v>
      </c>
      <c r="K20" s="351" t="s">
        <v>1387</v>
      </c>
      <c r="L20" s="352" t="s">
        <v>31</v>
      </c>
      <c r="M20" s="353" t="s">
        <v>1388</v>
      </c>
      <c r="N20" s="352">
        <v>1906015</v>
      </c>
      <c r="O20" s="353" t="s">
        <v>1389</v>
      </c>
      <c r="P20" s="352" t="s">
        <v>31</v>
      </c>
      <c r="Q20" s="354" t="s">
        <v>1390</v>
      </c>
      <c r="R20" s="355">
        <v>190601500</v>
      </c>
      <c r="S20" s="354" t="s">
        <v>1389</v>
      </c>
      <c r="T20" s="358">
        <v>2020003630018</v>
      </c>
      <c r="U20" s="315" t="s">
        <v>1391</v>
      </c>
      <c r="V20" s="359" t="s">
        <v>1392</v>
      </c>
      <c r="W20" s="346"/>
      <c r="X20" s="346"/>
      <c r="Y20" s="346"/>
      <c r="Z20" s="322"/>
      <c r="AA20" s="322"/>
      <c r="AB20" s="322"/>
      <c r="AC20" s="343">
        <v>46053719</v>
      </c>
      <c r="AD20" s="342">
        <v>44967860.68</v>
      </c>
      <c r="AE20" s="342">
        <v>44967860.68</v>
      </c>
      <c r="AF20" s="323"/>
      <c r="AG20" s="322"/>
      <c r="AH20" s="322"/>
      <c r="AI20" s="335"/>
      <c r="AJ20" s="334"/>
      <c r="AK20" s="334"/>
      <c r="AL20" s="462">
        <f t="shared" si="0"/>
        <v>46053719</v>
      </c>
      <c r="AM20" s="462">
        <f t="shared" si="1"/>
        <v>44967860.68</v>
      </c>
      <c r="AN20" s="462">
        <f t="shared" si="2"/>
        <v>44967860.68</v>
      </c>
      <c r="AO20" s="315" t="s">
        <v>1528</v>
      </c>
      <c r="AQ20" s="328"/>
      <c r="AR20" s="328"/>
    </row>
    <row r="21" spans="1:52" s="326" customFormat="1" ht="117" customHeight="1" x14ac:dyDescent="0.2">
      <c r="A21" s="312">
        <v>9</v>
      </c>
      <c r="B21" s="314" t="s">
        <v>1293</v>
      </c>
      <c r="C21" s="312">
        <v>1</v>
      </c>
      <c r="D21" s="314" t="s">
        <v>1200</v>
      </c>
      <c r="E21" s="312">
        <v>23</v>
      </c>
      <c r="F21" s="314" t="s">
        <v>985</v>
      </c>
      <c r="G21" s="312">
        <v>2301</v>
      </c>
      <c r="H21" s="314" t="s">
        <v>1364</v>
      </c>
      <c r="I21" s="312">
        <v>2301</v>
      </c>
      <c r="J21" s="315" t="s">
        <v>1221</v>
      </c>
      <c r="K21" s="321" t="s">
        <v>999</v>
      </c>
      <c r="L21" s="312">
        <v>2301042</v>
      </c>
      <c r="M21" s="315" t="s">
        <v>1007</v>
      </c>
      <c r="N21" s="312">
        <v>2301042</v>
      </c>
      <c r="O21" s="315" t="s">
        <v>1007</v>
      </c>
      <c r="P21" s="329">
        <v>230104201</v>
      </c>
      <c r="Q21" s="316" t="s">
        <v>1008</v>
      </c>
      <c r="R21" s="329">
        <v>230104201</v>
      </c>
      <c r="S21" s="316" t="s">
        <v>1008</v>
      </c>
      <c r="T21" s="358">
        <v>2020003630139</v>
      </c>
      <c r="U21" s="412" t="s">
        <v>1287</v>
      </c>
      <c r="V21" s="321" t="s">
        <v>1002</v>
      </c>
      <c r="W21" s="322"/>
      <c r="X21" s="322"/>
      <c r="Y21" s="322"/>
      <c r="Z21" s="365"/>
      <c r="AA21" s="365"/>
      <c r="AB21" s="365"/>
      <c r="AC21" s="392">
        <v>8948569</v>
      </c>
      <c r="AD21" s="365">
        <v>8948569</v>
      </c>
      <c r="AE21" s="365">
        <v>8948569</v>
      </c>
      <c r="AF21" s="386"/>
      <c r="AG21" s="365"/>
      <c r="AH21" s="365"/>
      <c r="AI21" s="386"/>
      <c r="AJ21" s="365"/>
      <c r="AK21" s="365"/>
      <c r="AL21" s="462">
        <f t="shared" si="0"/>
        <v>8948569</v>
      </c>
      <c r="AM21" s="462">
        <f t="shared" si="1"/>
        <v>8948569</v>
      </c>
      <c r="AN21" s="462">
        <f t="shared" si="2"/>
        <v>8948569</v>
      </c>
      <c r="AO21" s="332" t="s">
        <v>1470</v>
      </c>
      <c r="AP21" s="328"/>
      <c r="AQ21" s="328"/>
      <c r="AR21" s="328"/>
    </row>
    <row r="22" spans="1:52" s="326" customFormat="1" ht="117" customHeight="1" x14ac:dyDescent="0.2">
      <c r="A22" s="312">
        <v>9</v>
      </c>
      <c r="B22" s="314" t="s">
        <v>1208</v>
      </c>
      <c r="C22" s="312">
        <v>1</v>
      </c>
      <c r="D22" s="314" t="s">
        <v>1200</v>
      </c>
      <c r="E22" s="312">
        <v>19</v>
      </c>
      <c r="F22" s="314" t="s">
        <v>122</v>
      </c>
      <c r="G22" s="312">
        <v>1906</v>
      </c>
      <c r="H22" s="314" t="s">
        <v>1215</v>
      </c>
      <c r="I22" s="312">
        <v>1906</v>
      </c>
      <c r="J22" s="315" t="s">
        <v>1216</v>
      </c>
      <c r="K22" s="384" t="s">
        <v>844</v>
      </c>
      <c r="L22" s="312" t="s">
        <v>31</v>
      </c>
      <c r="M22" s="315" t="s">
        <v>963</v>
      </c>
      <c r="N22" s="312">
        <v>1906023</v>
      </c>
      <c r="O22" s="315" t="s">
        <v>960</v>
      </c>
      <c r="P22" s="312" t="s">
        <v>31</v>
      </c>
      <c r="Q22" s="316" t="s">
        <v>964</v>
      </c>
      <c r="R22" s="329">
        <v>190602301</v>
      </c>
      <c r="S22" s="316" t="s">
        <v>965</v>
      </c>
      <c r="T22" s="358">
        <v>2020003630137</v>
      </c>
      <c r="U22" s="315" t="s">
        <v>1172</v>
      </c>
      <c r="V22" s="321" t="s">
        <v>966</v>
      </c>
      <c r="W22" s="322"/>
      <c r="X22" s="322"/>
      <c r="Y22" s="322"/>
      <c r="Z22" s="322"/>
      <c r="AA22" s="322"/>
      <c r="AB22" s="322"/>
      <c r="AC22" s="343"/>
      <c r="AD22" s="342"/>
      <c r="AE22" s="342"/>
      <c r="AF22" s="323"/>
      <c r="AG22" s="322"/>
      <c r="AH22" s="322"/>
      <c r="AI22" s="386">
        <v>131444376</v>
      </c>
      <c r="AJ22" s="322">
        <v>131444376</v>
      </c>
      <c r="AK22" s="322">
        <v>131444376</v>
      </c>
      <c r="AL22" s="462">
        <f t="shared" si="0"/>
        <v>131444376</v>
      </c>
      <c r="AM22" s="462">
        <f t="shared" si="1"/>
        <v>131444376</v>
      </c>
      <c r="AN22" s="462">
        <f t="shared" si="2"/>
        <v>131444376</v>
      </c>
      <c r="AO22" s="332" t="s">
        <v>1532</v>
      </c>
      <c r="AQ22" s="328"/>
      <c r="AR22" s="328"/>
      <c r="AX22" s="326">
        <v>131444376</v>
      </c>
      <c r="AY22" s="326">
        <v>131444376</v>
      </c>
      <c r="AZ22" s="326">
        <v>131444376</v>
      </c>
    </row>
    <row r="23" spans="1:52" s="326" customFormat="1" ht="117" customHeight="1" x14ac:dyDescent="0.2">
      <c r="A23" s="312">
        <v>9</v>
      </c>
      <c r="B23" s="314" t="s">
        <v>1198</v>
      </c>
      <c r="C23" s="312">
        <v>3</v>
      </c>
      <c r="D23" s="314" t="s">
        <v>1197</v>
      </c>
      <c r="E23" s="312">
        <v>32</v>
      </c>
      <c r="F23" s="314" t="s">
        <v>170</v>
      </c>
      <c r="G23" s="312">
        <v>3205</v>
      </c>
      <c r="H23" s="314" t="s">
        <v>171</v>
      </c>
      <c r="I23" s="312">
        <v>3205</v>
      </c>
      <c r="J23" s="315" t="s">
        <v>1248</v>
      </c>
      <c r="K23" s="321" t="s">
        <v>267</v>
      </c>
      <c r="L23" s="312">
        <v>3205002</v>
      </c>
      <c r="M23" s="315" t="s">
        <v>268</v>
      </c>
      <c r="N23" s="312">
        <v>3205002</v>
      </c>
      <c r="O23" s="315" t="s">
        <v>268</v>
      </c>
      <c r="P23" s="312">
        <v>320500200</v>
      </c>
      <c r="Q23" s="316" t="s">
        <v>269</v>
      </c>
      <c r="R23" s="312">
        <v>320500200</v>
      </c>
      <c r="S23" s="316" t="s">
        <v>269</v>
      </c>
      <c r="T23" s="320">
        <v>2020003630069</v>
      </c>
      <c r="U23" s="316" t="s">
        <v>270</v>
      </c>
      <c r="V23" s="321" t="s">
        <v>271</v>
      </c>
      <c r="W23" s="322"/>
      <c r="X23" s="322"/>
      <c r="Y23" s="322"/>
      <c r="Z23" s="322"/>
      <c r="AA23" s="322"/>
      <c r="AB23" s="322"/>
      <c r="AC23" s="466">
        <v>4967436</v>
      </c>
      <c r="AD23" s="467">
        <v>4967436</v>
      </c>
      <c r="AE23" s="467">
        <v>4967436</v>
      </c>
      <c r="AF23" s="323"/>
      <c r="AG23" s="322"/>
      <c r="AH23" s="322"/>
      <c r="AI23" s="323"/>
      <c r="AJ23" s="322"/>
      <c r="AK23" s="322"/>
      <c r="AL23" s="462">
        <f t="shared" si="0"/>
        <v>4967436</v>
      </c>
      <c r="AM23" s="462">
        <f t="shared" si="1"/>
        <v>4967436</v>
      </c>
      <c r="AN23" s="462">
        <f t="shared" si="2"/>
        <v>4967436</v>
      </c>
      <c r="AO23" s="315" t="s">
        <v>1466</v>
      </c>
      <c r="AQ23" s="328"/>
      <c r="AR23" s="328"/>
    </row>
    <row r="24" spans="1:52" s="328" customFormat="1" ht="27.75" customHeight="1" x14ac:dyDescent="0.25">
      <c r="A24" s="437" t="s">
        <v>1502</v>
      </c>
      <c r="B24" s="438"/>
      <c r="C24" s="439"/>
      <c r="D24" s="474"/>
      <c r="E24" s="475"/>
      <c r="F24" s="474"/>
      <c r="G24" s="474"/>
      <c r="H24" s="474"/>
      <c r="I24" s="474"/>
      <c r="J24" s="474"/>
      <c r="K24" s="474"/>
      <c r="L24" s="475"/>
      <c r="M24" s="474"/>
      <c r="N24" s="476"/>
      <c r="O24" s="474"/>
      <c r="P24" s="474"/>
      <c r="Q24" s="474"/>
      <c r="R24" s="475"/>
      <c r="S24" s="474"/>
      <c r="T24" s="477"/>
      <c r="U24" s="474"/>
      <c r="V24" s="478"/>
      <c r="W24" s="445">
        <f>SUBTOTAL(9,W8:W9)</f>
        <v>30983766</v>
      </c>
      <c r="X24" s="445">
        <f t="shared" ref="X24:AN24" si="3">SUBTOTAL(9,X8:X9)</f>
        <v>30983766</v>
      </c>
      <c r="Y24" s="445">
        <f t="shared" si="3"/>
        <v>30983766</v>
      </c>
      <c r="Z24" s="445">
        <f t="shared" si="3"/>
        <v>619500</v>
      </c>
      <c r="AA24" s="445">
        <f t="shared" si="3"/>
        <v>619500</v>
      </c>
      <c r="AB24" s="445">
        <f t="shared" si="3"/>
        <v>619500</v>
      </c>
      <c r="AC24" s="445">
        <f t="shared" si="3"/>
        <v>0</v>
      </c>
      <c r="AD24" s="445">
        <f t="shared" si="3"/>
        <v>0</v>
      </c>
      <c r="AE24" s="445">
        <f t="shared" si="3"/>
        <v>0</v>
      </c>
      <c r="AF24" s="445">
        <f t="shared" si="3"/>
        <v>0</v>
      </c>
      <c r="AG24" s="445">
        <f t="shared" si="3"/>
        <v>0</v>
      </c>
      <c r="AH24" s="445">
        <f t="shared" si="3"/>
        <v>0</v>
      </c>
      <c r="AI24" s="445">
        <f t="shared" si="3"/>
        <v>0</v>
      </c>
      <c r="AJ24" s="445">
        <f t="shared" si="3"/>
        <v>0</v>
      </c>
      <c r="AK24" s="445">
        <f t="shared" si="3"/>
        <v>0</v>
      </c>
      <c r="AL24" s="445">
        <f t="shared" si="3"/>
        <v>31603266</v>
      </c>
      <c r="AM24" s="445">
        <f t="shared" si="3"/>
        <v>31603266</v>
      </c>
      <c r="AN24" s="445">
        <f t="shared" si="3"/>
        <v>31603266</v>
      </c>
      <c r="AO24" s="445"/>
    </row>
    <row r="25" spans="1:52" s="327" customFormat="1" ht="27.75" customHeight="1" x14ac:dyDescent="0.25">
      <c r="A25" s="479" t="s">
        <v>1504</v>
      </c>
      <c r="B25" s="480"/>
      <c r="C25" s="481"/>
      <c r="D25" s="481"/>
      <c r="E25" s="447"/>
      <c r="F25" s="447"/>
      <c r="G25" s="447"/>
      <c r="H25" s="447"/>
      <c r="I25" s="447"/>
      <c r="J25" s="447"/>
      <c r="K25" s="447"/>
      <c r="L25" s="447"/>
      <c r="M25" s="447"/>
      <c r="N25" s="447"/>
      <c r="O25" s="447"/>
      <c r="P25" s="447"/>
      <c r="Q25" s="447"/>
      <c r="R25" s="447"/>
      <c r="S25" s="447"/>
      <c r="T25" s="448"/>
      <c r="U25" s="447"/>
      <c r="V25" s="449"/>
      <c r="W25" s="449">
        <f>SUBTOTAL(9,W10:W23)</f>
        <v>136872565.68000001</v>
      </c>
      <c r="X25" s="482">
        <f t="shared" ref="X25:AN25" si="4">SUBTOTAL(9,X10:X23)</f>
        <v>124316265.44</v>
      </c>
      <c r="Y25" s="482">
        <f t="shared" si="4"/>
        <v>124316265.44</v>
      </c>
      <c r="Z25" s="482">
        <f t="shared" si="4"/>
        <v>0</v>
      </c>
      <c r="AA25" s="482">
        <f t="shared" si="4"/>
        <v>0</v>
      </c>
      <c r="AB25" s="482">
        <f t="shared" si="4"/>
        <v>0</v>
      </c>
      <c r="AC25" s="482">
        <f t="shared" si="4"/>
        <v>135123135.30000001</v>
      </c>
      <c r="AD25" s="482">
        <f t="shared" si="4"/>
        <v>134037276.97999999</v>
      </c>
      <c r="AE25" s="482">
        <f t="shared" si="4"/>
        <v>134037276.97999999</v>
      </c>
      <c r="AF25" s="482">
        <f t="shared" si="4"/>
        <v>9721053.9000000004</v>
      </c>
      <c r="AG25" s="482">
        <f t="shared" si="4"/>
        <v>8826898.9000000004</v>
      </c>
      <c r="AH25" s="482">
        <f t="shared" si="4"/>
        <v>8826898.9000000004</v>
      </c>
      <c r="AI25" s="482">
        <f t="shared" si="4"/>
        <v>131444376</v>
      </c>
      <c r="AJ25" s="482">
        <f t="shared" si="4"/>
        <v>131444376</v>
      </c>
      <c r="AK25" s="482">
        <f t="shared" si="4"/>
        <v>131444376</v>
      </c>
      <c r="AL25" s="482">
        <f t="shared" si="4"/>
        <v>413161130.88</v>
      </c>
      <c r="AM25" s="482">
        <f t="shared" si="4"/>
        <v>398624817.31999999</v>
      </c>
      <c r="AN25" s="482">
        <f t="shared" si="4"/>
        <v>398624817.31999999</v>
      </c>
      <c r="AO25" s="278"/>
      <c r="AR25" s="328"/>
    </row>
    <row r="26" spans="1:52" s="461" customFormat="1" ht="27.75" customHeight="1" x14ac:dyDescent="0.2">
      <c r="A26" s="451" t="s">
        <v>1503</v>
      </c>
      <c r="B26" s="452"/>
      <c r="C26" s="453"/>
      <c r="D26" s="483"/>
      <c r="E26" s="484"/>
      <c r="F26" s="483"/>
      <c r="G26" s="484"/>
      <c r="H26" s="483"/>
      <c r="I26" s="483"/>
      <c r="J26" s="483"/>
      <c r="K26" s="483"/>
      <c r="L26" s="484"/>
      <c r="M26" s="483"/>
      <c r="N26" s="485"/>
      <c r="O26" s="483"/>
      <c r="P26" s="483"/>
      <c r="Q26" s="483"/>
      <c r="R26" s="484"/>
      <c r="S26" s="483"/>
      <c r="T26" s="486"/>
      <c r="U26" s="487"/>
      <c r="V26" s="488"/>
      <c r="W26" s="459">
        <f>W25+W24</f>
        <v>167856331.68000001</v>
      </c>
      <c r="X26" s="459">
        <f t="shared" ref="X26:AN26" si="5">X25+X24</f>
        <v>155300031.44</v>
      </c>
      <c r="Y26" s="459">
        <f t="shared" si="5"/>
        <v>155300031.44</v>
      </c>
      <c r="Z26" s="459">
        <f t="shared" si="5"/>
        <v>619500</v>
      </c>
      <c r="AA26" s="459">
        <f t="shared" si="5"/>
        <v>619500</v>
      </c>
      <c r="AB26" s="459">
        <f t="shared" si="5"/>
        <v>619500</v>
      </c>
      <c r="AC26" s="459">
        <f t="shared" si="5"/>
        <v>135123135.30000001</v>
      </c>
      <c r="AD26" s="459">
        <f t="shared" si="5"/>
        <v>134037276.97999999</v>
      </c>
      <c r="AE26" s="459">
        <f t="shared" si="5"/>
        <v>134037276.97999999</v>
      </c>
      <c r="AF26" s="459">
        <f t="shared" si="5"/>
        <v>9721053.9000000004</v>
      </c>
      <c r="AG26" s="459">
        <f t="shared" si="5"/>
        <v>8826898.9000000004</v>
      </c>
      <c r="AH26" s="459">
        <f t="shared" si="5"/>
        <v>8826898.9000000004</v>
      </c>
      <c r="AI26" s="459">
        <f t="shared" si="5"/>
        <v>131444376</v>
      </c>
      <c r="AJ26" s="459">
        <f t="shared" si="5"/>
        <v>131444376</v>
      </c>
      <c r="AK26" s="459">
        <f t="shared" si="5"/>
        <v>131444376</v>
      </c>
      <c r="AL26" s="459">
        <f t="shared" si="5"/>
        <v>444764396.88</v>
      </c>
      <c r="AM26" s="459">
        <f t="shared" si="5"/>
        <v>430228083.31999999</v>
      </c>
      <c r="AN26" s="459">
        <f t="shared" si="5"/>
        <v>430228083.31999999</v>
      </c>
      <c r="AO26" s="459"/>
      <c r="AQ26" s="327"/>
      <c r="AR26" s="328"/>
    </row>
    <row r="48" spans="30:30" x14ac:dyDescent="0.2">
      <c r="AD48" s="12">
        <v>91122</v>
      </c>
    </row>
  </sheetData>
  <mergeCells count="38">
    <mergeCell ref="C1:AM1"/>
    <mergeCell ref="C2:AM2"/>
    <mergeCell ref="C3:AM3"/>
    <mergeCell ref="A5:B5"/>
    <mergeCell ref="C5:D5"/>
    <mergeCell ref="E5:F5"/>
    <mergeCell ref="G5:K5"/>
    <mergeCell ref="L5:O5"/>
    <mergeCell ref="P5:S5"/>
    <mergeCell ref="M6:M7"/>
    <mergeCell ref="T5:V5"/>
    <mergeCell ref="W5:AN5"/>
    <mergeCell ref="AO5:AO7"/>
    <mergeCell ref="A6:A7"/>
    <mergeCell ref="B6:B7"/>
    <mergeCell ref="C6:C7"/>
    <mergeCell ref="D6:D7"/>
    <mergeCell ref="E6:E7"/>
    <mergeCell ref="F6:F7"/>
    <mergeCell ref="G6:G7"/>
    <mergeCell ref="H6:H7"/>
    <mergeCell ref="I6:I7"/>
    <mergeCell ref="J6:J7"/>
    <mergeCell ref="K6:K7"/>
    <mergeCell ref="L6:L7"/>
    <mergeCell ref="W6:Y6"/>
    <mergeCell ref="N6:N7"/>
    <mergeCell ref="O6:O7"/>
    <mergeCell ref="Q6:Q7"/>
    <mergeCell ref="R6:R7"/>
    <mergeCell ref="T6:T7"/>
    <mergeCell ref="U6:U7"/>
    <mergeCell ref="V6:V7"/>
    <mergeCell ref="AF6:AH6"/>
    <mergeCell ref="AI6:AK6"/>
    <mergeCell ref="AL6:AN6"/>
    <mergeCell ref="Z6:AB6"/>
    <mergeCell ref="AC6:AE6"/>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SGTO POAI 2022</vt:lpstr>
      <vt:lpstr>RESUMEN PROGRAMAS</vt:lpstr>
      <vt:lpstr>FUENTES POR UNIDAD</vt:lpstr>
      <vt:lpstr>LÍNEA ESTRATEGICA</vt:lpstr>
      <vt:lpstr>CONSOLIDADO UNIDADES</vt:lpstr>
      <vt:lpstr>RELACIÓN PROYECTOS</vt:lpstr>
      <vt:lpstr>PASIVOS EXIGIBLES + RESERVAS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Lucia</dc:creator>
  <cp:lastModifiedBy>AUXPLANEACION03</cp:lastModifiedBy>
  <cp:revision/>
  <dcterms:created xsi:type="dcterms:W3CDTF">2020-08-12T15:20:51Z</dcterms:created>
  <dcterms:modified xsi:type="dcterms:W3CDTF">2023-01-31T20:40:32Z</dcterms:modified>
</cp:coreProperties>
</file>