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uario\Desktop\PUBLICAR\"/>
    </mc:Choice>
  </mc:AlternateContent>
  <bookViews>
    <workbookView xWindow="0" yWindow="0" windowWidth="10725" windowHeight="4650"/>
  </bookViews>
  <sheets>
    <sheet name="POAI" sheetId="1" r:id="rId1"/>
    <sheet name="RESUMEN POR UNIDAD" sheetId="5" r:id="rId2"/>
    <sheet name="UNIDADES + FUENTE" sheetId="6" r:id="rId3"/>
    <sheet name="PROGRAMAS" sheetId="9" r:id="rId4"/>
    <sheet name="EJE ESTRATEGICO" sheetId="8" r:id="rId5"/>
    <sheet name="%PARTIC POR UNIDAD" sheetId="7" r:id="rId6"/>
  </sheets>
  <definedNames>
    <definedName name="_xlnm._FilterDatabase" localSheetId="0" hidden="1">POAI!$A$5:$BT$5</definedName>
    <definedName name="_xlnm._FilterDatabase" localSheetId="1" hidden="1">'RESUMEN POR UNIDAD'!$F$1:$F$186</definedName>
  </definedNames>
  <calcPr calcId="181029"/>
</workbook>
</file>

<file path=xl/calcChain.xml><?xml version="1.0" encoding="utf-8"?>
<calcChain xmlns="http://schemas.openxmlformats.org/spreadsheetml/2006/main">
  <c r="AB400" i="1" l="1"/>
  <c r="AC400" i="1"/>
  <c r="AD400" i="1"/>
  <c r="V356" i="1" l="1"/>
  <c r="V355" i="1"/>
  <c r="V354" i="1"/>
  <c r="V390" i="1" l="1"/>
  <c r="T392" i="1" l="1"/>
  <c r="T385" i="1" l="1"/>
  <c r="T372" i="1"/>
  <c r="T346" i="1"/>
  <c r="AA30" i="1" l="1"/>
  <c r="AA31" i="1"/>
  <c r="E177" i="6" l="1"/>
  <c r="E176" i="6"/>
  <c r="C129" i="6"/>
  <c r="E42" i="6"/>
  <c r="D42" i="6"/>
  <c r="D41" i="6"/>
  <c r="C41" i="6"/>
  <c r="E54" i="5"/>
  <c r="C6" i="9" s="1"/>
  <c r="D54" i="5"/>
  <c r="E182" i="5"/>
  <c r="C58" i="9" s="1"/>
  <c r="D182" i="5"/>
  <c r="B58" i="9" s="1"/>
  <c r="D181" i="5"/>
  <c r="C181" i="5"/>
  <c r="C180" i="5"/>
  <c r="B180" i="5"/>
  <c r="E177" i="5"/>
  <c r="C59" i="9" s="1"/>
  <c r="D177" i="5"/>
  <c r="B59" i="9" s="1"/>
  <c r="D176" i="5"/>
  <c r="C176" i="5"/>
  <c r="E175" i="5"/>
  <c r="C57" i="9" s="1"/>
  <c r="D175" i="5"/>
  <c r="B57" i="9" s="1"/>
  <c r="D174" i="5"/>
  <c r="C174" i="5"/>
  <c r="C173" i="5"/>
  <c r="B173" i="5"/>
  <c r="E172" i="5"/>
  <c r="C53" i="9" s="1"/>
  <c r="D172" i="5"/>
  <c r="B53" i="9" s="1"/>
  <c r="D171" i="5"/>
  <c r="C171" i="5"/>
  <c r="E170" i="5"/>
  <c r="C54" i="9" s="1"/>
  <c r="D170" i="5"/>
  <c r="B54" i="9" s="1"/>
  <c r="D169" i="5"/>
  <c r="C169" i="5"/>
  <c r="C168" i="5"/>
  <c r="E195" i="6"/>
  <c r="D195" i="6"/>
  <c r="D194" i="6"/>
  <c r="C194" i="6"/>
  <c r="C193" i="6"/>
  <c r="B193" i="6"/>
  <c r="E189" i="6"/>
  <c r="D189" i="6"/>
  <c r="D188" i="6"/>
  <c r="C188" i="6"/>
  <c r="E187" i="6"/>
  <c r="D187" i="6"/>
  <c r="D186" i="6"/>
  <c r="C186" i="6"/>
  <c r="C185" i="6"/>
  <c r="B185" i="6"/>
  <c r="E184" i="6"/>
  <c r="D184" i="6"/>
  <c r="E183" i="6"/>
  <c r="D183" i="6"/>
  <c r="D182" i="6"/>
  <c r="C182" i="6"/>
  <c r="C181" i="6"/>
  <c r="B181" i="6"/>
  <c r="B168" i="5" l="1"/>
  <c r="D177" i="6"/>
  <c r="D176" i="6"/>
  <c r="D175" i="6"/>
  <c r="C175" i="6"/>
  <c r="C174" i="6"/>
  <c r="B174" i="6"/>
  <c r="E165" i="5"/>
  <c r="C55" i="9" s="1"/>
  <c r="D165" i="5"/>
  <c r="B55" i="9" s="1"/>
  <c r="E164" i="5"/>
  <c r="D164" i="5"/>
  <c r="D163" i="5"/>
  <c r="C163" i="5"/>
  <c r="C162" i="5"/>
  <c r="B162" i="5"/>
  <c r="E168" i="6"/>
  <c r="D168" i="6"/>
  <c r="D167" i="6"/>
  <c r="C167" i="6"/>
  <c r="C166" i="6"/>
  <c r="B166" i="6"/>
  <c r="E165" i="6"/>
  <c r="D165" i="6"/>
  <c r="E164" i="6"/>
  <c r="D164" i="6"/>
  <c r="D163" i="6"/>
  <c r="C163" i="6"/>
  <c r="C162" i="6"/>
  <c r="B162" i="6"/>
  <c r="E161" i="6"/>
  <c r="D161" i="6"/>
  <c r="E160" i="6"/>
  <c r="D160" i="6"/>
  <c r="D159" i="6"/>
  <c r="C159" i="6"/>
  <c r="E157" i="5"/>
  <c r="C46" i="9" s="1"/>
  <c r="D157" i="5"/>
  <c r="D156" i="5"/>
  <c r="C156" i="5"/>
  <c r="C155" i="5"/>
  <c r="B155" i="5"/>
  <c r="E154" i="5"/>
  <c r="C34" i="9" s="1"/>
  <c r="E153" i="5"/>
  <c r="C33" i="9" s="1"/>
  <c r="D154" i="5"/>
  <c r="D153" i="5"/>
  <c r="D152" i="5"/>
  <c r="C152" i="5"/>
  <c r="C151" i="5"/>
  <c r="B151" i="5"/>
  <c r="E150" i="5"/>
  <c r="C13" i="9" s="1"/>
  <c r="E149" i="5"/>
  <c r="C12" i="9" s="1"/>
  <c r="D150" i="5"/>
  <c r="D149" i="5"/>
  <c r="D148" i="5"/>
  <c r="C148" i="5"/>
  <c r="C147" i="5"/>
  <c r="B147" i="5"/>
  <c r="C158" i="6"/>
  <c r="B158" i="6"/>
  <c r="E154" i="6"/>
  <c r="E153" i="6"/>
  <c r="E152" i="6"/>
  <c r="C7" i="9" s="1"/>
  <c r="D154" i="6"/>
  <c r="D153" i="6"/>
  <c r="D152" i="6"/>
  <c r="D151" i="6"/>
  <c r="C151" i="6"/>
  <c r="C150" i="6"/>
  <c r="B150" i="6"/>
  <c r="E144" i="5"/>
  <c r="E143" i="5"/>
  <c r="E142" i="5"/>
  <c r="D144" i="5"/>
  <c r="D143" i="5"/>
  <c r="D142" i="5"/>
  <c r="D141" i="5"/>
  <c r="C141" i="5"/>
  <c r="C140" i="5"/>
  <c r="B140" i="5"/>
  <c r="E137" i="5"/>
  <c r="E136" i="5"/>
  <c r="D137" i="5"/>
  <c r="D136" i="5"/>
  <c r="D135" i="5"/>
  <c r="C135" i="5"/>
  <c r="C134" i="5"/>
  <c r="B134" i="5"/>
  <c r="E133" i="5"/>
  <c r="C32" i="9" s="1"/>
  <c r="D133" i="5"/>
  <c r="D132" i="5"/>
  <c r="C132" i="5"/>
  <c r="E131" i="5"/>
  <c r="D131" i="5"/>
  <c r="D130" i="5"/>
  <c r="C130" i="5"/>
  <c r="C129" i="5"/>
  <c r="B129" i="5"/>
  <c r="E146" i="6"/>
  <c r="E145" i="6"/>
  <c r="D146" i="6"/>
  <c r="D145" i="6"/>
  <c r="D144" i="6"/>
  <c r="C144" i="6"/>
  <c r="C143" i="6"/>
  <c r="B143" i="6"/>
  <c r="E142" i="6"/>
  <c r="D142" i="6"/>
  <c r="D141" i="6"/>
  <c r="C141" i="6"/>
  <c r="E140" i="6"/>
  <c r="D140" i="6"/>
  <c r="D139" i="6"/>
  <c r="C139" i="6"/>
  <c r="C138" i="6"/>
  <c r="B138" i="6"/>
  <c r="E137" i="6"/>
  <c r="E136" i="6"/>
  <c r="E135" i="6"/>
  <c r="D137" i="6"/>
  <c r="D136" i="6"/>
  <c r="D135" i="6"/>
  <c r="D134" i="6"/>
  <c r="C134" i="6"/>
  <c r="E133" i="6"/>
  <c r="D133" i="6"/>
  <c r="D132" i="6"/>
  <c r="C132" i="6"/>
  <c r="E131" i="6"/>
  <c r="D131" i="6"/>
  <c r="D130" i="6"/>
  <c r="C130" i="6"/>
  <c r="B129" i="6"/>
  <c r="E128" i="5"/>
  <c r="C19" i="9" s="1"/>
  <c r="E127" i="5"/>
  <c r="C18" i="9" s="1"/>
  <c r="E126" i="5"/>
  <c r="C17" i="9" s="1"/>
  <c r="D128" i="5"/>
  <c r="D127" i="5"/>
  <c r="D126" i="5"/>
  <c r="D125" i="5"/>
  <c r="C125" i="5"/>
  <c r="E124" i="5"/>
  <c r="D124" i="5"/>
  <c r="D123" i="5"/>
  <c r="C123" i="5"/>
  <c r="E122" i="5"/>
  <c r="C8" i="9" s="1"/>
  <c r="D122" i="5"/>
  <c r="D121" i="5"/>
  <c r="C121" i="5"/>
  <c r="C120" i="5"/>
  <c r="B120" i="5"/>
  <c r="E125" i="6"/>
  <c r="D125" i="6"/>
  <c r="D124" i="6"/>
  <c r="C124" i="6"/>
  <c r="C123" i="6"/>
  <c r="B123" i="6"/>
  <c r="E117" i="5"/>
  <c r="D117" i="5"/>
  <c r="D116" i="5"/>
  <c r="C116" i="5"/>
  <c r="C115" i="5"/>
  <c r="B115" i="5"/>
  <c r="E114" i="5"/>
  <c r="C11" i="9" s="1"/>
  <c r="E113" i="5"/>
  <c r="D114" i="5"/>
  <c r="D113" i="5"/>
  <c r="D112" i="5"/>
  <c r="C112" i="5"/>
  <c r="C111" i="5"/>
  <c r="B111" i="5"/>
  <c r="E122" i="6"/>
  <c r="E121" i="6"/>
  <c r="D122" i="6"/>
  <c r="D121" i="6"/>
  <c r="D120" i="6"/>
  <c r="C120" i="6"/>
  <c r="C119" i="6"/>
  <c r="B119" i="6"/>
  <c r="E108" i="5"/>
  <c r="E107" i="5"/>
  <c r="D108" i="5"/>
  <c r="D107" i="5"/>
  <c r="D106" i="5"/>
  <c r="C106" i="5"/>
  <c r="C105" i="5"/>
  <c r="B105" i="5"/>
  <c r="E115" i="6"/>
  <c r="D115" i="6"/>
  <c r="E114" i="6"/>
  <c r="D114" i="6"/>
  <c r="D113" i="6"/>
  <c r="C113" i="6"/>
  <c r="C112" i="6"/>
  <c r="B112" i="6"/>
  <c r="E108" i="6"/>
  <c r="E107" i="6"/>
  <c r="E106" i="6"/>
  <c r="E105" i="6"/>
  <c r="E104" i="6"/>
  <c r="D108" i="6"/>
  <c r="D107" i="6"/>
  <c r="D106" i="6"/>
  <c r="D105" i="6"/>
  <c r="D104" i="6"/>
  <c r="D103" i="6"/>
  <c r="C103" i="6"/>
  <c r="C102" i="6"/>
  <c r="B102" i="6"/>
  <c r="E102" i="5"/>
  <c r="C41" i="9" s="1"/>
  <c r="E101" i="5"/>
  <c r="C40" i="9" s="1"/>
  <c r="E100" i="5"/>
  <c r="C39" i="9" s="1"/>
  <c r="E99" i="5"/>
  <c r="C38" i="9" s="1"/>
  <c r="E98" i="5"/>
  <c r="C37" i="9" s="1"/>
  <c r="D102" i="5"/>
  <c r="D101" i="5"/>
  <c r="D100" i="5"/>
  <c r="D99" i="5"/>
  <c r="D98" i="5"/>
  <c r="D97" i="5"/>
  <c r="C97" i="5"/>
  <c r="C96" i="5"/>
  <c r="B96" i="5"/>
  <c r="E95" i="5"/>
  <c r="D95" i="5"/>
  <c r="D94" i="5"/>
  <c r="C94" i="5"/>
  <c r="E101" i="6"/>
  <c r="D101" i="6"/>
  <c r="D100" i="6"/>
  <c r="C100" i="6"/>
  <c r="E99" i="6"/>
  <c r="E98" i="6"/>
  <c r="E97" i="6"/>
  <c r="E96" i="6"/>
  <c r="E95" i="6"/>
  <c r="E94" i="6"/>
  <c r="E93" i="6"/>
  <c r="D99" i="6"/>
  <c r="D98" i="6"/>
  <c r="D97" i="6"/>
  <c r="D96" i="6"/>
  <c r="D95" i="6"/>
  <c r="D94" i="6"/>
  <c r="D93" i="6"/>
  <c r="D92" i="6"/>
  <c r="C92" i="6"/>
  <c r="C91" i="6"/>
  <c r="B91" i="6"/>
  <c r="E93" i="5"/>
  <c r="C29" i="9" s="1"/>
  <c r="E92" i="5"/>
  <c r="C28" i="9" s="1"/>
  <c r="E91" i="5"/>
  <c r="C27" i="9" s="1"/>
  <c r="E90" i="5"/>
  <c r="C26" i="9" s="1"/>
  <c r="E89" i="5"/>
  <c r="C25" i="9" s="1"/>
  <c r="E88" i="5"/>
  <c r="C24" i="9" s="1"/>
  <c r="E87" i="5"/>
  <c r="C23" i="9" s="1"/>
  <c r="D93" i="5"/>
  <c r="D92" i="5"/>
  <c r="D91" i="5"/>
  <c r="D90" i="5"/>
  <c r="D89" i="5"/>
  <c r="D88" i="5"/>
  <c r="D87" i="5"/>
  <c r="D86" i="5"/>
  <c r="C85" i="5"/>
  <c r="B85" i="5"/>
  <c r="E87" i="6"/>
  <c r="D87" i="6"/>
  <c r="D86" i="6"/>
  <c r="C86" i="6"/>
  <c r="E85" i="6"/>
  <c r="D85" i="6"/>
  <c r="D84" i="6"/>
  <c r="C84" i="6"/>
  <c r="C83" i="6"/>
  <c r="B83" i="6"/>
  <c r="E82" i="5"/>
  <c r="C31" i="9" s="1"/>
  <c r="D82" i="5"/>
  <c r="D81" i="5"/>
  <c r="C81" i="5"/>
  <c r="E80" i="5"/>
  <c r="C30" i="9" s="1"/>
  <c r="D80" i="5"/>
  <c r="D79" i="5"/>
  <c r="C79" i="5"/>
  <c r="C78" i="5"/>
  <c r="B78" i="5"/>
  <c r="D75" i="5"/>
  <c r="E75" i="5"/>
  <c r="C15" i="9" s="1"/>
  <c r="E74" i="5"/>
  <c r="D74" i="5"/>
  <c r="D73" i="5"/>
  <c r="C73" i="5"/>
  <c r="C72" i="5"/>
  <c r="B72" i="5"/>
  <c r="E79" i="6"/>
  <c r="D79" i="6"/>
  <c r="E78" i="6"/>
  <c r="D78" i="6"/>
  <c r="D77" i="6"/>
  <c r="C77" i="6"/>
  <c r="C76" i="6"/>
  <c r="B76" i="6"/>
  <c r="E72" i="6"/>
  <c r="D72" i="6"/>
  <c r="D71" i="6"/>
  <c r="C71" i="6"/>
  <c r="C70" i="6"/>
  <c r="B70" i="6"/>
  <c r="E69" i="5"/>
  <c r="D69" i="5"/>
  <c r="D68" i="5"/>
  <c r="C68" i="5"/>
  <c r="C67" i="5"/>
  <c r="B67" i="5"/>
  <c r="E66" i="5"/>
  <c r="C44" i="9" s="1"/>
  <c r="D66" i="5"/>
  <c r="D65" i="5"/>
  <c r="C65" i="5"/>
  <c r="E69" i="6"/>
  <c r="D69" i="6"/>
  <c r="D68" i="6"/>
  <c r="C68" i="6"/>
  <c r="E67" i="6"/>
  <c r="D67" i="6"/>
  <c r="D66" i="6"/>
  <c r="C66" i="6"/>
  <c r="C65" i="6"/>
  <c r="B65" i="6"/>
  <c r="E64" i="5"/>
  <c r="D64" i="5"/>
  <c r="D63" i="5"/>
  <c r="C63" i="5"/>
  <c r="C62" i="5"/>
  <c r="B62" i="5"/>
  <c r="E61" i="5"/>
  <c r="C21" i="9" s="1"/>
  <c r="D61" i="5"/>
  <c r="D60" i="5"/>
  <c r="C60" i="5"/>
  <c r="E64" i="6"/>
  <c r="D64" i="6"/>
  <c r="D63" i="6"/>
  <c r="C63" i="6"/>
  <c r="E62" i="6"/>
  <c r="D62" i="6"/>
  <c r="E61" i="6"/>
  <c r="D61" i="6"/>
  <c r="D60" i="6"/>
  <c r="C60" i="6"/>
  <c r="E59" i="5"/>
  <c r="D59" i="5"/>
  <c r="E58" i="5"/>
  <c r="C16" i="9" s="1"/>
  <c r="D58" i="5"/>
  <c r="D57" i="5"/>
  <c r="C57" i="5"/>
  <c r="E56" i="5"/>
  <c r="D56" i="5"/>
  <c r="D55" i="5"/>
  <c r="C55" i="5"/>
  <c r="E59" i="6"/>
  <c r="D59" i="6"/>
  <c r="D58" i="6"/>
  <c r="C58" i="6"/>
  <c r="E57" i="6"/>
  <c r="D57" i="6"/>
  <c r="E56" i="6"/>
  <c r="E55" i="6"/>
  <c r="D56" i="6"/>
  <c r="D55" i="6"/>
  <c r="D54" i="6"/>
  <c r="C54" i="6"/>
  <c r="C53" i="6"/>
  <c r="B53" i="6"/>
  <c r="E53" i="5"/>
  <c r="C5" i="9" s="1"/>
  <c r="E52" i="5"/>
  <c r="D53" i="5"/>
  <c r="D52" i="5"/>
  <c r="D51" i="5"/>
  <c r="C51" i="5"/>
  <c r="C50" i="5"/>
  <c r="B50" i="5"/>
  <c r="E47" i="5"/>
  <c r="D47" i="5"/>
  <c r="E49" i="6"/>
  <c r="D49" i="6"/>
  <c r="E48" i="6"/>
  <c r="D48" i="6"/>
  <c r="D47" i="6"/>
  <c r="C47" i="6"/>
  <c r="C46" i="6"/>
  <c r="B46" i="6"/>
  <c r="E46" i="5"/>
  <c r="D46" i="5"/>
  <c r="D45" i="5"/>
  <c r="C45" i="5"/>
  <c r="C44" i="5"/>
  <c r="B44" i="5"/>
  <c r="E43" i="5"/>
  <c r="C43" i="9" s="1"/>
  <c r="D43" i="5"/>
  <c r="E42" i="5"/>
  <c r="C42" i="9" s="1"/>
  <c r="D42" i="5"/>
  <c r="D41" i="5"/>
  <c r="C41" i="5"/>
  <c r="E45" i="6"/>
  <c r="D45" i="6"/>
  <c r="E44" i="6"/>
  <c r="D44" i="6"/>
  <c r="D43" i="6"/>
  <c r="C43" i="6"/>
  <c r="E40" i="5"/>
  <c r="D40" i="5"/>
  <c r="D39" i="5"/>
  <c r="C39" i="5"/>
  <c r="E38" i="5"/>
  <c r="C36" i="9" s="1"/>
  <c r="D38" i="5"/>
  <c r="D37" i="5"/>
  <c r="C37" i="5"/>
  <c r="C36" i="5"/>
  <c r="B36" i="5"/>
  <c r="E40" i="6"/>
  <c r="D40" i="6"/>
  <c r="D39" i="6"/>
  <c r="C39" i="6"/>
  <c r="C38" i="6"/>
  <c r="B38" i="6"/>
  <c r="E37" i="6"/>
  <c r="D37" i="6"/>
  <c r="D36" i="6"/>
  <c r="C36" i="6"/>
  <c r="E35" i="5"/>
  <c r="C20" i="9" s="1"/>
  <c r="D35" i="5"/>
  <c r="D34" i="5"/>
  <c r="C34" i="5"/>
  <c r="E33" i="5"/>
  <c r="C14" i="9" s="1"/>
  <c r="D33" i="5"/>
  <c r="D32" i="5"/>
  <c r="C32" i="5"/>
  <c r="E35" i="6"/>
  <c r="D35" i="6"/>
  <c r="D34" i="6"/>
  <c r="C34" i="6"/>
  <c r="E33" i="6"/>
  <c r="D33" i="6"/>
  <c r="D32" i="6"/>
  <c r="C32" i="6"/>
  <c r="E31" i="5"/>
  <c r="C10" i="9" s="1"/>
  <c r="D31" i="5"/>
  <c r="D30" i="5"/>
  <c r="C30" i="5"/>
  <c r="E29" i="5"/>
  <c r="C9" i="9" s="1"/>
  <c r="D29" i="5"/>
  <c r="D28" i="5"/>
  <c r="C28" i="5"/>
  <c r="E31" i="6"/>
  <c r="D31" i="6"/>
  <c r="D30" i="6"/>
  <c r="C30" i="6"/>
  <c r="E29" i="6"/>
  <c r="D29" i="6"/>
  <c r="D28" i="6"/>
  <c r="C28" i="6"/>
  <c r="C27" i="6"/>
  <c r="B27" i="6"/>
  <c r="E27" i="5"/>
  <c r="C4" i="9" s="1"/>
  <c r="D27" i="5"/>
  <c r="D26" i="5"/>
  <c r="C26" i="5"/>
  <c r="C25" i="5"/>
  <c r="B25" i="5"/>
  <c r="E22" i="5"/>
  <c r="D22" i="5"/>
  <c r="D21" i="5"/>
  <c r="C21" i="5"/>
  <c r="C20" i="5"/>
  <c r="B20" i="5"/>
  <c r="E23" i="6"/>
  <c r="D23" i="6"/>
  <c r="D22" i="6"/>
  <c r="C22" i="6"/>
  <c r="C21" i="6"/>
  <c r="B21" i="6"/>
  <c r="E17" i="6"/>
  <c r="D17" i="6"/>
  <c r="E16" i="6"/>
  <c r="D16" i="6"/>
  <c r="D15" i="6"/>
  <c r="C15" i="6"/>
  <c r="C14" i="6"/>
  <c r="B14" i="6"/>
  <c r="D10" i="6"/>
  <c r="E10" i="6"/>
  <c r="E9" i="6"/>
  <c r="D9" i="6"/>
  <c r="D8" i="6"/>
  <c r="C8" i="6"/>
  <c r="E17" i="5"/>
  <c r="D17" i="5"/>
  <c r="E16" i="5"/>
  <c r="D16" i="5"/>
  <c r="D15" i="5"/>
  <c r="C15" i="5"/>
  <c r="C14" i="5"/>
  <c r="B14" i="5"/>
  <c r="D11" i="5"/>
  <c r="E10" i="5"/>
  <c r="C48" i="9" s="1"/>
  <c r="D10" i="5"/>
  <c r="C8" i="5"/>
  <c r="C7" i="6"/>
  <c r="B7" i="6"/>
  <c r="E11" i="5"/>
  <c r="C47" i="9" s="1"/>
  <c r="D9" i="5"/>
  <c r="C9" i="5"/>
  <c r="B8" i="5"/>
  <c r="C45" i="9" l="1"/>
  <c r="C6" i="8"/>
  <c r="C35" i="9"/>
  <c r="C5" i="8"/>
  <c r="C3" i="9"/>
  <c r="C3" i="8"/>
  <c r="C22" i="9"/>
  <c r="C4" i="8"/>
  <c r="B45" i="9"/>
  <c r="B6" i="8"/>
  <c r="B35" i="9"/>
  <c r="B5" i="8"/>
  <c r="B22" i="9"/>
  <c r="B4" i="8"/>
  <c r="B3" i="9"/>
  <c r="B3" i="8"/>
  <c r="AD136" i="1"/>
  <c r="L174" i="6" l="1"/>
  <c r="M174" i="6"/>
  <c r="N174" i="6"/>
  <c r="K174" i="6"/>
  <c r="R149" i="6"/>
  <c r="R150" i="6" s="1"/>
  <c r="Q149" i="6"/>
  <c r="Q150" i="6" s="1"/>
  <c r="P149" i="6"/>
  <c r="O149" i="6"/>
  <c r="N149" i="6"/>
  <c r="N150" i="6" s="1"/>
  <c r="M149" i="6"/>
  <c r="M150" i="6" s="1"/>
  <c r="R116" i="6"/>
  <c r="Q116" i="6"/>
  <c r="P116" i="6"/>
  <c r="O116" i="6"/>
  <c r="N116" i="6"/>
  <c r="M116" i="6"/>
  <c r="P117" i="6" l="1"/>
  <c r="R117" i="6"/>
  <c r="N117" i="6"/>
  <c r="M117" i="6"/>
  <c r="O117" i="6"/>
  <c r="Q117" i="6"/>
  <c r="O150" i="6"/>
  <c r="P150" i="6"/>
  <c r="AA322" i="1" l="1"/>
  <c r="AA328" i="1" l="1"/>
  <c r="AD328" i="1" l="1"/>
  <c r="AD323" i="1"/>
  <c r="AD322" i="1"/>
  <c r="AD291" i="1"/>
  <c r="Y240" i="1" l="1"/>
  <c r="F146" i="6" l="1"/>
  <c r="AA279" i="1"/>
  <c r="AB326" i="1" l="1"/>
  <c r="U326" i="1"/>
  <c r="V326" i="1"/>
  <c r="W326" i="1"/>
  <c r="X326" i="1"/>
  <c r="Y326" i="1"/>
  <c r="Z326" i="1"/>
  <c r="AC326" i="1"/>
  <c r="AE326" i="1"/>
  <c r="T326" i="1"/>
  <c r="AA306" i="1"/>
  <c r="AD329" i="1"/>
  <c r="AA326" i="1" l="1"/>
  <c r="AD327" i="1" l="1"/>
  <c r="AD326" i="1" s="1"/>
  <c r="AF326" i="1"/>
  <c r="S326" i="1"/>
  <c r="R326" i="1"/>
  <c r="Q326" i="1"/>
  <c r="AD290" i="1"/>
  <c r="G146" i="6" l="1"/>
  <c r="H146" i="6" s="1"/>
  <c r="F137" i="5"/>
  <c r="W244" i="1"/>
  <c r="W238" i="1"/>
  <c r="W235" i="1"/>
  <c r="AD235" i="1" s="1"/>
  <c r="AA236" i="1"/>
  <c r="AD236" i="1" s="1"/>
  <c r="AA260" i="1" l="1"/>
  <c r="AA270" i="1"/>
  <c r="T260" i="1"/>
  <c r="AE277" i="1" l="1"/>
  <c r="AF277" i="1"/>
  <c r="AB320" i="1"/>
  <c r="AC320" i="1"/>
  <c r="AE320" i="1"/>
  <c r="AF320" i="1"/>
  <c r="AA320" i="1"/>
  <c r="AD325" i="1"/>
  <c r="AD324" i="1"/>
  <c r="AB122" i="1"/>
  <c r="AC122" i="1"/>
  <c r="AE122" i="1"/>
  <c r="AF122" i="1"/>
  <c r="AA122" i="1"/>
  <c r="AD123" i="1"/>
  <c r="AD237" i="1" l="1"/>
  <c r="AD238" i="1"/>
  <c r="AD239" i="1"/>
  <c r="AD248" i="1"/>
  <c r="AD249" i="1"/>
  <c r="AA152" i="1" l="1"/>
  <c r="AC475" i="1" l="1"/>
  <c r="AC474" i="1" s="1"/>
  <c r="AC473" i="1" s="1"/>
  <c r="AC472" i="1" s="1"/>
  <c r="AB475" i="1"/>
  <c r="AB474" i="1" s="1"/>
  <c r="AB473" i="1" s="1"/>
  <c r="AB472" i="1" s="1"/>
  <c r="AA475" i="1"/>
  <c r="AA474" i="1" s="1"/>
  <c r="AA473" i="1" s="1"/>
  <c r="AA472" i="1" s="1"/>
  <c r="Z475" i="1"/>
  <c r="Z474" i="1" s="1"/>
  <c r="Z473" i="1" s="1"/>
  <c r="Z472" i="1" s="1"/>
  <c r="Y475" i="1"/>
  <c r="Y474" i="1" s="1"/>
  <c r="Y473" i="1" s="1"/>
  <c r="Y472" i="1" s="1"/>
  <c r="X475" i="1"/>
  <c r="X474" i="1" s="1"/>
  <c r="X473" i="1" s="1"/>
  <c r="X472" i="1" s="1"/>
  <c r="W475" i="1"/>
  <c r="W474" i="1" s="1"/>
  <c r="W473" i="1" s="1"/>
  <c r="W472" i="1" s="1"/>
  <c r="V475" i="1"/>
  <c r="V474" i="1" s="1"/>
  <c r="V473" i="1" s="1"/>
  <c r="V472" i="1" s="1"/>
  <c r="U475" i="1"/>
  <c r="U474" i="1" s="1"/>
  <c r="U473" i="1" s="1"/>
  <c r="U472" i="1" s="1"/>
  <c r="T475" i="1"/>
  <c r="T474" i="1" s="1"/>
  <c r="T473" i="1" s="1"/>
  <c r="T472" i="1" s="1"/>
  <c r="S475" i="1"/>
  <c r="S474" i="1" s="1"/>
  <c r="S473" i="1" s="1"/>
  <c r="S472" i="1" s="1"/>
  <c r="R475" i="1"/>
  <c r="R474" i="1" s="1"/>
  <c r="R473" i="1" s="1"/>
  <c r="R472" i="1" s="1"/>
  <c r="Q475" i="1"/>
  <c r="Q474" i="1" s="1"/>
  <c r="Q473" i="1" s="1"/>
  <c r="Q472" i="1" s="1"/>
  <c r="R463" i="1"/>
  <c r="R462" i="1" s="1"/>
  <c r="S463" i="1"/>
  <c r="S462" i="1" s="1"/>
  <c r="T463" i="1"/>
  <c r="T462" i="1" s="1"/>
  <c r="U463" i="1"/>
  <c r="U462" i="1" s="1"/>
  <c r="V463" i="1"/>
  <c r="V462" i="1" s="1"/>
  <c r="W463" i="1"/>
  <c r="W462" i="1" s="1"/>
  <c r="X463" i="1"/>
  <c r="X462" i="1" s="1"/>
  <c r="Y463" i="1"/>
  <c r="Y462" i="1" s="1"/>
  <c r="Z463" i="1"/>
  <c r="Z462" i="1" s="1"/>
  <c r="AA463" i="1"/>
  <c r="AA462" i="1" s="1"/>
  <c r="AB463" i="1"/>
  <c r="AB462" i="1" s="1"/>
  <c r="AC463" i="1"/>
  <c r="AC462" i="1" s="1"/>
  <c r="R460" i="1"/>
  <c r="R459" i="1" s="1"/>
  <c r="S460" i="1"/>
  <c r="S459" i="1" s="1"/>
  <c r="T460" i="1"/>
  <c r="T459" i="1" s="1"/>
  <c r="U460" i="1"/>
  <c r="U459" i="1" s="1"/>
  <c r="V460" i="1"/>
  <c r="V459" i="1" s="1"/>
  <c r="W460" i="1"/>
  <c r="W459" i="1" s="1"/>
  <c r="X460" i="1"/>
  <c r="X459" i="1" s="1"/>
  <c r="Y460" i="1"/>
  <c r="Y459" i="1" s="1"/>
  <c r="Z460" i="1"/>
  <c r="Z459" i="1" s="1"/>
  <c r="AA460" i="1"/>
  <c r="AA459" i="1" s="1"/>
  <c r="AB460" i="1"/>
  <c r="AB459" i="1" s="1"/>
  <c r="AC460" i="1"/>
  <c r="AC459" i="1" s="1"/>
  <c r="Q463" i="1"/>
  <c r="Q462" i="1" s="1"/>
  <c r="R456" i="1"/>
  <c r="R455" i="1" s="1"/>
  <c r="S456" i="1"/>
  <c r="S455" i="1" s="1"/>
  <c r="T456" i="1"/>
  <c r="T455" i="1" s="1"/>
  <c r="U456" i="1"/>
  <c r="U455" i="1" s="1"/>
  <c r="V456" i="1"/>
  <c r="V455" i="1" s="1"/>
  <c r="W456" i="1"/>
  <c r="W455" i="1" s="1"/>
  <c r="X456" i="1"/>
  <c r="X455" i="1" s="1"/>
  <c r="Y456" i="1"/>
  <c r="Y455" i="1" s="1"/>
  <c r="Z456" i="1"/>
  <c r="Z455" i="1" s="1"/>
  <c r="AA456" i="1"/>
  <c r="AA455" i="1" s="1"/>
  <c r="AB456" i="1"/>
  <c r="AB455" i="1" s="1"/>
  <c r="AC456" i="1"/>
  <c r="AC455" i="1" s="1"/>
  <c r="R453" i="1"/>
  <c r="R452" i="1" s="1"/>
  <c r="S453" i="1"/>
  <c r="S452" i="1" s="1"/>
  <c r="T453" i="1"/>
  <c r="T452" i="1" s="1"/>
  <c r="U453" i="1"/>
  <c r="U452" i="1" s="1"/>
  <c r="V453" i="1"/>
  <c r="V452" i="1" s="1"/>
  <c r="W453" i="1"/>
  <c r="W452" i="1" s="1"/>
  <c r="X453" i="1"/>
  <c r="X452" i="1" s="1"/>
  <c r="Y453" i="1"/>
  <c r="Y452" i="1" s="1"/>
  <c r="Z453" i="1"/>
  <c r="Z452" i="1" s="1"/>
  <c r="AA453" i="1"/>
  <c r="AA452" i="1" s="1"/>
  <c r="AB453" i="1"/>
  <c r="AB452" i="1" s="1"/>
  <c r="AC453" i="1"/>
  <c r="AC452" i="1" s="1"/>
  <c r="Q456" i="1"/>
  <c r="Q455" i="1" s="1"/>
  <c r="Q453" i="1"/>
  <c r="Q452" i="1" s="1"/>
  <c r="R446" i="1"/>
  <c r="S446" i="1"/>
  <c r="T446" i="1"/>
  <c r="U446" i="1"/>
  <c r="V446" i="1"/>
  <c r="W446" i="1"/>
  <c r="X446" i="1"/>
  <c r="Y446" i="1"/>
  <c r="Z446" i="1"/>
  <c r="AA446" i="1"/>
  <c r="AB446" i="1"/>
  <c r="AC446" i="1"/>
  <c r="Q446" i="1"/>
  <c r="R441" i="1"/>
  <c r="S441" i="1"/>
  <c r="T441" i="1"/>
  <c r="U441" i="1"/>
  <c r="V441" i="1"/>
  <c r="W441" i="1"/>
  <c r="X441" i="1"/>
  <c r="Y441" i="1"/>
  <c r="Z441" i="1"/>
  <c r="AC441" i="1"/>
  <c r="H176" i="6" s="1"/>
  <c r="H175" i="6" s="1"/>
  <c r="H174" i="6" s="1"/>
  <c r="H173" i="6" s="1"/>
  <c r="Q441" i="1"/>
  <c r="AC403" i="1"/>
  <c r="AB403" i="1"/>
  <c r="AA403" i="1"/>
  <c r="Z403" i="1"/>
  <c r="Y403" i="1"/>
  <c r="X403" i="1"/>
  <c r="W403" i="1"/>
  <c r="V403" i="1"/>
  <c r="U403" i="1"/>
  <c r="T403" i="1"/>
  <c r="S403" i="1"/>
  <c r="R403" i="1"/>
  <c r="Q403" i="1"/>
  <c r="R113" i="1"/>
  <c r="R112" i="1" s="1"/>
  <c r="S113" i="1"/>
  <c r="S112" i="1" s="1"/>
  <c r="T113" i="1"/>
  <c r="T112" i="1" s="1"/>
  <c r="U113" i="1"/>
  <c r="U112" i="1" s="1"/>
  <c r="V113" i="1"/>
  <c r="V112" i="1" s="1"/>
  <c r="W113" i="1"/>
  <c r="W112" i="1" s="1"/>
  <c r="X113" i="1"/>
  <c r="X112" i="1" s="1"/>
  <c r="Y113" i="1"/>
  <c r="Y112" i="1" s="1"/>
  <c r="Z113" i="1"/>
  <c r="Z112" i="1" s="1"/>
  <c r="AA113" i="1"/>
  <c r="AA112" i="1" s="1"/>
  <c r="AB113" i="1"/>
  <c r="AB112" i="1" s="1"/>
  <c r="AC113" i="1"/>
  <c r="AC112" i="1" s="1"/>
  <c r="AA45" i="1"/>
  <c r="AA44" i="1" s="1"/>
  <c r="AC429" i="1"/>
  <c r="AC428" i="1" s="1"/>
  <c r="AC427" i="1" s="1"/>
  <c r="AB429" i="1"/>
  <c r="AB428" i="1" s="1"/>
  <c r="AB427" i="1" s="1"/>
  <c r="AA429" i="1"/>
  <c r="AA428" i="1" s="1"/>
  <c r="AA427" i="1" s="1"/>
  <c r="Z429" i="1"/>
  <c r="Z428" i="1" s="1"/>
  <c r="Z427" i="1" s="1"/>
  <c r="Y429" i="1"/>
  <c r="Y428" i="1" s="1"/>
  <c r="Y427" i="1" s="1"/>
  <c r="X429" i="1"/>
  <c r="X428" i="1" s="1"/>
  <c r="X427" i="1" s="1"/>
  <c r="W429" i="1"/>
  <c r="W428" i="1" s="1"/>
  <c r="W427" i="1" s="1"/>
  <c r="V429" i="1"/>
  <c r="V428" i="1" s="1"/>
  <c r="V427" i="1" s="1"/>
  <c r="U429" i="1"/>
  <c r="U428" i="1" s="1"/>
  <c r="U427" i="1" s="1"/>
  <c r="T429" i="1"/>
  <c r="T428" i="1" s="1"/>
  <c r="T427" i="1" s="1"/>
  <c r="S429" i="1"/>
  <c r="S428" i="1" s="1"/>
  <c r="S427" i="1" s="1"/>
  <c r="R429" i="1"/>
  <c r="R428" i="1" s="1"/>
  <c r="R427" i="1" s="1"/>
  <c r="Q429" i="1"/>
  <c r="Q428" i="1" s="1"/>
  <c r="Q427" i="1" s="1"/>
  <c r="R425" i="1"/>
  <c r="S425" i="1"/>
  <c r="T425" i="1"/>
  <c r="U425" i="1"/>
  <c r="V425" i="1"/>
  <c r="W425" i="1"/>
  <c r="X425" i="1"/>
  <c r="Y425" i="1"/>
  <c r="Z425" i="1"/>
  <c r="AA425" i="1"/>
  <c r="AB425" i="1"/>
  <c r="AC425" i="1"/>
  <c r="Q425" i="1"/>
  <c r="R413" i="1"/>
  <c r="S413" i="1"/>
  <c r="T413" i="1"/>
  <c r="U413" i="1"/>
  <c r="V413" i="1"/>
  <c r="W413" i="1"/>
  <c r="X413" i="1"/>
  <c r="Y413" i="1"/>
  <c r="Z413" i="1"/>
  <c r="AA413" i="1"/>
  <c r="AB413" i="1"/>
  <c r="AC413" i="1"/>
  <c r="Q413" i="1"/>
  <c r="R421" i="1"/>
  <c r="S421" i="1"/>
  <c r="T421" i="1"/>
  <c r="U421" i="1"/>
  <c r="V421" i="1"/>
  <c r="W421" i="1"/>
  <c r="X421" i="1"/>
  <c r="Y421" i="1"/>
  <c r="Z421" i="1"/>
  <c r="AA421" i="1"/>
  <c r="AB421" i="1"/>
  <c r="AC421" i="1"/>
  <c r="Q421" i="1"/>
  <c r="R335" i="1"/>
  <c r="S335" i="1"/>
  <c r="T335" i="1"/>
  <c r="G152" i="6" s="1"/>
  <c r="V335" i="1"/>
  <c r="W335" i="1"/>
  <c r="X335" i="1"/>
  <c r="Y335" i="1"/>
  <c r="Z335" i="1"/>
  <c r="AB335" i="1"/>
  <c r="R286" i="1"/>
  <c r="S286" i="1"/>
  <c r="T286" i="1"/>
  <c r="U286" i="1"/>
  <c r="V286" i="1"/>
  <c r="W286" i="1"/>
  <c r="X286" i="1"/>
  <c r="Y286" i="1"/>
  <c r="Z286" i="1"/>
  <c r="AA286" i="1"/>
  <c r="G135" i="6" s="1"/>
  <c r="AB286" i="1"/>
  <c r="AC286" i="1"/>
  <c r="AD296" i="1"/>
  <c r="AD295" i="1"/>
  <c r="AD294" i="1"/>
  <c r="AD293" i="1"/>
  <c r="AD292" i="1"/>
  <c r="AD289" i="1"/>
  <c r="AD288" i="1"/>
  <c r="AD287" i="1"/>
  <c r="AD281" i="1"/>
  <c r="AD280" i="1"/>
  <c r="AD284" i="1"/>
  <c r="AD283" i="1" s="1"/>
  <c r="AD282" i="1" s="1"/>
  <c r="AC279" i="1"/>
  <c r="AB279" i="1"/>
  <c r="AB278" i="1" s="1"/>
  <c r="AA278" i="1"/>
  <c r="Z279" i="1"/>
  <c r="Z278" i="1" s="1"/>
  <c r="Y279" i="1"/>
  <c r="Y278" i="1" s="1"/>
  <c r="X279" i="1"/>
  <c r="X278" i="1" s="1"/>
  <c r="W279" i="1"/>
  <c r="W278" i="1" s="1"/>
  <c r="V279" i="1"/>
  <c r="V278" i="1" s="1"/>
  <c r="U279" i="1"/>
  <c r="U278" i="1" s="1"/>
  <c r="T279" i="1"/>
  <c r="T278" i="1" s="1"/>
  <c r="S279" i="1"/>
  <c r="S278" i="1" s="1"/>
  <c r="R279" i="1"/>
  <c r="R278" i="1" s="1"/>
  <c r="AC278" i="1"/>
  <c r="Q297" i="1"/>
  <c r="Q286" i="1"/>
  <c r="F135" i="6" s="1"/>
  <c r="Q279" i="1"/>
  <c r="Q278" i="1" s="1"/>
  <c r="AA283" i="1"/>
  <c r="AA282" i="1" s="1"/>
  <c r="R313" i="1"/>
  <c r="R312" i="1" s="1"/>
  <c r="S313" i="1"/>
  <c r="S312" i="1" s="1"/>
  <c r="T313" i="1"/>
  <c r="T312" i="1" s="1"/>
  <c r="U313" i="1"/>
  <c r="U312" i="1" s="1"/>
  <c r="V313" i="1"/>
  <c r="V312" i="1" s="1"/>
  <c r="W313" i="1"/>
  <c r="W312" i="1" s="1"/>
  <c r="X313" i="1"/>
  <c r="X312" i="1" s="1"/>
  <c r="Y313" i="1"/>
  <c r="Y312" i="1" s="1"/>
  <c r="Z313" i="1"/>
  <c r="Z312" i="1" s="1"/>
  <c r="AA313" i="1"/>
  <c r="AA312" i="1" s="1"/>
  <c r="AB313" i="1"/>
  <c r="AB312" i="1" s="1"/>
  <c r="AC313" i="1"/>
  <c r="AC312" i="1" s="1"/>
  <c r="R316" i="1"/>
  <c r="R315" i="1" s="1"/>
  <c r="S316" i="1"/>
  <c r="S315" i="1" s="1"/>
  <c r="T316" i="1"/>
  <c r="T315" i="1" s="1"/>
  <c r="U316" i="1"/>
  <c r="U315" i="1" s="1"/>
  <c r="V316" i="1"/>
  <c r="V315" i="1" s="1"/>
  <c r="W316" i="1"/>
  <c r="W315" i="1" s="1"/>
  <c r="X316" i="1"/>
  <c r="X315" i="1" s="1"/>
  <c r="Y316" i="1"/>
  <c r="Y315" i="1" s="1"/>
  <c r="Z316" i="1"/>
  <c r="Z315" i="1" s="1"/>
  <c r="AA316" i="1"/>
  <c r="AA315" i="1" s="1"/>
  <c r="AB316" i="1"/>
  <c r="AB315" i="1" s="1"/>
  <c r="AC316" i="1"/>
  <c r="AC315" i="1" s="1"/>
  <c r="R320" i="1"/>
  <c r="R319" i="1" s="1"/>
  <c r="R318" i="1" s="1"/>
  <c r="S320" i="1"/>
  <c r="S319" i="1" s="1"/>
  <c r="S318" i="1" s="1"/>
  <c r="T320" i="1"/>
  <c r="T319" i="1" s="1"/>
  <c r="T318" i="1" s="1"/>
  <c r="U320" i="1"/>
  <c r="U319" i="1" s="1"/>
  <c r="U318" i="1" s="1"/>
  <c r="V320" i="1"/>
  <c r="V319" i="1" s="1"/>
  <c r="V318" i="1" s="1"/>
  <c r="W320" i="1"/>
  <c r="W319" i="1" s="1"/>
  <c r="W318" i="1" s="1"/>
  <c r="X320" i="1"/>
  <c r="X319" i="1" s="1"/>
  <c r="X318" i="1" s="1"/>
  <c r="Y320" i="1"/>
  <c r="Y319" i="1" s="1"/>
  <c r="Y318" i="1" s="1"/>
  <c r="Z320" i="1"/>
  <c r="Z319" i="1" s="1"/>
  <c r="Z318" i="1" s="1"/>
  <c r="AA319" i="1"/>
  <c r="AA318" i="1" s="1"/>
  <c r="AB319" i="1"/>
  <c r="AB318" i="1" s="1"/>
  <c r="AC319" i="1"/>
  <c r="AC318" i="1" s="1"/>
  <c r="R283" i="1"/>
  <c r="R282" i="1" s="1"/>
  <c r="S283" i="1"/>
  <c r="S282" i="1" s="1"/>
  <c r="T283" i="1"/>
  <c r="T282" i="1" s="1"/>
  <c r="U283" i="1"/>
  <c r="U282" i="1" s="1"/>
  <c r="V283" i="1"/>
  <c r="V282" i="1" s="1"/>
  <c r="W283" i="1"/>
  <c r="W282" i="1" s="1"/>
  <c r="X283" i="1"/>
  <c r="X282" i="1" s="1"/>
  <c r="Y283" i="1"/>
  <c r="Y282" i="1" s="1"/>
  <c r="Z283" i="1"/>
  <c r="Z282" i="1" s="1"/>
  <c r="AB283" i="1"/>
  <c r="AB282" i="1" s="1"/>
  <c r="AC283" i="1"/>
  <c r="AC282" i="1" s="1"/>
  <c r="Q283" i="1"/>
  <c r="Q282" i="1" s="1"/>
  <c r="R234" i="1"/>
  <c r="S234" i="1"/>
  <c r="T234" i="1"/>
  <c r="U234" i="1"/>
  <c r="V234" i="1"/>
  <c r="X234" i="1"/>
  <c r="Y234" i="1"/>
  <c r="Z234" i="1"/>
  <c r="AB234" i="1"/>
  <c r="AC234" i="1"/>
  <c r="R269" i="1"/>
  <c r="S269" i="1"/>
  <c r="T269" i="1"/>
  <c r="U269" i="1"/>
  <c r="V269" i="1"/>
  <c r="W269" i="1"/>
  <c r="X269" i="1"/>
  <c r="Y269" i="1"/>
  <c r="Z269" i="1"/>
  <c r="AB269" i="1"/>
  <c r="AC269" i="1"/>
  <c r="R273" i="1"/>
  <c r="R272" i="1" s="1"/>
  <c r="R271" i="1" s="1"/>
  <c r="S273" i="1"/>
  <c r="S272" i="1" s="1"/>
  <c r="S271" i="1" s="1"/>
  <c r="T273" i="1"/>
  <c r="T272" i="1" s="1"/>
  <c r="T271" i="1" s="1"/>
  <c r="U273" i="1"/>
  <c r="U272" i="1" s="1"/>
  <c r="U271" i="1" s="1"/>
  <c r="V273" i="1"/>
  <c r="V272" i="1" s="1"/>
  <c r="V271" i="1" s="1"/>
  <c r="W273" i="1"/>
  <c r="W272" i="1" s="1"/>
  <c r="W271" i="1" s="1"/>
  <c r="X273" i="1"/>
  <c r="X272" i="1" s="1"/>
  <c r="X271" i="1" s="1"/>
  <c r="Y273" i="1"/>
  <c r="Y272" i="1" s="1"/>
  <c r="Y271" i="1" s="1"/>
  <c r="Z273" i="1"/>
  <c r="Z272" i="1" s="1"/>
  <c r="Z271" i="1" s="1"/>
  <c r="AA273" i="1"/>
  <c r="AA272" i="1" s="1"/>
  <c r="AA271" i="1" s="1"/>
  <c r="AB273" i="1"/>
  <c r="AB272" i="1" s="1"/>
  <c r="AB271" i="1" s="1"/>
  <c r="AC273" i="1"/>
  <c r="AC272" i="1" s="1"/>
  <c r="AC271" i="1" s="1"/>
  <c r="Q273" i="1"/>
  <c r="Q272" i="1" s="1"/>
  <c r="Q271" i="1" s="1"/>
  <c r="Q269" i="1"/>
  <c r="Q234" i="1"/>
  <c r="R228" i="1"/>
  <c r="S228" i="1"/>
  <c r="T228" i="1"/>
  <c r="U228" i="1"/>
  <c r="V228" i="1"/>
  <c r="W228" i="1"/>
  <c r="X228" i="1"/>
  <c r="Y228" i="1"/>
  <c r="Z228" i="1"/>
  <c r="AA228" i="1"/>
  <c r="AB228" i="1"/>
  <c r="AC228" i="1"/>
  <c r="R225" i="1"/>
  <c r="S225" i="1"/>
  <c r="S224" i="1" s="1"/>
  <c r="S223" i="1" s="1"/>
  <c r="S222" i="1" s="1"/>
  <c r="T225" i="1"/>
  <c r="U225" i="1"/>
  <c r="V225" i="1"/>
  <c r="V224" i="1" s="1"/>
  <c r="V223" i="1" s="1"/>
  <c r="V222" i="1" s="1"/>
  <c r="W225" i="1"/>
  <c r="W224" i="1" s="1"/>
  <c r="W223" i="1" s="1"/>
  <c r="W222" i="1" s="1"/>
  <c r="X225" i="1"/>
  <c r="Y225" i="1"/>
  <c r="Y224" i="1" s="1"/>
  <c r="Y223" i="1" s="1"/>
  <c r="Y222" i="1" s="1"/>
  <c r="Z225" i="1"/>
  <c r="AA225" i="1"/>
  <c r="AA224" i="1" s="1"/>
  <c r="AA223" i="1" s="1"/>
  <c r="AA222" i="1" s="1"/>
  <c r="AB225" i="1"/>
  <c r="AC225" i="1"/>
  <c r="AC224" i="1" s="1"/>
  <c r="AC223" i="1" s="1"/>
  <c r="AC222" i="1" s="1"/>
  <c r="Q228" i="1"/>
  <c r="Q225" i="1"/>
  <c r="R201" i="1"/>
  <c r="S201" i="1"/>
  <c r="T201" i="1"/>
  <c r="U201" i="1"/>
  <c r="V201" i="1"/>
  <c r="W201" i="1"/>
  <c r="X201" i="1"/>
  <c r="Y201" i="1"/>
  <c r="Z201" i="1"/>
  <c r="AA201" i="1"/>
  <c r="AB201" i="1"/>
  <c r="AC201" i="1"/>
  <c r="Q201" i="1"/>
  <c r="R196" i="1"/>
  <c r="R195" i="1" s="1"/>
  <c r="S196" i="1"/>
  <c r="S195" i="1" s="1"/>
  <c r="T196" i="1"/>
  <c r="T195" i="1" s="1"/>
  <c r="U196" i="1"/>
  <c r="U195" i="1" s="1"/>
  <c r="V196" i="1"/>
  <c r="V195" i="1" s="1"/>
  <c r="W196" i="1"/>
  <c r="W195" i="1" s="1"/>
  <c r="X196" i="1"/>
  <c r="X195" i="1" s="1"/>
  <c r="Y196" i="1"/>
  <c r="Y195" i="1" s="1"/>
  <c r="Z196" i="1"/>
  <c r="Z195" i="1" s="1"/>
  <c r="AA196" i="1"/>
  <c r="AA195" i="1" s="1"/>
  <c r="AB196" i="1"/>
  <c r="AB195" i="1" s="1"/>
  <c r="AC196" i="1"/>
  <c r="AC195" i="1" s="1"/>
  <c r="Q196" i="1"/>
  <c r="Q195" i="1" s="1"/>
  <c r="Q191" i="1"/>
  <c r="R167" i="1"/>
  <c r="S167" i="1"/>
  <c r="T167" i="1"/>
  <c r="U167" i="1"/>
  <c r="V167" i="1"/>
  <c r="W167" i="1"/>
  <c r="X167" i="1"/>
  <c r="Y167" i="1"/>
  <c r="Z167" i="1"/>
  <c r="AA167" i="1"/>
  <c r="AB167" i="1"/>
  <c r="AC167" i="1"/>
  <c r="Q167" i="1"/>
  <c r="R217" i="1"/>
  <c r="S217" i="1"/>
  <c r="T217" i="1"/>
  <c r="U217" i="1"/>
  <c r="V217" i="1"/>
  <c r="W217" i="1"/>
  <c r="X217" i="1"/>
  <c r="Y217" i="1"/>
  <c r="Z217" i="1"/>
  <c r="AA217" i="1"/>
  <c r="AB217" i="1"/>
  <c r="AC217" i="1"/>
  <c r="Q217" i="1"/>
  <c r="Q213" i="1"/>
  <c r="R204" i="1"/>
  <c r="S204" i="1"/>
  <c r="T204" i="1"/>
  <c r="U204" i="1"/>
  <c r="V204" i="1"/>
  <c r="W204" i="1"/>
  <c r="X204" i="1"/>
  <c r="Y204" i="1"/>
  <c r="Z204" i="1"/>
  <c r="AB204" i="1"/>
  <c r="AC204" i="1"/>
  <c r="Q204" i="1"/>
  <c r="Q184" i="1"/>
  <c r="Q181" i="1"/>
  <c r="Q179" i="1"/>
  <c r="Q186" i="1"/>
  <c r="Q188" i="1"/>
  <c r="R148" i="1"/>
  <c r="R147" i="1" s="1"/>
  <c r="S148" i="1"/>
  <c r="S147" i="1" s="1"/>
  <c r="T148" i="1"/>
  <c r="T147" i="1" s="1"/>
  <c r="U148" i="1"/>
  <c r="U147" i="1" s="1"/>
  <c r="V148" i="1"/>
  <c r="V147" i="1" s="1"/>
  <c r="W148" i="1"/>
  <c r="W147" i="1" s="1"/>
  <c r="X148" i="1"/>
  <c r="X147" i="1" s="1"/>
  <c r="Y148" i="1"/>
  <c r="Y147" i="1" s="1"/>
  <c r="Z148" i="1"/>
  <c r="Z147" i="1" s="1"/>
  <c r="AA148" i="1"/>
  <c r="AA147" i="1" s="1"/>
  <c r="AC148" i="1"/>
  <c r="AC147" i="1" s="1"/>
  <c r="Q148" i="1"/>
  <c r="Q147" i="1" s="1"/>
  <c r="R158" i="1"/>
  <c r="R157" i="1" s="1"/>
  <c r="S158" i="1"/>
  <c r="S157" i="1" s="1"/>
  <c r="T158" i="1"/>
  <c r="T157" i="1" s="1"/>
  <c r="U158" i="1"/>
  <c r="U157" i="1" s="1"/>
  <c r="V158" i="1"/>
  <c r="V157" i="1" s="1"/>
  <c r="W158" i="1"/>
  <c r="W157" i="1" s="1"/>
  <c r="X158" i="1"/>
  <c r="X157" i="1" s="1"/>
  <c r="Y158" i="1"/>
  <c r="Y157" i="1" s="1"/>
  <c r="Z158" i="1"/>
  <c r="Z157" i="1" s="1"/>
  <c r="AA158" i="1"/>
  <c r="AA157" i="1" s="1"/>
  <c r="AB158" i="1"/>
  <c r="AB157" i="1" s="1"/>
  <c r="AC158" i="1"/>
  <c r="AC157" i="1" s="1"/>
  <c r="Q158" i="1"/>
  <c r="Q157" i="1" s="1"/>
  <c r="R132" i="1"/>
  <c r="S132" i="1"/>
  <c r="T132" i="1"/>
  <c r="U132" i="1"/>
  <c r="V132" i="1"/>
  <c r="W132" i="1"/>
  <c r="X132" i="1"/>
  <c r="Y132" i="1"/>
  <c r="Z132" i="1"/>
  <c r="AA132" i="1"/>
  <c r="AB132" i="1"/>
  <c r="AC132" i="1"/>
  <c r="R99" i="1"/>
  <c r="S99" i="1"/>
  <c r="T99" i="1"/>
  <c r="U99" i="1"/>
  <c r="V99" i="1"/>
  <c r="W99" i="1"/>
  <c r="X99" i="1"/>
  <c r="Y99" i="1"/>
  <c r="Z99" i="1"/>
  <c r="AA99" i="1"/>
  <c r="AB99" i="1"/>
  <c r="AC99" i="1"/>
  <c r="AE99" i="1"/>
  <c r="AE98" i="1" s="1"/>
  <c r="AF99" i="1"/>
  <c r="AF98" i="1" s="1"/>
  <c r="R122" i="1"/>
  <c r="R121" i="1" s="1"/>
  <c r="R120" i="1" s="1"/>
  <c r="S122" i="1"/>
  <c r="S121" i="1" s="1"/>
  <c r="S120" i="1" s="1"/>
  <c r="T122" i="1"/>
  <c r="T121" i="1" s="1"/>
  <c r="T120" i="1" s="1"/>
  <c r="U122" i="1"/>
  <c r="U121" i="1" s="1"/>
  <c r="U120" i="1" s="1"/>
  <c r="V122" i="1"/>
  <c r="V121" i="1" s="1"/>
  <c r="V120" i="1" s="1"/>
  <c r="W122" i="1"/>
  <c r="W121" i="1" s="1"/>
  <c r="W120" i="1" s="1"/>
  <c r="X122" i="1"/>
  <c r="X121" i="1" s="1"/>
  <c r="X120" i="1" s="1"/>
  <c r="Y122" i="1"/>
  <c r="Y121" i="1" s="1"/>
  <c r="Y120" i="1" s="1"/>
  <c r="Z122" i="1"/>
  <c r="Z121" i="1" s="1"/>
  <c r="Z120" i="1" s="1"/>
  <c r="AA121" i="1"/>
  <c r="AA120" i="1" s="1"/>
  <c r="AB121" i="1"/>
  <c r="AB120" i="1" s="1"/>
  <c r="AC121" i="1"/>
  <c r="AC120" i="1" s="1"/>
  <c r="Q122" i="1"/>
  <c r="Q121" i="1" s="1"/>
  <c r="Q120" i="1" s="1"/>
  <c r="Q116" i="1"/>
  <c r="Q115" i="1" s="1"/>
  <c r="S116" i="1"/>
  <c r="S115" i="1" s="1"/>
  <c r="T116" i="1"/>
  <c r="T115" i="1" s="1"/>
  <c r="U116" i="1"/>
  <c r="U115" i="1" s="1"/>
  <c r="V116" i="1"/>
  <c r="V115" i="1" s="1"/>
  <c r="W116" i="1"/>
  <c r="W115" i="1" s="1"/>
  <c r="X116" i="1"/>
  <c r="X115" i="1" s="1"/>
  <c r="Y116" i="1"/>
  <c r="Y115" i="1" s="1"/>
  <c r="Z116" i="1"/>
  <c r="Z115" i="1" s="1"/>
  <c r="AA116" i="1"/>
  <c r="AA115" i="1" s="1"/>
  <c r="AB116" i="1"/>
  <c r="AB115" i="1" s="1"/>
  <c r="AC116" i="1"/>
  <c r="AC115" i="1" s="1"/>
  <c r="R116" i="1"/>
  <c r="R115" i="1" s="1"/>
  <c r="S89" i="1"/>
  <c r="T89" i="1"/>
  <c r="U89" i="1"/>
  <c r="V89" i="1"/>
  <c r="W89" i="1"/>
  <c r="X89" i="1"/>
  <c r="Y89" i="1"/>
  <c r="Z89" i="1"/>
  <c r="AA89" i="1"/>
  <c r="AB89" i="1"/>
  <c r="AC89" i="1"/>
  <c r="S108" i="1"/>
  <c r="S107" i="1" s="1"/>
  <c r="T108" i="1"/>
  <c r="T107" i="1" s="1"/>
  <c r="U108" i="1"/>
  <c r="U107" i="1" s="1"/>
  <c r="V108" i="1"/>
  <c r="V107" i="1" s="1"/>
  <c r="W108" i="1"/>
  <c r="W107" i="1" s="1"/>
  <c r="X108" i="1"/>
  <c r="X107" i="1" s="1"/>
  <c r="Y108" i="1"/>
  <c r="Y107" i="1" s="1"/>
  <c r="Z108" i="1"/>
  <c r="Z107" i="1" s="1"/>
  <c r="AA108" i="1"/>
  <c r="AA107" i="1" s="1"/>
  <c r="AB108" i="1"/>
  <c r="AB107" i="1" s="1"/>
  <c r="AC108" i="1"/>
  <c r="AC107" i="1" s="1"/>
  <c r="Q108" i="1"/>
  <c r="Q107" i="1" s="1"/>
  <c r="R105" i="1"/>
  <c r="S105" i="1"/>
  <c r="T105" i="1"/>
  <c r="U105" i="1"/>
  <c r="V105" i="1"/>
  <c r="W105" i="1"/>
  <c r="X105" i="1"/>
  <c r="Y105" i="1"/>
  <c r="Z105" i="1"/>
  <c r="AA105" i="1"/>
  <c r="AB105" i="1"/>
  <c r="AC105" i="1"/>
  <c r="Q105" i="1"/>
  <c r="Q99" i="1"/>
  <c r="R96" i="1"/>
  <c r="R95" i="1" s="1"/>
  <c r="S96" i="1"/>
  <c r="S95" i="1" s="1"/>
  <c r="T96" i="1"/>
  <c r="T95" i="1" s="1"/>
  <c r="U96" i="1"/>
  <c r="U95" i="1" s="1"/>
  <c r="V96" i="1"/>
  <c r="V95" i="1" s="1"/>
  <c r="W96" i="1"/>
  <c r="W95" i="1" s="1"/>
  <c r="X96" i="1"/>
  <c r="X95" i="1" s="1"/>
  <c r="Y96" i="1"/>
  <c r="Y95" i="1" s="1"/>
  <c r="Z96" i="1"/>
  <c r="Z95" i="1" s="1"/>
  <c r="AA96" i="1"/>
  <c r="AA95" i="1" s="1"/>
  <c r="AB96" i="1"/>
  <c r="AB95" i="1" s="1"/>
  <c r="AC96" i="1"/>
  <c r="AC95" i="1" s="1"/>
  <c r="Q96" i="1"/>
  <c r="Q95" i="1" s="1"/>
  <c r="R93" i="1"/>
  <c r="S93" i="1"/>
  <c r="T93" i="1"/>
  <c r="U93" i="1"/>
  <c r="V93" i="1"/>
  <c r="W93" i="1"/>
  <c r="X93" i="1"/>
  <c r="Y93" i="1"/>
  <c r="Z93" i="1"/>
  <c r="AA93" i="1"/>
  <c r="AB93" i="1"/>
  <c r="AC93" i="1"/>
  <c r="Q93" i="1"/>
  <c r="R91" i="1"/>
  <c r="S91" i="1"/>
  <c r="T91" i="1"/>
  <c r="U91" i="1"/>
  <c r="V91" i="1"/>
  <c r="W91" i="1"/>
  <c r="X91" i="1"/>
  <c r="Y91" i="1"/>
  <c r="Z91" i="1"/>
  <c r="AA91" i="1"/>
  <c r="AB91" i="1"/>
  <c r="AC91" i="1"/>
  <c r="Q91" i="1"/>
  <c r="R89" i="1"/>
  <c r="Q89" i="1"/>
  <c r="R81" i="1"/>
  <c r="S81" i="1"/>
  <c r="T81" i="1"/>
  <c r="U81" i="1"/>
  <c r="V81" i="1"/>
  <c r="W81" i="1"/>
  <c r="X81" i="1"/>
  <c r="Y81" i="1"/>
  <c r="Z81" i="1"/>
  <c r="AA81" i="1"/>
  <c r="AB81" i="1"/>
  <c r="AC81" i="1"/>
  <c r="R61" i="1"/>
  <c r="R60" i="1" s="1"/>
  <c r="S61" i="1"/>
  <c r="S60" i="1" s="1"/>
  <c r="T61" i="1"/>
  <c r="T60" i="1" s="1"/>
  <c r="U61" i="1"/>
  <c r="U60" i="1" s="1"/>
  <c r="V61" i="1"/>
  <c r="V60" i="1" s="1"/>
  <c r="W61" i="1"/>
  <c r="W60" i="1" s="1"/>
  <c r="X61" i="1"/>
  <c r="X60" i="1" s="1"/>
  <c r="Y61" i="1"/>
  <c r="Y60" i="1" s="1"/>
  <c r="Z61" i="1"/>
  <c r="Z60" i="1" s="1"/>
  <c r="AA61" i="1"/>
  <c r="AA60" i="1" s="1"/>
  <c r="AB61" i="1"/>
  <c r="AB60" i="1" s="1"/>
  <c r="AC61" i="1"/>
  <c r="AC60" i="1" s="1"/>
  <c r="R66" i="1"/>
  <c r="R65" i="1" s="1"/>
  <c r="S66" i="1"/>
  <c r="S65" i="1" s="1"/>
  <c r="T66" i="1"/>
  <c r="T65" i="1" s="1"/>
  <c r="U66" i="1"/>
  <c r="U65" i="1" s="1"/>
  <c r="V66" i="1"/>
  <c r="V65" i="1" s="1"/>
  <c r="W66" i="1"/>
  <c r="W65" i="1" s="1"/>
  <c r="X66" i="1"/>
  <c r="X65" i="1" s="1"/>
  <c r="Y66" i="1"/>
  <c r="Y65" i="1" s="1"/>
  <c r="Z66" i="1"/>
  <c r="Z65" i="1" s="1"/>
  <c r="AA66" i="1"/>
  <c r="AA65" i="1" s="1"/>
  <c r="AB66" i="1"/>
  <c r="AB65" i="1" s="1"/>
  <c r="AC66" i="1"/>
  <c r="AC65" i="1" s="1"/>
  <c r="R70" i="1"/>
  <c r="S70" i="1"/>
  <c r="T70" i="1"/>
  <c r="U70" i="1"/>
  <c r="V70" i="1"/>
  <c r="W70" i="1"/>
  <c r="X70" i="1"/>
  <c r="Y70" i="1"/>
  <c r="Z70" i="1"/>
  <c r="AA70" i="1"/>
  <c r="AB70" i="1"/>
  <c r="AC70" i="1"/>
  <c r="R72" i="1"/>
  <c r="S72" i="1"/>
  <c r="T72" i="1"/>
  <c r="U72" i="1"/>
  <c r="V72" i="1"/>
  <c r="W72" i="1"/>
  <c r="X72" i="1"/>
  <c r="Y72" i="1"/>
  <c r="Z72" i="1"/>
  <c r="AA72" i="1"/>
  <c r="AB72" i="1"/>
  <c r="AC72" i="1"/>
  <c r="Q66" i="1"/>
  <c r="Q65" i="1" s="1"/>
  <c r="Q61" i="1"/>
  <c r="Q60" i="1" s="1"/>
  <c r="Q72" i="1"/>
  <c r="R45" i="1"/>
  <c r="R44" i="1" s="1"/>
  <c r="S45" i="1"/>
  <c r="S44" i="1" s="1"/>
  <c r="T45" i="1"/>
  <c r="T44" i="1" s="1"/>
  <c r="U45" i="1"/>
  <c r="U44" i="1" s="1"/>
  <c r="V45" i="1"/>
  <c r="V44" i="1" s="1"/>
  <c r="W45" i="1"/>
  <c r="W44" i="1" s="1"/>
  <c r="X45" i="1"/>
  <c r="X44" i="1" s="1"/>
  <c r="Y45" i="1"/>
  <c r="Y44" i="1" s="1"/>
  <c r="Z45" i="1"/>
  <c r="Z44" i="1" s="1"/>
  <c r="AB45" i="1"/>
  <c r="AB44" i="1" s="1"/>
  <c r="AC45" i="1"/>
  <c r="AC44" i="1" s="1"/>
  <c r="R38" i="1"/>
  <c r="R37" i="1" s="1"/>
  <c r="R36" i="1" s="1"/>
  <c r="R35" i="1" s="1"/>
  <c r="S38" i="1"/>
  <c r="S37" i="1" s="1"/>
  <c r="S36" i="1" s="1"/>
  <c r="S35" i="1" s="1"/>
  <c r="T38" i="1"/>
  <c r="T37" i="1" s="1"/>
  <c r="T36" i="1" s="1"/>
  <c r="T35" i="1" s="1"/>
  <c r="U38" i="1"/>
  <c r="U37" i="1" s="1"/>
  <c r="U36" i="1" s="1"/>
  <c r="U35" i="1" s="1"/>
  <c r="V38" i="1"/>
  <c r="V37" i="1" s="1"/>
  <c r="V36" i="1" s="1"/>
  <c r="V35" i="1" s="1"/>
  <c r="W38" i="1"/>
  <c r="W37" i="1" s="1"/>
  <c r="W36" i="1" s="1"/>
  <c r="W35" i="1" s="1"/>
  <c r="X38" i="1"/>
  <c r="X37" i="1" s="1"/>
  <c r="X36" i="1" s="1"/>
  <c r="X35" i="1" s="1"/>
  <c r="Y38" i="1"/>
  <c r="Y37" i="1" s="1"/>
  <c r="Y36" i="1" s="1"/>
  <c r="Y35" i="1" s="1"/>
  <c r="Z38" i="1"/>
  <c r="Z37" i="1" s="1"/>
  <c r="Z36" i="1" s="1"/>
  <c r="Z35" i="1" s="1"/>
  <c r="AB38" i="1"/>
  <c r="AB37" i="1" s="1"/>
  <c r="AB36" i="1" s="1"/>
  <c r="AB35" i="1" s="1"/>
  <c r="AC38" i="1"/>
  <c r="AC37" i="1" s="1"/>
  <c r="AC36" i="1" s="1"/>
  <c r="AC35" i="1" s="1"/>
  <c r="Q38" i="1"/>
  <c r="Q37" i="1" s="1"/>
  <c r="Q36" i="1" s="1"/>
  <c r="Q35" i="1" s="1"/>
  <c r="R23" i="1"/>
  <c r="S23" i="1"/>
  <c r="T23" i="1"/>
  <c r="U23" i="1"/>
  <c r="V23" i="1"/>
  <c r="W23" i="1"/>
  <c r="X23" i="1"/>
  <c r="Y23" i="1"/>
  <c r="Z23" i="1"/>
  <c r="AB23" i="1"/>
  <c r="AC23" i="1"/>
  <c r="AE23" i="1"/>
  <c r="AF23" i="1"/>
  <c r="Q23" i="1"/>
  <c r="R20" i="1"/>
  <c r="S20" i="1"/>
  <c r="T20" i="1"/>
  <c r="U20" i="1"/>
  <c r="V20" i="1"/>
  <c r="W20" i="1"/>
  <c r="X20" i="1"/>
  <c r="Y20" i="1"/>
  <c r="Z20" i="1"/>
  <c r="AA20" i="1"/>
  <c r="AB20" i="1"/>
  <c r="AC20" i="1"/>
  <c r="AE20" i="1"/>
  <c r="AF20" i="1"/>
  <c r="Q20" i="1"/>
  <c r="R10" i="1"/>
  <c r="S10" i="1"/>
  <c r="T10" i="1"/>
  <c r="U10" i="1"/>
  <c r="V10" i="1"/>
  <c r="W10" i="1"/>
  <c r="X10" i="1"/>
  <c r="Y10" i="1"/>
  <c r="Z10" i="1"/>
  <c r="AA10" i="1"/>
  <c r="AB10" i="1"/>
  <c r="AC10" i="1"/>
  <c r="AE10" i="1"/>
  <c r="AE9" i="1" s="1"/>
  <c r="AE8" i="1" s="1"/>
  <c r="AE7" i="1" s="1"/>
  <c r="AF10" i="1"/>
  <c r="Q10" i="1"/>
  <c r="AC19" i="1" l="1"/>
  <c r="AC18" i="1" s="1"/>
  <c r="AC17" i="1" s="1"/>
  <c r="AA402" i="1"/>
  <c r="AA401" i="1" s="1"/>
  <c r="S402" i="1"/>
  <c r="S401" i="1" s="1"/>
  <c r="Q420" i="1"/>
  <c r="Q419" i="1" s="1"/>
  <c r="V420" i="1"/>
  <c r="V419" i="1" s="1"/>
  <c r="R420" i="1"/>
  <c r="R419" i="1" s="1"/>
  <c r="Q98" i="1"/>
  <c r="AC420" i="1"/>
  <c r="AC419" i="1" s="1"/>
  <c r="Y420" i="1"/>
  <c r="Y419" i="1" s="1"/>
  <c r="Y98" i="1"/>
  <c r="AD286" i="1"/>
  <c r="U98" i="1"/>
  <c r="AB19" i="1"/>
  <c r="AB18" i="1" s="1"/>
  <c r="AB17" i="1" s="1"/>
  <c r="AB98" i="1"/>
  <c r="AA311" i="1"/>
  <c r="W311" i="1"/>
  <c r="S311" i="1"/>
  <c r="U233" i="1"/>
  <c r="U232" i="1" s="1"/>
  <c r="U231" i="1" s="1"/>
  <c r="AA420" i="1"/>
  <c r="AA419" i="1" s="1"/>
  <c r="W420" i="1"/>
  <c r="W419" i="1" s="1"/>
  <c r="AC402" i="1"/>
  <c r="AC401" i="1" s="1"/>
  <c r="AC440" i="1"/>
  <c r="AC439" i="1" s="1"/>
  <c r="AC438" i="1" s="1"/>
  <c r="AC98" i="1"/>
  <c r="Q166" i="1"/>
  <c r="Z440" i="1"/>
  <c r="Z439" i="1" s="1"/>
  <c r="Z438" i="1" s="1"/>
  <c r="R440" i="1"/>
  <c r="R439" i="1" s="1"/>
  <c r="R438" i="1" s="1"/>
  <c r="Z19" i="1"/>
  <c r="Z18" i="1" s="1"/>
  <c r="Z17" i="1" s="1"/>
  <c r="AA98" i="1"/>
  <c r="W98" i="1"/>
  <c r="S98" i="1"/>
  <c r="Q224" i="1"/>
  <c r="Q223" i="1" s="1"/>
  <c r="Z224" i="1"/>
  <c r="Z223" i="1" s="1"/>
  <c r="Z222" i="1" s="1"/>
  <c r="Y233" i="1"/>
  <c r="Y232" i="1" s="1"/>
  <c r="Y231" i="1" s="1"/>
  <c r="AC233" i="1"/>
  <c r="AC232" i="1" s="1"/>
  <c r="AC231" i="1" s="1"/>
  <c r="Y111" i="1"/>
  <c r="Q402" i="1"/>
  <c r="Q401" i="1" s="1"/>
  <c r="U402" i="1"/>
  <c r="U401" i="1" s="1"/>
  <c r="Y402" i="1"/>
  <c r="Y401" i="1" s="1"/>
  <c r="Y440" i="1"/>
  <c r="Y439" i="1" s="1"/>
  <c r="Y438" i="1" s="1"/>
  <c r="U440" i="1"/>
  <c r="U439" i="1" s="1"/>
  <c r="U438" i="1" s="1"/>
  <c r="Q451" i="1"/>
  <c r="Y19" i="1"/>
  <c r="Y18" i="1" s="1"/>
  <c r="Y17" i="1" s="1"/>
  <c r="U19" i="1"/>
  <c r="U18" i="1" s="1"/>
  <c r="U17" i="1" s="1"/>
  <c r="Z98" i="1"/>
  <c r="V98" i="1"/>
  <c r="R98" i="1"/>
  <c r="Q233" i="1"/>
  <c r="Q232" i="1" s="1"/>
  <c r="AB233" i="1"/>
  <c r="AB232" i="1" s="1"/>
  <c r="AB231" i="1" s="1"/>
  <c r="AD279" i="1"/>
  <c r="AD278" i="1" s="1"/>
  <c r="V440" i="1"/>
  <c r="V439" i="1" s="1"/>
  <c r="V438" i="1" s="1"/>
  <c r="Y88" i="1"/>
  <c r="AA111" i="1"/>
  <c r="W111" i="1"/>
  <c r="S111" i="1"/>
  <c r="W402" i="1"/>
  <c r="W401" i="1" s="1"/>
  <c r="X69" i="1"/>
  <c r="X59" i="1" s="1"/>
  <c r="X98" i="1"/>
  <c r="T98" i="1"/>
  <c r="U111" i="1"/>
  <c r="AC111" i="1"/>
  <c r="R69" i="1"/>
  <c r="R59" i="1" s="1"/>
  <c r="AC88" i="1"/>
  <c r="Q146" i="1"/>
  <c r="Q145" i="1" s="1"/>
  <c r="R224" i="1"/>
  <c r="R223" i="1" s="1"/>
  <c r="R222" i="1" s="1"/>
  <c r="S233" i="1"/>
  <c r="S232" i="1" s="1"/>
  <c r="S231" i="1" s="1"/>
  <c r="Z311" i="1"/>
  <c r="V19" i="1"/>
  <c r="V18" i="1" s="1"/>
  <c r="V17" i="1" s="1"/>
  <c r="AB88" i="1"/>
  <c r="AB87" i="1" s="1"/>
  <c r="R233" i="1"/>
  <c r="R232" i="1" s="1"/>
  <c r="R231" i="1" s="1"/>
  <c r="Y311" i="1"/>
  <c r="V111" i="1"/>
  <c r="T402" i="1"/>
  <c r="T401" i="1" s="1"/>
  <c r="AB69" i="1"/>
  <c r="AA88" i="1"/>
  <c r="X311" i="1"/>
  <c r="Q88" i="1"/>
  <c r="Z88" i="1"/>
  <c r="Z420" i="1"/>
  <c r="Z419" i="1" s="1"/>
  <c r="T111" i="1"/>
  <c r="V402" i="1"/>
  <c r="V401" i="1" s="1"/>
  <c r="X88" i="1"/>
  <c r="X87" i="1" s="1"/>
  <c r="Z233" i="1"/>
  <c r="Z232" i="1" s="1"/>
  <c r="Z231" i="1" s="1"/>
  <c r="U311" i="1"/>
  <c r="R111" i="1"/>
  <c r="X402" i="1"/>
  <c r="X401" i="1" s="1"/>
  <c r="Q440" i="1"/>
  <c r="Q439" i="1" s="1"/>
  <c r="R88" i="1"/>
  <c r="W88" i="1"/>
  <c r="U224" i="1"/>
  <c r="U223" i="1" s="1"/>
  <c r="U222" i="1" s="1"/>
  <c r="T311" i="1"/>
  <c r="S420" i="1"/>
  <c r="S419" i="1" s="1"/>
  <c r="S400" i="1" s="1"/>
  <c r="X233" i="1"/>
  <c r="X232" i="1" s="1"/>
  <c r="X231" i="1" s="1"/>
  <c r="AB111" i="1"/>
  <c r="Z402" i="1"/>
  <c r="Z401" i="1" s="1"/>
  <c r="V311" i="1"/>
  <c r="V69" i="1"/>
  <c r="V59" i="1" s="1"/>
  <c r="U88" i="1"/>
  <c r="R311" i="1"/>
  <c r="U420" i="1"/>
  <c r="U419" i="1" s="1"/>
  <c r="U400" i="1" s="1"/>
  <c r="T88" i="1"/>
  <c r="V233" i="1"/>
  <c r="V232" i="1" s="1"/>
  <c r="V231" i="1" s="1"/>
  <c r="AC311" i="1"/>
  <c r="Z111" i="1"/>
  <c r="AB402" i="1"/>
  <c r="AB401" i="1" s="1"/>
  <c r="T69" i="1"/>
  <c r="T59" i="1" s="1"/>
  <c r="S88" i="1"/>
  <c r="S87" i="1" s="1"/>
  <c r="AB311" i="1"/>
  <c r="Z69" i="1"/>
  <c r="Z59" i="1" s="1"/>
  <c r="V88" i="1"/>
  <c r="T233" i="1"/>
  <c r="T232" i="1" s="1"/>
  <c r="T231" i="1" s="1"/>
  <c r="X111" i="1"/>
  <c r="R402" i="1"/>
  <c r="R401" i="1" s="1"/>
  <c r="R400" i="1" s="1"/>
  <c r="AF9" i="1"/>
  <c r="AF8" i="1" s="1"/>
  <c r="AF7" i="1" s="1"/>
  <c r="S458" i="1"/>
  <c r="AB458" i="1"/>
  <c r="X458" i="1"/>
  <c r="T458" i="1"/>
  <c r="W458" i="1"/>
  <c r="Z458" i="1"/>
  <c r="V458" i="1"/>
  <c r="R458" i="1"/>
  <c r="AC458" i="1"/>
  <c r="Y458" i="1"/>
  <c r="U458" i="1"/>
  <c r="AA458" i="1"/>
  <c r="W451" i="1"/>
  <c r="Z451" i="1"/>
  <c r="AB451" i="1"/>
  <c r="T451" i="1"/>
  <c r="T450" i="1" s="1"/>
  <c r="AA451" i="1"/>
  <c r="R451" i="1"/>
  <c r="X451" i="1"/>
  <c r="S451" i="1"/>
  <c r="AC451" i="1"/>
  <c r="AC450" i="1" s="1"/>
  <c r="Y451" i="1"/>
  <c r="Y450" i="1" s="1"/>
  <c r="U451" i="1"/>
  <c r="U450" i="1" s="1"/>
  <c r="V451" i="1"/>
  <c r="W440" i="1"/>
  <c r="W439" i="1" s="1"/>
  <c r="W438" i="1" s="1"/>
  <c r="S440" i="1"/>
  <c r="S439" i="1" s="1"/>
  <c r="S438" i="1" s="1"/>
  <c r="X440" i="1"/>
  <c r="X439" i="1" s="1"/>
  <c r="X438" i="1" s="1"/>
  <c r="T440" i="1"/>
  <c r="T439" i="1" s="1"/>
  <c r="T438" i="1" s="1"/>
  <c r="AB420" i="1"/>
  <c r="AB419" i="1" s="1"/>
  <c r="X420" i="1"/>
  <c r="X419" i="1" s="1"/>
  <c r="T420" i="1"/>
  <c r="T419" i="1" s="1"/>
  <c r="AB224" i="1"/>
  <c r="AB223" i="1" s="1"/>
  <c r="AB222" i="1" s="1"/>
  <c r="X224" i="1"/>
  <c r="X223" i="1" s="1"/>
  <c r="X222" i="1" s="1"/>
  <c r="T224" i="1"/>
  <c r="T223" i="1" s="1"/>
  <c r="T222" i="1" s="1"/>
  <c r="AC146" i="1"/>
  <c r="AC145" i="1" s="1"/>
  <c r="Y146" i="1"/>
  <c r="Y145" i="1" s="1"/>
  <c r="U146" i="1"/>
  <c r="U145" i="1" s="1"/>
  <c r="AA146" i="1"/>
  <c r="AA145" i="1" s="1"/>
  <c r="W146" i="1"/>
  <c r="W145" i="1" s="1"/>
  <c r="S146" i="1"/>
  <c r="S145" i="1" s="1"/>
  <c r="Z146" i="1"/>
  <c r="Z145" i="1" s="1"/>
  <c r="V146" i="1"/>
  <c r="V145" i="1" s="1"/>
  <c r="R146" i="1"/>
  <c r="R145" i="1" s="1"/>
  <c r="X146" i="1"/>
  <c r="X145" i="1" s="1"/>
  <c r="T146" i="1"/>
  <c r="T145" i="1" s="1"/>
  <c r="Q19" i="1"/>
  <c r="Q18" i="1" s="1"/>
  <c r="AB59" i="1"/>
  <c r="AF19" i="1"/>
  <c r="X19" i="1"/>
  <c r="X18" i="1" s="1"/>
  <c r="X17" i="1" s="1"/>
  <c r="T19" i="1"/>
  <c r="T18" i="1" s="1"/>
  <c r="T17" i="1" s="1"/>
  <c r="AA69" i="1"/>
  <c r="AA59" i="1" s="1"/>
  <c r="W69" i="1"/>
  <c r="W59" i="1" s="1"/>
  <c r="S69" i="1"/>
  <c r="S59" i="1" s="1"/>
  <c r="R19" i="1"/>
  <c r="R18" i="1" s="1"/>
  <c r="R17" i="1" s="1"/>
  <c r="AC69" i="1"/>
  <c r="AC59" i="1" s="1"/>
  <c r="Y69" i="1"/>
  <c r="Y59" i="1" s="1"/>
  <c r="U69" i="1"/>
  <c r="U59" i="1" s="1"/>
  <c r="AE19" i="1"/>
  <c r="AE18" i="1" s="1"/>
  <c r="AE17" i="1" s="1"/>
  <c r="W19" i="1"/>
  <c r="W18" i="1" s="1"/>
  <c r="W17" i="1" s="1"/>
  <c r="S19" i="1"/>
  <c r="S18" i="1" s="1"/>
  <c r="S17" i="1" s="1"/>
  <c r="V400" i="1" l="1"/>
  <c r="W87" i="1"/>
  <c r="U87" i="1"/>
  <c r="Y87" i="1"/>
  <c r="Z450" i="1"/>
  <c r="AA400" i="1"/>
  <c r="W450" i="1"/>
  <c r="V87" i="1"/>
  <c r="AA87" i="1"/>
  <c r="W400" i="1"/>
  <c r="Q87" i="1"/>
  <c r="V450" i="1"/>
  <c r="Z87" i="1"/>
  <c r="Y400" i="1"/>
  <c r="S450" i="1"/>
  <c r="T87" i="1"/>
  <c r="AC87" i="1"/>
  <c r="R450" i="1"/>
  <c r="T400" i="1"/>
  <c r="X400" i="1"/>
  <c r="AF18" i="1"/>
  <c r="AF17" i="1" s="1"/>
  <c r="AA450" i="1"/>
  <c r="Z400" i="1"/>
  <c r="X450" i="1"/>
  <c r="AB450" i="1"/>
  <c r="Q165" i="1"/>
  <c r="AD185" i="1"/>
  <c r="AA444" i="1" l="1"/>
  <c r="AA441" i="1" s="1"/>
  <c r="AA440" i="1" s="1"/>
  <c r="AA439" i="1" s="1"/>
  <c r="AA438" i="1" s="1"/>
  <c r="F59" i="6" l="1"/>
  <c r="F58" i="6" s="1"/>
  <c r="F57" i="6"/>
  <c r="F56" i="6"/>
  <c r="F55" i="6"/>
  <c r="F54" i="6" l="1"/>
  <c r="U346" i="1"/>
  <c r="U335" i="1" s="1"/>
  <c r="AA206" i="1"/>
  <c r="AA208" i="1"/>
  <c r="AA207" i="1"/>
  <c r="AA205" i="1"/>
  <c r="AA204" i="1" l="1"/>
  <c r="AA39" i="1" l="1"/>
  <c r="AA38" i="1" s="1"/>
  <c r="AA37" i="1" s="1"/>
  <c r="AA36" i="1" s="1"/>
  <c r="AA35" i="1" s="1"/>
  <c r="AA269" i="1"/>
  <c r="AA26" i="1"/>
  <c r="G177" i="6"/>
  <c r="F177" i="6"/>
  <c r="F161" i="6"/>
  <c r="F160" i="6"/>
  <c r="AC388" i="1"/>
  <c r="J154" i="6" s="1"/>
  <c r="AA388" i="1"/>
  <c r="I154" i="6" s="1"/>
  <c r="V388" i="1"/>
  <c r="H154" i="6" s="1"/>
  <c r="U388" i="1"/>
  <c r="F154" i="6" s="1"/>
  <c r="AD314" i="1"/>
  <c r="AD313" i="1" s="1"/>
  <c r="AD312" i="1" s="1"/>
  <c r="G131" i="6"/>
  <c r="G130" i="6" s="1"/>
  <c r="I121" i="6"/>
  <c r="H121" i="6"/>
  <c r="AA186" i="1"/>
  <c r="F97" i="6" s="1"/>
  <c r="F93" i="6"/>
  <c r="G78" i="6"/>
  <c r="F87" i="6"/>
  <c r="F86" i="6" s="1"/>
  <c r="Q54" i="1"/>
  <c r="AA141" i="1"/>
  <c r="AB141" i="1"/>
  <c r="G64" i="6"/>
  <c r="G63" i="6" s="1"/>
  <c r="AD124" i="1"/>
  <c r="AD127" i="1"/>
  <c r="AD126" i="1"/>
  <c r="AD125" i="1"/>
  <c r="AD119" i="1"/>
  <c r="AD118" i="1"/>
  <c r="AD117" i="1"/>
  <c r="AD114" i="1"/>
  <c r="AD110" i="1"/>
  <c r="AD68" i="1"/>
  <c r="AD21" i="1"/>
  <c r="AD15" i="1"/>
  <c r="AD14" i="1" s="1"/>
  <c r="AD13" i="1"/>
  <c r="AD12" i="1"/>
  <c r="AD11" i="1"/>
  <c r="I177" i="6" l="1"/>
  <c r="AD122" i="1"/>
  <c r="AD121" i="1" s="1"/>
  <c r="AD120" i="1" s="1"/>
  <c r="AD10" i="1"/>
  <c r="AD9" i="1" s="1"/>
  <c r="AD116" i="1"/>
  <c r="AD115" i="1" s="1"/>
  <c r="AD113" i="1"/>
  <c r="AD112" i="1" s="1"/>
  <c r="AA234" i="1"/>
  <c r="AA233" i="1" s="1"/>
  <c r="AA232" i="1" s="1"/>
  <c r="AA231" i="1" s="1"/>
  <c r="H79" i="6"/>
  <c r="AB131" i="1"/>
  <c r="AB130" i="1" s="1"/>
  <c r="AB129" i="1" s="1"/>
  <c r="G79" i="6"/>
  <c r="G77" i="6" s="1"/>
  <c r="G76" i="6" s="1"/>
  <c r="G75" i="6" s="1"/>
  <c r="AA131" i="1"/>
  <c r="AA130" i="1" s="1"/>
  <c r="AA129" i="1" s="1"/>
  <c r="F159" i="6"/>
  <c r="F158" i="6" s="1"/>
  <c r="F35" i="6"/>
  <c r="F34" i="6" s="1"/>
  <c r="Q53" i="1"/>
  <c r="F176" i="6"/>
  <c r="AA382" i="1"/>
  <c r="F175" i="6" l="1"/>
  <c r="F174" i="6" s="1"/>
  <c r="F173" i="6" s="1"/>
  <c r="F66" i="5"/>
  <c r="AD111" i="1"/>
  <c r="F69" i="5"/>
  <c r="G68" i="5" s="1"/>
  <c r="H67" i="5" s="1"/>
  <c r="W234" i="1"/>
  <c r="W233" i="1" s="1"/>
  <c r="W232" i="1" s="1"/>
  <c r="W231" i="1" s="1"/>
  <c r="J121" i="6"/>
  <c r="F64" i="5"/>
  <c r="G63" i="5" s="1"/>
  <c r="AD8" i="1"/>
  <c r="AD7" i="1" s="1"/>
  <c r="D4" i="7" s="1"/>
  <c r="H78" i="6"/>
  <c r="H77" i="6" s="1"/>
  <c r="H76" i="6" s="1"/>
  <c r="H75" i="6" s="1"/>
  <c r="AC141" i="1"/>
  <c r="AC131" i="1" s="1"/>
  <c r="AC130" i="1" s="1"/>
  <c r="AC129" i="1" s="1"/>
  <c r="AE148" i="1"/>
  <c r="Q58" i="1"/>
  <c r="G65" i="5" l="1"/>
  <c r="D44" i="9"/>
  <c r="H62" i="5"/>
  <c r="G121" i="6"/>
  <c r="AD468" i="1"/>
  <c r="AD469" i="1"/>
  <c r="AD470" i="1"/>
  <c r="G189" i="6"/>
  <c r="G188" i="6" s="1"/>
  <c r="G184" i="6"/>
  <c r="G183" i="6"/>
  <c r="F189" i="6"/>
  <c r="F188" i="6" s="1"/>
  <c r="G182" i="6" l="1"/>
  <c r="G181" i="6" s="1"/>
  <c r="H189" i="6"/>
  <c r="H188" i="6" s="1"/>
  <c r="Q134" i="1" l="1"/>
  <c r="Q132" i="1" s="1"/>
  <c r="F78" i="6" l="1"/>
  <c r="I78" i="6" s="1"/>
  <c r="AD215" i="1"/>
  <c r="AD216" i="1"/>
  <c r="AE204" i="1"/>
  <c r="AF204" i="1"/>
  <c r="AD205" i="1"/>
  <c r="AD137" i="1"/>
  <c r="AD67" i="1"/>
  <c r="AD66" i="1" s="1"/>
  <c r="AD65" i="1" s="1"/>
  <c r="AD396" i="1" l="1"/>
  <c r="AD397" i="1"/>
  <c r="AD398" i="1"/>
  <c r="AD261" i="1" l="1"/>
  <c r="AD262" i="1"/>
  <c r="AD263" i="1"/>
  <c r="AD264" i="1"/>
  <c r="AD265" i="1"/>
  <c r="AD266" i="1"/>
  <c r="AD267" i="1"/>
  <c r="AD268" i="1"/>
  <c r="AE429" i="1"/>
  <c r="AF429" i="1"/>
  <c r="AD431" i="1"/>
  <c r="AD432" i="1"/>
  <c r="AD433" i="1"/>
  <c r="AD434" i="1"/>
  <c r="AD435" i="1"/>
  <c r="AE413" i="1"/>
  <c r="AF413" i="1"/>
  <c r="AD415" i="1"/>
  <c r="AD416" i="1"/>
  <c r="AD417" i="1"/>
  <c r="AD418" i="1"/>
  <c r="AE403" i="1"/>
  <c r="AF403" i="1"/>
  <c r="AD405" i="1"/>
  <c r="AD406" i="1"/>
  <c r="AD407" i="1"/>
  <c r="AD408" i="1"/>
  <c r="AD409" i="1"/>
  <c r="AD410" i="1"/>
  <c r="AD411" i="1"/>
  <c r="AD412" i="1"/>
  <c r="AA28" i="1" l="1"/>
  <c r="AA29" i="1"/>
  <c r="AA32" i="1"/>
  <c r="AA27" i="1"/>
  <c r="AA24" i="1"/>
  <c r="AA23" i="1" l="1"/>
  <c r="AA19" i="1" s="1"/>
  <c r="AA18" i="1" s="1"/>
  <c r="AA17" i="1" s="1"/>
  <c r="AD133" i="1"/>
  <c r="H45" i="6"/>
  <c r="AE72" i="1"/>
  <c r="AE59" i="1" s="1"/>
  <c r="AF72" i="1"/>
  <c r="AD78" i="1"/>
  <c r="AD395" i="1" l="1"/>
  <c r="AC340" i="1" l="1"/>
  <c r="AC335" i="1" s="1"/>
  <c r="R109" i="1"/>
  <c r="R108" i="1" s="1"/>
  <c r="R107" i="1" s="1"/>
  <c r="R87" i="1" s="1"/>
  <c r="R86" i="1" s="1"/>
  <c r="AB441" i="1" l="1"/>
  <c r="AB440" i="1" s="1"/>
  <c r="AB439" i="1" s="1"/>
  <c r="AB438" i="1" s="1"/>
  <c r="G45" i="6"/>
  <c r="AD143" i="1"/>
  <c r="G176" i="6" l="1"/>
  <c r="G175" i="6" l="1"/>
  <c r="G174" i="6" s="1"/>
  <c r="I176" i="6"/>
  <c r="G173" i="6"/>
  <c r="Q310" i="1"/>
  <c r="Q305" i="1" l="1"/>
  <c r="Q285" i="1" s="1"/>
  <c r="Q277" i="1" s="1"/>
  <c r="I175" i="6"/>
  <c r="I174" i="6" s="1"/>
  <c r="I173" i="6" s="1"/>
  <c r="AD246" i="1"/>
  <c r="AD247" i="1"/>
  <c r="AD244" i="1"/>
  <c r="AD243" i="1"/>
  <c r="AD254" i="1"/>
  <c r="AD255" i="1"/>
  <c r="AD256" i="1"/>
  <c r="AD252" i="1"/>
  <c r="AD253" i="1"/>
  <c r="AD274" i="1"/>
  <c r="AD273" i="1" s="1"/>
  <c r="AD272" i="1" s="1"/>
  <c r="AD271" i="1" s="1"/>
  <c r="AD258" i="1"/>
  <c r="AD259" i="1"/>
  <c r="AD260" i="1"/>
  <c r="AB156" i="1"/>
  <c r="AB148" i="1" l="1"/>
  <c r="AB147" i="1" s="1"/>
  <c r="AB146" i="1" s="1"/>
  <c r="AB145" i="1" s="1"/>
  <c r="F137" i="6"/>
  <c r="I125" i="6"/>
  <c r="I124" i="6" s="1"/>
  <c r="I123" i="6" s="1"/>
  <c r="H125" i="6"/>
  <c r="H124" i="6" s="1"/>
  <c r="H123" i="6" s="1"/>
  <c r="F125" i="6"/>
  <c r="F124" i="6" s="1"/>
  <c r="F123" i="6" s="1"/>
  <c r="J125" i="6"/>
  <c r="J124" i="6" s="1"/>
  <c r="J123" i="6" s="1"/>
  <c r="G125" i="6"/>
  <c r="G124" i="6" s="1"/>
  <c r="G123" i="6" s="1"/>
  <c r="F117" i="5"/>
  <c r="G116" i="5" s="1"/>
  <c r="H115" i="5" s="1"/>
  <c r="G85" i="6" l="1"/>
  <c r="G84" i="6" s="1"/>
  <c r="K125" i="6"/>
  <c r="K124" i="6" s="1"/>
  <c r="K123" i="6" s="1"/>
  <c r="F164" i="6"/>
  <c r="F165" i="6"/>
  <c r="F163" i="6" l="1"/>
  <c r="F162" i="6" s="1"/>
  <c r="F168" i="6"/>
  <c r="F167" i="6" s="1"/>
  <c r="F166" i="6" s="1"/>
  <c r="AA297" i="1"/>
  <c r="AA305" i="1"/>
  <c r="G137" i="6" s="1"/>
  <c r="H137" i="6" s="1"/>
  <c r="G145" i="6"/>
  <c r="F108" i="6"/>
  <c r="AA213" i="1"/>
  <c r="F107" i="6" s="1"/>
  <c r="AA211" i="1"/>
  <c r="F105" i="6"/>
  <c r="F104" i="6"/>
  <c r="AA191" i="1"/>
  <c r="F99" i="6" s="1"/>
  <c r="AA181" i="1"/>
  <c r="F95" i="6" s="1"/>
  <c r="G144" i="6" l="1"/>
  <c r="G143" i="6" s="1"/>
  <c r="F106" i="6"/>
  <c r="F103" i="6" s="1"/>
  <c r="F102" i="6" s="1"/>
  <c r="AA200" i="1"/>
  <c r="AA199" i="1" s="1"/>
  <c r="G136" i="6"/>
  <c r="G134" i="6" s="1"/>
  <c r="AA285" i="1"/>
  <c r="F157" i="6"/>
  <c r="F17" i="5"/>
  <c r="F17" i="6"/>
  <c r="F16" i="5"/>
  <c r="F16" i="6"/>
  <c r="AD257" i="1"/>
  <c r="AE234" i="1" s="1"/>
  <c r="AE232" i="1" s="1"/>
  <c r="AA277" i="1" l="1"/>
  <c r="AA276" i="1" s="1"/>
  <c r="G15" i="5"/>
  <c r="H14" i="5" s="1"/>
  <c r="I13" i="5" s="1"/>
  <c r="F15" i="6"/>
  <c r="AD245" i="1"/>
  <c r="AD251" i="1"/>
  <c r="AD250" i="1"/>
  <c r="AD220" i="1"/>
  <c r="AD218" i="1"/>
  <c r="AD214" i="1"/>
  <c r="AD203" i="1"/>
  <c r="F14" i="6" l="1"/>
  <c r="F13" i="6" s="1"/>
  <c r="AD135" i="1"/>
  <c r="AD22" i="1"/>
  <c r="AD20" i="1" s="1"/>
  <c r="AD479" i="1"/>
  <c r="AD478" i="1"/>
  <c r="AD477" i="1"/>
  <c r="AD476" i="1"/>
  <c r="AD467" i="1"/>
  <c r="AD466" i="1"/>
  <c r="AD465" i="1"/>
  <c r="AD464" i="1"/>
  <c r="AD461" i="1"/>
  <c r="AD460" i="1" s="1"/>
  <c r="AD459" i="1" s="1"/>
  <c r="G187" i="6"/>
  <c r="G186" i="6" s="1"/>
  <c r="G185" i="6" s="1"/>
  <c r="G180" i="6" s="1"/>
  <c r="Q460" i="1"/>
  <c r="Q459" i="1" s="1"/>
  <c r="Q458" i="1" s="1"/>
  <c r="F184" i="6"/>
  <c r="H184" i="6" s="1"/>
  <c r="AD454" i="1"/>
  <c r="AD453" i="1" s="1"/>
  <c r="AD452" i="1" s="1"/>
  <c r="AD448" i="1"/>
  <c r="AD447" i="1"/>
  <c r="AD445" i="1"/>
  <c r="AD444" i="1"/>
  <c r="AD443" i="1"/>
  <c r="AD442" i="1"/>
  <c r="AD430" i="1"/>
  <c r="AD426" i="1"/>
  <c r="AD424" i="1"/>
  <c r="AD423" i="1"/>
  <c r="AD422" i="1"/>
  <c r="AD414" i="1"/>
  <c r="AD404" i="1"/>
  <c r="AD392" i="1"/>
  <c r="AD391" i="1"/>
  <c r="AD389" i="1"/>
  <c r="AB388" i="1"/>
  <c r="Z388" i="1"/>
  <c r="Y388" i="1"/>
  <c r="X388" i="1"/>
  <c r="W388" i="1"/>
  <c r="T388" i="1"/>
  <c r="G154" i="6" s="1"/>
  <c r="S388" i="1"/>
  <c r="R388" i="1"/>
  <c r="Q388" i="1"/>
  <c r="AD386" i="1"/>
  <c r="AD385" i="1"/>
  <c r="AD384" i="1"/>
  <c r="AD383" i="1"/>
  <c r="AD382" i="1"/>
  <c r="AD381" i="1"/>
  <c r="AD380" i="1"/>
  <c r="AD379" i="1"/>
  <c r="AA377" i="1"/>
  <c r="AD376" i="1"/>
  <c r="AD375" i="1"/>
  <c r="AD374" i="1"/>
  <c r="AD373" i="1"/>
  <c r="AD372" i="1"/>
  <c r="AD371" i="1"/>
  <c r="AD370" i="1"/>
  <c r="AD369" i="1"/>
  <c r="AD368" i="1"/>
  <c r="AD367" i="1"/>
  <c r="AD366" i="1"/>
  <c r="AD365" i="1"/>
  <c r="AD364" i="1"/>
  <c r="AD363" i="1"/>
  <c r="AD362" i="1"/>
  <c r="AD361" i="1"/>
  <c r="AD360" i="1"/>
  <c r="AD359" i="1"/>
  <c r="AB358" i="1"/>
  <c r="AB334" i="1" s="1"/>
  <c r="AB333" i="1" s="1"/>
  <c r="AB332" i="1" s="1"/>
  <c r="Z358" i="1"/>
  <c r="Z334" i="1" s="1"/>
  <c r="Z333" i="1" s="1"/>
  <c r="Z332" i="1" s="1"/>
  <c r="Y358" i="1"/>
  <c r="Y334" i="1" s="1"/>
  <c r="Y333" i="1" s="1"/>
  <c r="Y332" i="1" s="1"/>
  <c r="X358" i="1"/>
  <c r="W358" i="1"/>
  <c r="W334" i="1" s="1"/>
  <c r="W333" i="1" s="1"/>
  <c r="W332" i="1" s="1"/>
  <c r="V358" i="1"/>
  <c r="T358" i="1"/>
  <c r="G153" i="6" s="1"/>
  <c r="S358" i="1"/>
  <c r="R358" i="1"/>
  <c r="Q358" i="1"/>
  <c r="AD357" i="1"/>
  <c r="AD356" i="1"/>
  <c r="AD355" i="1"/>
  <c r="AD354" i="1"/>
  <c r="AD353" i="1"/>
  <c r="AD352" i="1"/>
  <c r="AD351" i="1"/>
  <c r="AD350" i="1"/>
  <c r="AD349" i="1"/>
  <c r="F152" i="6"/>
  <c r="AD348" i="1"/>
  <c r="AD347" i="1"/>
  <c r="AA346" i="1"/>
  <c r="AD346" i="1" s="1"/>
  <c r="AD345" i="1"/>
  <c r="AD344" i="1"/>
  <c r="AD343" i="1"/>
  <c r="AD342" i="1"/>
  <c r="AD341" i="1"/>
  <c r="AD340" i="1"/>
  <c r="AD339" i="1"/>
  <c r="AD338" i="1"/>
  <c r="AA336" i="1"/>
  <c r="J152" i="6"/>
  <c r="Q335" i="1"/>
  <c r="AD321" i="1"/>
  <c r="Q320" i="1"/>
  <c r="Q319" i="1" s="1"/>
  <c r="Q318" i="1" s="1"/>
  <c r="AD317" i="1"/>
  <c r="G142" i="6"/>
  <c r="G141" i="6" s="1"/>
  <c r="Q316" i="1"/>
  <c r="G140" i="6"/>
  <c r="G139" i="6" s="1"/>
  <c r="Q313" i="1"/>
  <c r="AD310" i="1"/>
  <c r="AD309" i="1"/>
  <c r="AD308" i="1"/>
  <c r="AD307" i="1"/>
  <c r="AD306" i="1"/>
  <c r="AC305" i="1"/>
  <c r="AB305" i="1"/>
  <c r="Z305" i="1"/>
  <c r="Y305" i="1"/>
  <c r="X305" i="1"/>
  <c r="W305" i="1"/>
  <c r="V305" i="1"/>
  <c r="U305" i="1"/>
  <c r="T305" i="1"/>
  <c r="S305" i="1"/>
  <c r="R305" i="1"/>
  <c r="AD304" i="1"/>
  <c r="AD303" i="1"/>
  <c r="AD302" i="1"/>
  <c r="AD301" i="1"/>
  <c r="AD300" i="1"/>
  <c r="AD299" i="1"/>
  <c r="AD298" i="1"/>
  <c r="AC297" i="1"/>
  <c r="AB297" i="1"/>
  <c r="Z297" i="1"/>
  <c r="Y297" i="1"/>
  <c r="X297" i="1"/>
  <c r="W297" i="1"/>
  <c r="V297" i="1"/>
  <c r="U297" i="1"/>
  <c r="T297" i="1"/>
  <c r="S297" i="1"/>
  <c r="R297" i="1"/>
  <c r="F136" i="6"/>
  <c r="H136" i="6" s="1"/>
  <c r="G133" i="6"/>
  <c r="G132" i="6" s="1"/>
  <c r="G129" i="6" s="1"/>
  <c r="F133" i="6"/>
  <c r="F132" i="6" s="1"/>
  <c r="AD270" i="1"/>
  <c r="AD269" i="1" s="1"/>
  <c r="I122" i="6"/>
  <c r="AD242" i="1"/>
  <c r="F121" i="6"/>
  <c r="AD229" i="1"/>
  <c r="F115" i="6"/>
  <c r="AD227" i="1"/>
  <c r="AD226" i="1"/>
  <c r="F114" i="6"/>
  <c r="AD219" i="1"/>
  <c r="AD213" i="1"/>
  <c r="F101" i="5" s="1"/>
  <c r="AC213" i="1"/>
  <c r="AB213" i="1"/>
  <c r="Z213" i="1"/>
  <c r="Y213" i="1"/>
  <c r="X213" i="1"/>
  <c r="W213" i="1"/>
  <c r="V213" i="1"/>
  <c r="U213" i="1"/>
  <c r="T213" i="1"/>
  <c r="S213" i="1"/>
  <c r="R213" i="1"/>
  <c r="AD212" i="1"/>
  <c r="AD211" i="1" s="1"/>
  <c r="F100" i="5" s="1"/>
  <c r="D39" i="9" s="1"/>
  <c r="AC211" i="1"/>
  <c r="AC200" i="1" s="1"/>
  <c r="AC199" i="1" s="1"/>
  <c r="AB211" i="1"/>
  <c r="AB200" i="1" s="1"/>
  <c r="AB199" i="1" s="1"/>
  <c r="Z211" i="1"/>
  <c r="Z200" i="1" s="1"/>
  <c r="Z199" i="1" s="1"/>
  <c r="Y211" i="1"/>
  <c r="Y200" i="1" s="1"/>
  <c r="Y199" i="1" s="1"/>
  <c r="X211" i="1"/>
  <c r="X200" i="1" s="1"/>
  <c r="X199" i="1" s="1"/>
  <c r="W211" i="1"/>
  <c r="W200" i="1" s="1"/>
  <c r="W199" i="1" s="1"/>
  <c r="V211" i="1"/>
  <c r="V200" i="1" s="1"/>
  <c r="V199" i="1" s="1"/>
  <c r="U211" i="1"/>
  <c r="T211" i="1"/>
  <c r="S211" i="1"/>
  <c r="S200" i="1" s="1"/>
  <c r="S199" i="1" s="1"/>
  <c r="R211" i="1"/>
  <c r="R200" i="1" s="1"/>
  <c r="R199" i="1" s="1"/>
  <c r="Q211" i="1"/>
  <c r="Q200" i="1" s="1"/>
  <c r="Q199" i="1" s="1"/>
  <c r="Q164" i="1" s="1"/>
  <c r="AD210" i="1"/>
  <c r="AD209" i="1"/>
  <c r="AD206" i="1"/>
  <c r="AD208" i="1"/>
  <c r="AD202" i="1"/>
  <c r="AD198" i="1"/>
  <c r="AD197" i="1"/>
  <c r="F101" i="6"/>
  <c r="F100" i="6" s="1"/>
  <c r="AD194" i="1"/>
  <c r="AD193" i="1"/>
  <c r="AD192" i="1"/>
  <c r="AC191" i="1"/>
  <c r="AB191" i="1"/>
  <c r="Z191" i="1"/>
  <c r="Y191" i="1"/>
  <c r="X191" i="1"/>
  <c r="W191" i="1"/>
  <c r="V191" i="1"/>
  <c r="U191" i="1"/>
  <c r="T191" i="1"/>
  <c r="S191" i="1"/>
  <c r="R191" i="1"/>
  <c r="AD190" i="1"/>
  <c r="AD189" i="1"/>
  <c r="AC188" i="1"/>
  <c r="AB188" i="1"/>
  <c r="AA188" i="1"/>
  <c r="F98" i="6" s="1"/>
  <c r="Z188" i="1"/>
  <c r="Y188" i="1"/>
  <c r="X188" i="1"/>
  <c r="W188" i="1"/>
  <c r="V188" i="1"/>
  <c r="U188" i="1"/>
  <c r="T188" i="1"/>
  <c r="S188" i="1"/>
  <c r="R188" i="1"/>
  <c r="AD187" i="1"/>
  <c r="AD186" i="1" s="1"/>
  <c r="F91" i="5" s="1"/>
  <c r="D27" i="9" s="1"/>
  <c r="AC186" i="1"/>
  <c r="AB186" i="1"/>
  <c r="Z186" i="1"/>
  <c r="Y186" i="1"/>
  <c r="X186" i="1"/>
  <c r="W186" i="1"/>
  <c r="V186" i="1"/>
  <c r="U186" i="1"/>
  <c r="T186" i="1"/>
  <c r="S186" i="1"/>
  <c r="R186" i="1"/>
  <c r="AD184" i="1"/>
  <c r="F90" i="5" s="1"/>
  <c r="D26" i="9" s="1"/>
  <c r="AC184" i="1"/>
  <c r="AB184" i="1"/>
  <c r="AA184" i="1"/>
  <c r="F96" i="6" s="1"/>
  <c r="Z184" i="1"/>
  <c r="Y184" i="1"/>
  <c r="X184" i="1"/>
  <c r="W184" i="1"/>
  <c r="V184" i="1"/>
  <c r="U184" i="1"/>
  <c r="T184" i="1"/>
  <c r="S184" i="1"/>
  <c r="R184" i="1"/>
  <c r="AD183" i="1"/>
  <c r="AD182" i="1"/>
  <c r="AC181" i="1"/>
  <c r="AB181" i="1"/>
  <c r="Z181" i="1"/>
  <c r="Y181" i="1"/>
  <c r="X181" i="1"/>
  <c r="W181" i="1"/>
  <c r="V181" i="1"/>
  <c r="U181" i="1"/>
  <c r="T181" i="1"/>
  <c r="S181" i="1"/>
  <c r="R181" i="1"/>
  <c r="AD180" i="1"/>
  <c r="AD179" i="1" s="1"/>
  <c r="F88" i="5" s="1"/>
  <c r="AC179" i="1"/>
  <c r="AB179" i="1"/>
  <c r="AA179" i="1"/>
  <c r="Z179" i="1"/>
  <c r="Y179" i="1"/>
  <c r="X179" i="1"/>
  <c r="W179" i="1"/>
  <c r="V179" i="1"/>
  <c r="U179" i="1"/>
  <c r="T179" i="1"/>
  <c r="S179" i="1"/>
  <c r="R179" i="1"/>
  <c r="AD178" i="1"/>
  <c r="AD173" i="1"/>
  <c r="AD172" i="1"/>
  <c r="AD177" i="1"/>
  <c r="AD176" i="1"/>
  <c r="AD175" i="1"/>
  <c r="AD174" i="1"/>
  <c r="AD171" i="1"/>
  <c r="AD170" i="1"/>
  <c r="AD169" i="1"/>
  <c r="AD168" i="1"/>
  <c r="AD162" i="1"/>
  <c r="AD161" i="1"/>
  <c r="AD160" i="1"/>
  <c r="G87" i="6"/>
  <c r="G86" i="6" s="1"/>
  <c r="G83" i="6" s="1"/>
  <c r="G82" i="6" s="1"/>
  <c r="AD154" i="1"/>
  <c r="AD155" i="1"/>
  <c r="AD153" i="1"/>
  <c r="AD152" i="1"/>
  <c r="AD151" i="1"/>
  <c r="AD150" i="1"/>
  <c r="AD149" i="1"/>
  <c r="AD142" i="1"/>
  <c r="AD141" i="1" s="1"/>
  <c r="F75" i="5" s="1"/>
  <c r="D15" i="9" s="1"/>
  <c r="Z141" i="1"/>
  <c r="Z131" i="1" s="1"/>
  <c r="Z130" i="1" s="1"/>
  <c r="Z129" i="1" s="1"/>
  <c r="Y141" i="1"/>
  <c r="Y131" i="1" s="1"/>
  <c r="Y130" i="1" s="1"/>
  <c r="Y129" i="1" s="1"/>
  <c r="X141" i="1"/>
  <c r="X131" i="1" s="1"/>
  <c r="X130" i="1" s="1"/>
  <c r="X129" i="1" s="1"/>
  <c r="W141" i="1"/>
  <c r="W131" i="1" s="1"/>
  <c r="W130" i="1" s="1"/>
  <c r="W129" i="1" s="1"/>
  <c r="V141" i="1"/>
  <c r="V131" i="1" s="1"/>
  <c r="V130" i="1" s="1"/>
  <c r="V129" i="1" s="1"/>
  <c r="U141" i="1"/>
  <c r="U131" i="1" s="1"/>
  <c r="U130" i="1" s="1"/>
  <c r="U129" i="1" s="1"/>
  <c r="T141" i="1"/>
  <c r="T131" i="1" s="1"/>
  <c r="T130" i="1" s="1"/>
  <c r="T129" i="1" s="1"/>
  <c r="S141" i="1"/>
  <c r="S131" i="1" s="1"/>
  <c r="S130" i="1" s="1"/>
  <c r="S129" i="1" s="1"/>
  <c r="R141" i="1"/>
  <c r="R131" i="1" s="1"/>
  <c r="R130" i="1" s="1"/>
  <c r="R129" i="1" s="1"/>
  <c r="Q141" i="1"/>
  <c r="Q131" i="1" s="1"/>
  <c r="Q130" i="1" s="1"/>
  <c r="Q129" i="1" s="1"/>
  <c r="AD140" i="1"/>
  <c r="AD138" i="1"/>
  <c r="AD134" i="1"/>
  <c r="G69" i="6"/>
  <c r="G68" i="6" s="1"/>
  <c r="F69" i="6"/>
  <c r="F68" i="6" s="1"/>
  <c r="G67" i="6"/>
  <c r="G66" i="6" s="1"/>
  <c r="F67" i="6"/>
  <c r="F66" i="6" s="1"/>
  <c r="Q113" i="1"/>
  <c r="Q112" i="1" s="1"/>
  <c r="Q111" i="1" s="1"/>
  <c r="AD109" i="1"/>
  <c r="AD108" i="1" s="1"/>
  <c r="AD107" i="1" s="1"/>
  <c r="F64" i="6"/>
  <c r="AD106" i="1"/>
  <c r="G62" i="6"/>
  <c r="F62" i="6"/>
  <c r="AD104" i="1"/>
  <c r="AD103" i="1"/>
  <c r="AD102" i="1"/>
  <c r="AD101" i="1"/>
  <c r="AD100" i="1"/>
  <c r="G61" i="6"/>
  <c r="F61" i="6"/>
  <c r="AD97" i="1"/>
  <c r="G59" i="6"/>
  <c r="AD94" i="1"/>
  <c r="G56" i="6"/>
  <c r="H56" i="6" s="1"/>
  <c r="AD90" i="1"/>
  <c r="AD89" i="1" s="1"/>
  <c r="G55" i="6"/>
  <c r="AD84" i="1"/>
  <c r="AD83" i="1" s="1"/>
  <c r="F47" i="5" s="1"/>
  <c r="AC83" i="1"/>
  <c r="AC80" i="1" s="1"/>
  <c r="AC79" i="1" s="1"/>
  <c r="AB83" i="1"/>
  <c r="AB80" i="1" s="1"/>
  <c r="AB79" i="1" s="1"/>
  <c r="AA83" i="1"/>
  <c r="Z83" i="1"/>
  <c r="Y83" i="1"/>
  <c r="Y80" i="1" s="1"/>
  <c r="Y79" i="1" s="1"/>
  <c r="X83" i="1"/>
  <c r="X80" i="1" s="1"/>
  <c r="X79" i="1" s="1"/>
  <c r="W83" i="1"/>
  <c r="W80" i="1" s="1"/>
  <c r="W79" i="1" s="1"/>
  <c r="V83" i="1"/>
  <c r="V80" i="1" s="1"/>
  <c r="V79" i="1" s="1"/>
  <c r="U83" i="1"/>
  <c r="U80" i="1" s="1"/>
  <c r="U79" i="1" s="1"/>
  <c r="T83" i="1"/>
  <c r="T80" i="1" s="1"/>
  <c r="T79" i="1" s="1"/>
  <c r="S83" i="1"/>
  <c r="S80" i="1" s="1"/>
  <c r="S79" i="1" s="1"/>
  <c r="R83" i="1"/>
  <c r="R80" i="1" s="1"/>
  <c r="R79" i="1" s="1"/>
  <c r="Q83" i="1"/>
  <c r="F49" i="6" s="1"/>
  <c r="AD82" i="1"/>
  <c r="H48" i="6"/>
  <c r="Q81" i="1"/>
  <c r="AD77" i="1"/>
  <c r="AD76" i="1"/>
  <c r="AD75" i="1"/>
  <c r="AD74" i="1"/>
  <c r="AD73" i="1"/>
  <c r="F45" i="6"/>
  <c r="I45" i="6" s="1"/>
  <c r="AD71" i="1"/>
  <c r="H44" i="6"/>
  <c r="H43" i="6" s="1"/>
  <c r="G44" i="6"/>
  <c r="G43" i="6" s="1"/>
  <c r="Q70" i="1"/>
  <c r="G42" i="6"/>
  <c r="G41" i="6" s="1"/>
  <c r="F42" i="6"/>
  <c r="F41" i="6" s="1"/>
  <c r="AD64" i="1"/>
  <c r="AD63" i="1"/>
  <c r="AD58" i="1"/>
  <c r="AD57" i="1" s="1"/>
  <c r="AC57" i="1"/>
  <c r="AC56" i="1" s="1"/>
  <c r="AB57" i="1"/>
  <c r="AB56" i="1" s="1"/>
  <c r="AA57" i="1"/>
  <c r="Z57" i="1"/>
  <c r="Y57" i="1"/>
  <c r="Y56" i="1" s="1"/>
  <c r="X57" i="1"/>
  <c r="X56" i="1" s="1"/>
  <c r="W57" i="1"/>
  <c r="W56" i="1" s="1"/>
  <c r="V57" i="1"/>
  <c r="V56" i="1" s="1"/>
  <c r="U57" i="1"/>
  <c r="U56" i="1" s="1"/>
  <c r="T57" i="1"/>
  <c r="T56" i="1" s="1"/>
  <c r="S57" i="1"/>
  <c r="S56" i="1" s="1"/>
  <c r="R57" i="1"/>
  <c r="R56" i="1" s="1"/>
  <c r="Q57" i="1"/>
  <c r="AD55" i="1"/>
  <c r="AD54" i="1" s="1"/>
  <c r="AD52" i="1"/>
  <c r="AD51" i="1" s="1"/>
  <c r="AC51" i="1"/>
  <c r="AC50" i="1" s="1"/>
  <c r="AB51" i="1"/>
  <c r="AB50" i="1" s="1"/>
  <c r="AA51" i="1"/>
  <c r="Z51" i="1"/>
  <c r="Y51" i="1"/>
  <c r="Y50" i="1" s="1"/>
  <c r="X51" i="1"/>
  <c r="X50" i="1" s="1"/>
  <c r="W51" i="1"/>
  <c r="W50" i="1" s="1"/>
  <c r="V51" i="1"/>
  <c r="V50" i="1" s="1"/>
  <c r="U51" i="1"/>
  <c r="U50" i="1" s="1"/>
  <c r="T51" i="1"/>
  <c r="T50" i="1" s="1"/>
  <c r="S51" i="1"/>
  <c r="S50" i="1" s="1"/>
  <c r="R51" i="1"/>
  <c r="R50" i="1" s="1"/>
  <c r="Q51" i="1"/>
  <c r="AD49" i="1"/>
  <c r="AD48" i="1" s="1"/>
  <c r="AC48" i="1"/>
  <c r="AC47" i="1" s="1"/>
  <c r="AB48" i="1"/>
  <c r="AB47" i="1" s="1"/>
  <c r="AA48" i="1"/>
  <c r="Z48" i="1"/>
  <c r="Y48" i="1"/>
  <c r="Y47" i="1" s="1"/>
  <c r="X48" i="1"/>
  <c r="X47" i="1" s="1"/>
  <c r="W48" i="1"/>
  <c r="W47" i="1" s="1"/>
  <c r="V48" i="1"/>
  <c r="V47" i="1" s="1"/>
  <c r="U48" i="1"/>
  <c r="U47" i="1" s="1"/>
  <c r="T48" i="1"/>
  <c r="T47" i="1" s="1"/>
  <c r="S48" i="1"/>
  <c r="S47" i="1" s="1"/>
  <c r="R48" i="1"/>
  <c r="R47" i="1" s="1"/>
  <c r="Q48" i="1"/>
  <c r="AD46" i="1"/>
  <c r="AD45" i="1" s="1"/>
  <c r="AD44" i="1" s="1"/>
  <c r="H29" i="6"/>
  <c r="H28" i="6" s="1"/>
  <c r="G29" i="6"/>
  <c r="G28" i="6" s="1"/>
  <c r="Q45" i="1"/>
  <c r="Q44" i="1" s="1"/>
  <c r="AD40" i="1"/>
  <c r="AD39" i="1"/>
  <c r="G23" i="6"/>
  <c r="F23" i="6"/>
  <c r="F22" i="6" s="1"/>
  <c r="F21" i="6" s="1"/>
  <c r="AD33" i="1"/>
  <c r="AD32" i="1"/>
  <c r="AD31" i="1"/>
  <c r="AD30" i="1"/>
  <c r="AD29" i="1"/>
  <c r="AD28" i="1"/>
  <c r="AD27" i="1"/>
  <c r="AD26" i="1"/>
  <c r="AD25" i="1"/>
  <c r="AD24" i="1"/>
  <c r="AA14" i="1"/>
  <c r="AA9" i="1" s="1"/>
  <c r="AA8" i="1" s="1"/>
  <c r="AA7" i="1" s="1"/>
  <c r="AC14" i="1"/>
  <c r="AC9" i="1" s="1"/>
  <c r="AC8" i="1" s="1"/>
  <c r="AC7" i="1" s="1"/>
  <c r="AB14" i="1"/>
  <c r="AB9" i="1" s="1"/>
  <c r="AB8" i="1" s="1"/>
  <c r="AB7" i="1" s="1"/>
  <c r="Z14" i="1"/>
  <c r="Z9" i="1" s="1"/>
  <c r="Z8" i="1" s="1"/>
  <c r="Z7" i="1" s="1"/>
  <c r="Y14" i="1"/>
  <c r="Y9" i="1" s="1"/>
  <c r="Y8" i="1" s="1"/>
  <c r="Y7" i="1" s="1"/>
  <c r="X14" i="1"/>
  <c r="X9" i="1" s="1"/>
  <c r="X8" i="1" s="1"/>
  <c r="X7" i="1" s="1"/>
  <c r="W14" i="1"/>
  <c r="W9" i="1" s="1"/>
  <c r="W8" i="1" s="1"/>
  <c r="W7" i="1" s="1"/>
  <c r="V14" i="1"/>
  <c r="V9" i="1" s="1"/>
  <c r="V8" i="1" s="1"/>
  <c r="V7" i="1" s="1"/>
  <c r="U14" i="1"/>
  <c r="U9" i="1" s="1"/>
  <c r="U8" i="1" s="1"/>
  <c r="U7" i="1" s="1"/>
  <c r="T14" i="1"/>
  <c r="T9" i="1" s="1"/>
  <c r="T8" i="1" s="1"/>
  <c r="T7" i="1" s="1"/>
  <c r="S14" i="1"/>
  <c r="S9" i="1" s="1"/>
  <c r="S8" i="1" s="1"/>
  <c r="S7" i="1" s="1"/>
  <c r="R14" i="1"/>
  <c r="R9" i="1" s="1"/>
  <c r="R8" i="1" s="1"/>
  <c r="R7" i="1" s="1"/>
  <c r="Q14" i="1"/>
  <c r="Q9" i="1" s="1"/>
  <c r="Q8" i="1" s="1"/>
  <c r="G151" i="6" l="1"/>
  <c r="G150" i="6" s="1"/>
  <c r="G149" i="6" s="1"/>
  <c r="K154" i="6"/>
  <c r="AD305" i="1"/>
  <c r="F128" i="5" s="1"/>
  <c r="D19" i="9" s="1"/>
  <c r="X334" i="1"/>
  <c r="X333" i="1" s="1"/>
  <c r="X332" i="1" s="1"/>
  <c r="AD320" i="1"/>
  <c r="AD319" i="1" s="1"/>
  <c r="AD318" i="1" s="1"/>
  <c r="T334" i="1"/>
  <c r="T333" i="1" s="1"/>
  <c r="T332" i="1" s="1"/>
  <c r="AD421" i="1"/>
  <c r="F153" i="5" s="1"/>
  <c r="D33" i="9" s="1"/>
  <c r="R285" i="1"/>
  <c r="Z285" i="1"/>
  <c r="S285" i="1"/>
  <c r="AB285" i="1"/>
  <c r="R334" i="1"/>
  <c r="R333" i="1" s="1"/>
  <c r="R332" i="1" s="1"/>
  <c r="X166" i="1"/>
  <c r="X165" i="1" s="1"/>
  <c r="X164" i="1" s="1"/>
  <c r="AD225" i="1"/>
  <c r="AC285" i="1"/>
  <c r="Y166" i="1"/>
  <c r="Y165" i="1" s="1"/>
  <c r="Y164" i="1" s="1"/>
  <c r="AC166" i="1"/>
  <c r="AC165" i="1" s="1"/>
  <c r="AC164" i="1" s="1"/>
  <c r="AA335" i="1"/>
  <c r="I152" i="6" s="1"/>
  <c r="S334" i="1"/>
  <c r="S333" i="1" s="1"/>
  <c r="S332" i="1" s="1"/>
  <c r="AD99" i="1"/>
  <c r="F58" i="5" s="1"/>
  <c r="D16" i="9" s="1"/>
  <c r="W166" i="1"/>
  <c r="W165" i="1" s="1"/>
  <c r="W164" i="1" s="1"/>
  <c r="Q334" i="1"/>
  <c r="Q333" i="1" s="1"/>
  <c r="Q332" i="1" s="1"/>
  <c r="AD441" i="1"/>
  <c r="F164" i="5" s="1"/>
  <c r="AD446" i="1"/>
  <c r="F165" i="5" s="1"/>
  <c r="D55" i="9" s="1"/>
  <c r="G31" i="6"/>
  <c r="G30" i="6" s="1"/>
  <c r="Z47" i="1"/>
  <c r="Z166" i="1"/>
  <c r="Z165" i="1" s="1"/>
  <c r="Z164" i="1" s="1"/>
  <c r="AD196" i="1"/>
  <c r="AD195" i="1" s="1"/>
  <c r="AD316" i="1"/>
  <c r="AD315" i="1" s="1"/>
  <c r="AD311" i="1" s="1"/>
  <c r="F94" i="6"/>
  <c r="F92" i="6" s="1"/>
  <c r="AA166" i="1"/>
  <c r="AA165" i="1" s="1"/>
  <c r="AA164" i="1" s="1"/>
  <c r="AD228" i="1"/>
  <c r="F108" i="5" s="1"/>
  <c r="G33" i="6"/>
  <c r="G32" i="6" s="1"/>
  <c r="Z50" i="1"/>
  <c r="AB166" i="1"/>
  <c r="AB165" i="1" s="1"/>
  <c r="AB164" i="1" s="1"/>
  <c r="AD201" i="1"/>
  <c r="AD403" i="1"/>
  <c r="H31" i="6"/>
  <c r="H30" i="6" s="1"/>
  <c r="AA47" i="1"/>
  <c r="H33" i="6"/>
  <c r="H32" i="6" s="1"/>
  <c r="AA50" i="1"/>
  <c r="T285" i="1"/>
  <c r="AD413" i="1"/>
  <c r="F150" i="5" s="1"/>
  <c r="D13" i="9" s="1"/>
  <c r="R166" i="1"/>
  <c r="R165" i="1" s="1"/>
  <c r="R164" i="1" s="1"/>
  <c r="U285" i="1"/>
  <c r="F35" i="5"/>
  <c r="AD56" i="1"/>
  <c r="F29" i="5"/>
  <c r="AD47" i="1"/>
  <c r="G37" i="6"/>
  <c r="G36" i="6" s="1"/>
  <c r="Z56" i="1"/>
  <c r="Z54" i="1" s="1"/>
  <c r="Z53" i="1" s="1"/>
  <c r="AD167" i="1"/>
  <c r="F87" i="5" s="1"/>
  <c r="D23" i="9" s="1"/>
  <c r="S166" i="1"/>
  <c r="S165" i="1" s="1"/>
  <c r="S164" i="1" s="1"/>
  <c r="V285" i="1"/>
  <c r="H153" i="6"/>
  <c r="V334" i="1"/>
  <c r="V333" i="1" s="1"/>
  <c r="V332" i="1" s="1"/>
  <c r="AD96" i="1"/>
  <c r="AD95" i="1" s="1"/>
  <c r="U200" i="1"/>
  <c r="U199" i="1" s="1"/>
  <c r="F31" i="5"/>
  <c r="AD50" i="1"/>
  <c r="H37" i="6"/>
  <c r="H36" i="6" s="1"/>
  <c r="AA56" i="1"/>
  <c r="T166" i="1"/>
  <c r="T165" i="1" s="1"/>
  <c r="W285" i="1"/>
  <c r="F140" i="6"/>
  <c r="F139" i="6" s="1"/>
  <c r="Q312" i="1"/>
  <c r="F33" i="5"/>
  <c r="AD53" i="1"/>
  <c r="U166" i="1"/>
  <c r="U165" i="1" s="1"/>
  <c r="X285" i="1"/>
  <c r="AD425" i="1"/>
  <c r="AD420" i="1" s="1"/>
  <c r="AD419" i="1" s="1"/>
  <c r="T200" i="1"/>
  <c r="T199" i="1" s="1"/>
  <c r="AD93" i="1"/>
  <c r="F54" i="5" s="1"/>
  <c r="D6" i="9" s="1"/>
  <c r="AD105" i="1"/>
  <c r="F59" i="5" s="1"/>
  <c r="V166" i="1"/>
  <c r="V165" i="1" s="1"/>
  <c r="V164" i="1" s="1"/>
  <c r="Y285" i="1"/>
  <c r="F142" i="6"/>
  <c r="F141" i="6" s="1"/>
  <c r="Q315" i="1"/>
  <c r="AD429" i="1"/>
  <c r="AD428" i="1" s="1"/>
  <c r="AD427" i="1" s="1"/>
  <c r="AD463" i="1"/>
  <c r="AD462" i="1" s="1"/>
  <c r="AD458" i="1" s="1"/>
  <c r="AD217" i="1"/>
  <c r="F102" i="5" s="1"/>
  <c r="D41" i="9" s="1"/>
  <c r="G65" i="6"/>
  <c r="G138" i="6"/>
  <c r="G128" i="6" s="1"/>
  <c r="I120" i="6"/>
  <c r="I119" i="6" s="1"/>
  <c r="I118" i="6" s="1"/>
  <c r="H135" i="6"/>
  <c r="H134" i="6" s="1"/>
  <c r="F134" i="6"/>
  <c r="F113" i="6"/>
  <c r="F60" i="6"/>
  <c r="G60" i="6"/>
  <c r="F65" i="6"/>
  <c r="G22" i="6"/>
  <c r="G21" i="6" s="1"/>
  <c r="G20" i="6" s="1"/>
  <c r="H59" i="6"/>
  <c r="H58" i="6" s="1"/>
  <c r="G58" i="6"/>
  <c r="H64" i="6"/>
  <c r="H63" i="6" s="1"/>
  <c r="F63" i="6"/>
  <c r="F37" i="6"/>
  <c r="F36" i="6" s="1"/>
  <c r="Q56" i="1"/>
  <c r="G49" i="6"/>
  <c r="Z80" i="1"/>
  <c r="Z79" i="1" s="1"/>
  <c r="F31" i="6"/>
  <c r="Q47" i="1"/>
  <c r="AD72" i="1"/>
  <c r="F43" i="5" s="1"/>
  <c r="D43" i="9" s="1"/>
  <c r="F48" i="6"/>
  <c r="F47" i="6" s="1"/>
  <c r="F46" i="6" s="1"/>
  <c r="Q80" i="1"/>
  <c r="Q79" i="1" s="1"/>
  <c r="AD23" i="1"/>
  <c r="AD19" i="1" s="1"/>
  <c r="AD18" i="1" s="1"/>
  <c r="AD17" i="1" s="1"/>
  <c r="D5" i="7" s="1"/>
  <c r="AD38" i="1"/>
  <c r="AD37" i="1" s="1"/>
  <c r="F33" i="6"/>
  <c r="Q50" i="1"/>
  <c r="AD70" i="1"/>
  <c r="H49" i="6"/>
  <c r="H47" i="6" s="1"/>
  <c r="H46" i="6" s="1"/>
  <c r="AA80" i="1"/>
  <c r="AA79" i="1" s="1"/>
  <c r="F44" i="6"/>
  <c r="Q69" i="1"/>
  <c r="Q59" i="1" s="1"/>
  <c r="AD81" i="1"/>
  <c r="AD80" i="1" s="1"/>
  <c r="AD79" i="1" s="1"/>
  <c r="H133" i="6"/>
  <c r="H132" i="6" s="1"/>
  <c r="F11" i="5"/>
  <c r="F10" i="6"/>
  <c r="G48" i="6"/>
  <c r="G40" i="6"/>
  <c r="G39" i="6" s="1"/>
  <c r="G38" i="6" s="1"/>
  <c r="H87" i="6"/>
  <c r="H86" i="6" s="1"/>
  <c r="F187" i="6"/>
  <c r="F186" i="6" s="1"/>
  <c r="F185" i="6" s="1"/>
  <c r="F10" i="5"/>
  <c r="F9" i="6"/>
  <c r="H67" i="6"/>
  <c r="H66" i="6" s="1"/>
  <c r="F29" i="6"/>
  <c r="F28" i="6" s="1"/>
  <c r="H62" i="6"/>
  <c r="H69" i="6"/>
  <c r="H68" i="6" s="1"/>
  <c r="F79" i="6"/>
  <c r="F77" i="6" s="1"/>
  <c r="F76" i="6" s="1"/>
  <c r="G122" i="6"/>
  <c r="F126" i="5"/>
  <c r="D17" i="9" s="1"/>
  <c r="F145" i="6"/>
  <c r="F144" i="6" s="1"/>
  <c r="F143" i="6" s="1"/>
  <c r="H61" i="6"/>
  <c r="F20" i="6"/>
  <c r="H23" i="6"/>
  <c r="H55" i="6"/>
  <c r="F131" i="6"/>
  <c r="F130" i="6" s="1"/>
  <c r="F40" i="6"/>
  <c r="F39" i="6" s="1"/>
  <c r="F72" i="6"/>
  <c r="F71" i="6" s="1"/>
  <c r="F70" i="6" s="1"/>
  <c r="K121" i="6"/>
  <c r="F122" i="6"/>
  <c r="F120" i="6" s="1"/>
  <c r="F119" i="6" s="1"/>
  <c r="H122" i="6"/>
  <c r="AD297" i="1"/>
  <c r="F195" i="6"/>
  <c r="F27" i="5"/>
  <c r="F52" i="5"/>
  <c r="F131" i="5"/>
  <c r="G130" i="5" s="1"/>
  <c r="F175" i="5"/>
  <c r="F170" i="5"/>
  <c r="AD377" i="1"/>
  <c r="AA358" i="1"/>
  <c r="I153" i="6" s="1"/>
  <c r="Q438" i="1"/>
  <c r="S86" i="1"/>
  <c r="AA86" i="1"/>
  <c r="X86" i="1"/>
  <c r="AD241" i="1"/>
  <c r="Q17" i="1"/>
  <c r="Q86" i="1"/>
  <c r="Y86" i="1"/>
  <c r="AD393" i="1"/>
  <c r="AD181" i="1"/>
  <c r="F89" i="5" s="1"/>
  <c r="D25" i="9" s="1"/>
  <c r="AD191" i="1"/>
  <c r="F93" i="5" s="1"/>
  <c r="D29" i="9" s="1"/>
  <c r="Q222" i="1"/>
  <c r="Z480" i="1"/>
  <c r="AD188" i="1"/>
  <c r="F92" i="5" s="1"/>
  <c r="D28" i="9" s="1"/>
  <c r="W86" i="1"/>
  <c r="AD337" i="1"/>
  <c r="T54" i="1"/>
  <c r="T53" i="1" s="1"/>
  <c r="T43" i="1" s="1"/>
  <c r="T42" i="1" s="1"/>
  <c r="AB54" i="1"/>
  <c r="AB53" i="1" s="1"/>
  <c r="AB43" i="1" s="1"/>
  <c r="AB42" i="1" s="1"/>
  <c r="U358" i="1"/>
  <c r="V54" i="1"/>
  <c r="V53" i="1" s="1"/>
  <c r="V43" i="1" s="1"/>
  <c r="V42" i="1" s="1"/>
  <c r="W54" i="1"/>
  <c r="W53" i="1" s="1"/>
  <c r="W43" i="1" s="1"/>
  <c r="W42" i="1" s="1"/>
  <c r="AA54" i="1"/>
  <c r="AA53" i="1" s="1"/>
  <c r="H40" i="6"/>
  <c r="H39" i="6" s="1"/>
  <c r="AD475" i="1"/>
  <c r="AD92" i="1"/>
  <c r="AD91" i="1" s="1"/>
  <c r="AD240" i="1"/>
  <c r="U86" i="1"/>
  <c r="AC86" i="1"/>
  <c r="F124" i="5"/>
  <c r="G123" i="5" s="1"/>
  <c r="AD457" i="1"/>
  <c r="V86" i="1"/>
  <c r="U54" i="1"/>
  <c r="U53" i="1" s="1"/>
  <c r="U43" i="1" s="1"/>
  <c r="U42" i="1" s="1"/>
  <c r="AC54" i="1"/>
  <c r="AC53" i="1" s="1"/>
  <c r="AC43" i="1" s="1"/>
  <c r="AC42" i="1" s="1"/>
  <c r="T86" i="1"/>
  <c r="AB86" i="1"/>
  <c r="AD156" i="1"/>
  <c r="AD159" i="1"/>
  <c r="Q231" i="1"/>
  <c r="AD387" i="1"/>
  <c r="AD62" i="1"/>
  <c r="AD61" i="1" s="1"/>
  <c r="AD60" i="1" s="1"/>
  <c r="Q7" i="1"/>
  <c r="X54" i="1"/>
  <c r="X53" i="1" s="1"/>
  <c r="X43" i="1" s="1"/>
  <c r="X42" i="1" s="1"/>
  <c r="Y54" i="1"/>
  <c r="Y53" i="1" s="1"/>
  <c r="Y43" i="1" s="1"/>
  <c r="Y42" i="1" s="1"/>
  <c r="S54" i="1"/>
  <c r="S53" i="1" s="1"/>
  <c r="S43" i="1" s="1"/>
  <c r="S42" i="1" s="1"/>
  <c r="AC358" i="1"/>
  <c r="AC334" i="1" s="1"/>
  <c r="AC333" i="1" s="1"/>
  <c r="AC332" i="1" s="1"/>
  <c r="AD390" i="1"/>
  <c r="AC480" i="1"/>
  <c r="R54" i="1"/>
  <c r="R53" i="1" s="1"/>
  <c r="R43" i="1" s="1"/>
  <c r="R42" i="1" s="1"/>
  <c r="F61" i="5"/>
  <c r="AD139" i="1"/>
  <c r="AD132" i="1" s="1"/>
  <c r="AD131" i="1" s="1"/>
  <c r="Z86" i="1"/>
  <c r="F114" i="5"/>
  <c r="D11" i="9" s="1"/>
  <c r="AD378" i="1"/>
  <c r="AD394" i="1"/>
  <c r="H42" i="6"/>
  <c r="AD207" i="1"/>
  <c r="H152" i="6"/>
  <c r="AD336" i="1"/>
  <c r="G28" i="5" l="1"/>
  <c r="G34" i="5"/>
  <c r="D20" i="9"/>
  <c r="G169" i="5"/>
  <c r="D54" i="9"/>
  <c r="G26" i="5"/>
  <c r="H25" i="5" s="1"/>
  <c r="D4" i="9"/>
  <c r="G60" i="5"/>
  <c r="D21" i="9"/>
  <c r="G174" i="5"/>
  <c r="D57" i="9"/>
  <c r="G32" i="5"/>
  <c r="G30" i="5"/>
  <c r="D24" i="9"/>
  <c r="F136" i="5"/>
  <c r="G135" i="5" s="1"/>
  <c r="H134" i="5" s="1"/>
  <c r="AD88" i="1"/>
  <c r="AC277" i="1"/>
  <c r="AC276" i="1" s="1"/>
  <c r="AB277" i="1"/>
  <c r="AB276" i="1" s="1"/>
  <c r="X277" i="1"/>
  <c r="X276" i="1" s="1"/>
  <c r="S277" i="1"/>
  <c r="S276" i="1" s="1"/>
  <c r="U277" i="1"/>
  <c r="U276" i="1" s="1"/>
  <c r="Z277" i="1"/>
  <c r="Z276" i="1" s="1"/>
  <c r="R277" i="1"/>
  <c r="R276" i="1" s="1"/>
  <c r="F129" i="6"/>
  <c r="V277" i="1"/>
  <c r="V276" i="1" s="1"/>
  <c r="T277" i="1"/>
  <c r="T276" i="1" s="1"/>
  <c r="Y277" i="1"/>
  <c r="Y276" i="1" s="1"/>
  <c r="W277" i="1"/>
  <c r="W276" i="1" s="1"/>
  <c r="F95" i="5"/>
  <c r="G94" i="5" s="1"/>
  <c r="F138" i="6"/>
  <c r="AD335" i="1"/>
  <c r="F142" i="5" s="1"/>
  <c r="D7" i="9" s="1"/>
  <c r="H140" i="6"/>
  <c r="H139" i="6" s="1"/>
  <c r="F56" i="5"/>
  <c r="G55" i="5" s="1"/>
  <c r="G86" i="5"/>
  <c r="G9" i="5"/>
  <c r="H8" i="5" s="1"/>
  <c r="I7" i="5" s="1"/>
  <c r="G47" i="6"/>
  <c r="G46" i="6" s="1"/>
  <c r="AD43" i="1"/>
  <c r="AD402" i="1"/>
  <c r="AD401" i="1" s="1"/>
  <c r="D16" i="7" s="1"/>
  <c r="Q43" i="1"/>
  <c r="Q42" i="1" s="1"/>
  <c r="AD440" i="1"/>
  <c r="AD439" i="1" s="1"/>
  <c r="AD438" i="1" s="1"/>
  <c r="D26" i="7" s="1"/>
  <c r="F46" i="5"/>
  <c r="G45" i="5" s="1"/>
  <c r="H44" i="5" s="1"/>
  <c r="U164" i="1"/>
  <c r="H65" i="6"/>
  <c r="Q311" i="1"/>
  <c r="Q276" i="1" s="1"/>
  <c r="AD130" i="1"/>
  <c r="AD129" i="1" s="1"/>
  <c r="AD36" i="1"/>
  <c r="AD35" i="1" s="1"/>
  <c r="D6" i="7" s="1"/>
  <c r="AD166" i="1"/>
  <c r="AD165" i="1" s="1"/>
  <c r="AD224" i="1"/>
  <c r="AD223" i="1" s="1"/>
  <c r="AD222" i="1" s="1"/>
  <c r="D12" i="7" s="1"/>
  <c r="F154" i="5"/>
  <c r="AD98" i="1"/>
  <c r="H142" i="6"/>
  <c r="H141" i="6" s="1"/>
  <c r="AD474" i="1"/>
  <c r="AD473" i="1" s="1"/>
  <c r="AD472" i="1" s="1"/>
  <c r="D28" i="7" s="1"/>
  <c r="G163" i="5"/>
  <c r="F149" i="5"/>
  <c r="AD234" i="1"/>
  <c r="AD233" i="1" s="1"/>
  <c r="F127" i="5"/>
  <c r="G125" i="5" s="1"/>
  <c r="AD285" i="1"/>
  <c r="F98" i="5"/>
  <c r="D37" i="9" s="1"/>
  <c r="F133" i="5"/>
  <c r="G57" i="5"/>
  <c r="AA334" i="1"/>
  <c r="AA333" i="1" s="1"/>
  <c r="AA332" i="1" s="1"/>
  <c r="F91" i="6"/>
  <c r="F90" i="6" s="1"/>
  <c r="AA43" i="1"/>
  <c r="AA42" i="1" s="1"/>
  <c r="AD456" i="1"/>
  <c r="AD455" i="1" s="1"/>
  <c r="AD451" i="1" s="1"/>
  <c r="AD450" i="1" s="1"/>
  <c r="D27" i="7" s="1"/>
  <c r="F194" i="6"/>
  <c r="F193" i="6" s="1"/>
  <c r="F192" i="6" s="1"/>
  <c r="F153" i="6"/>
  <c r="F151" i="6" s="1"/>
  <c r="F150" i="6" s="1"/>
  <c r="F149" i="6" s="1"/>
  <c r="U334" i="1"/>
  <c r="U333" i="1" s="1"/>
  <c r="U332" i="1" s="1"/>
  <c r="AD69" i="1"/>
  <c r="AD59" i="1" s="1"/>
  <c r="F112" i="6"/>
  <c r="F111" i="6" s="1"/>
  <c r="F157" i="5"/>
  <c r="T164" i="1"/>
  <c r="Z43" i="1"/>
  <c r="Z42" i="1" s="1"/>
  <c r="AD158" i="1"/>
  <c r="AD157" i="1" s="1"/>
  <c r="F177" i="5"/>
  <c r="F42" i="5"/>
  <c r="AD148" i="1"/>
  <c r="AD147" i="1" s="1"/>
  <c r="I37" i="6"/>
  <c r="I36" i="6" s="1"/>
  <c r="I151" i="6"/>
  <c r="I150" i="6" s="1"/>
  <c r="I149" i="6" s="1"/>
  <c r="H60" i="6"/>
  <c r="H151" i="6"/>
  <c r="H150" i="6" s="1"/>
  <c r="H149" i="6" s="1"/>
  <c r="H120" i="6"/>
  <c r="H119" i="6" s="1"/>
  <c r="H118" i="6" s="1"/>
  <c r="G120" i="6"/>
  <c r="G119" i="6" s="1"/>
  <c r="G118" i="6" s="1"/>
  <c r="I33" i="6"/>
  <c r="I32" i="6" s="1"/>
  <c r="F32" i="6"/>
  <c r="I42" i="6"/>
  <c r="I41" i="6" s="1"/>
  <c r="H41" i="6"/>
  <c r="H38" i="6" s="1"/>
  <c r="H22" i="6"/>
  <c r="H21" i="6" s="1"/>
  <c r="H20" i="6" s="1"/>
  <c r="I44" i="6"/>
  <c r="I43" i="6" s="1"/>
  <c r="F43" i="6"/>
  <c r="F38" i="6" s="1"/>
  <c r="F53" i="6"/>
  <c r="F52" i="6" s="1"/>
  <c r="F8" i="6"/>
  <c r="F7" i="6" s="1"/>
  <c r="F6" i="6" s="1"/>
  <c r="I31" i="6"/>
  <c r="I30" i="6" s="1"/>
  <c r="F30" i="6"/>
  <c r="I49" i="6"/>
  <c r="F38" i="5"/>
  <c r="AB480" i="1"/>
  <c r="Y480" i="1"/>
  <c r="G57" i="6"/>
  <c r="G54" i="6" s="1"/>
  <c r="G53" i="6" s="1"/>
  <c r="F85" i="6"/>
  <c r="F84" i="6" s="1"/>
  <c r="F83" i="6" s="1"/>
  <c r="I29" i="6"/>
  <c r="I28" i="6" s="1"/>
  <c r="G72" i="6"/>
  <c r="G71" i="6" s="1"/>
  <c r="G70" i="6" s="1"/>
  <c r="H35" i="6"/>
  <c r="H34" i="6" s="1"/>
  <c r="H27" i="6" s="1"/>
  <c r="Q450" i="1"/>
  <c r="Q480" i="1" s="1"/>
  <c r="F183" i="6"/>
  <c r="F182" i="6" s="1"/>
  <c r="F181" i="6" s="1"/>
  <c r="R480" i="1"/>
  <c r="F118" i="6"/>
  <c r="I40" i="6"/>
  <c r="I39" i="6" s="1"/>
  <c r="I48" i="6"/>
  <c r="H145" i="6"/>
  <c r="I79" i="6"/>
  <c r="I77" i="6" s="1"/>
  <c r="F75" i="6"/>
  <c r="G35" i="6"/>
  <c r="G34" i="6" s="1"/>
  <c r="G27" i="6" s="1"/>
  <c r="J122" i="6"/>
  <c r="J153" i="6"/>
  <c r="H131" i="6"/>
  <c r="H130" i="6" s="1"/>
  <c r="H129" i="6" s="1"/>
  <c r="K152" i="6"/>
  <c r="H187" i="6"/>
  <c r="H186" i="6" s="1"/>
  <c r="H185" i="6" s="1"/>
  <c r="F122" i="5"/>
  <c r="F74" i="5"/>
  <c r="G73" i="5" s="1"/>
  <c r="H72" i="5" s="1"/>
  <c r="I71" i="5" s="1"/>
  <c r="T480" i="1"/>
  <c r="AA480" i="1"/>
  <c r="S480" i="1"/>
  <c r="F107" i="5"/>
  <c r="F40" i="5"/>
  <c r="F53" i="5"/>
  <c r="X480" i="1"/>
  <c r="V480" i="1"/>
  <c r="U480" i="1"/>
  <c r="F22" i="5"/>
  <c r="G21" i="5" s="1"/>
  <c r="H20" i="5" s="1"/>
  <c r="W480" i="1"/>
  <c r="Q400" i="1"/>
  <c r="AD204" i="1"/>
  <c r="AD200" i="1" s="1"/>
  <c r="AD199" i="1" s="1"/>
  <c r="AD388" i="1"/>
  <c r="F144" i="5" s="1"/>
  <c r="D9" i="9" s="1"/>
  <c r="AD358" i="1"/>
  <c r="D9" i="7" l="1"/>
  <c r="D14" i="9"/>
  <c r="G39" i="5"/>
  <c r="D40" i="9"/>
  <c r="G176" i="5"/>
  <c r="H173" i="5" s="1"/>
  <c r="D59" i="9"/>
  <c r="G156" i="5"/>
  <c r="H155" i="5" s="1"/>
  <c r="D46" i="9"/>
  <c r="G148" i="5"/>
  <c r="H147" i="5" s="1"/>
  <c r="D12" i="9"/>
  <c r="E28" i="7"/>
  <c r="D29" i="7"/>
  <c r="E26" i="7"/>
  <c r="D47" i="9"/>
  <c r="G51" i="5"/>
  <c r="H50" i="5" s="1"/>
  <c r="I49" i="5" s="1"/>
  <c r="D5" i="9"/>
  <c r="G37" i="5"/>
  <c r="D36" i="9"/>
  <c r="G41" i="5"/>
  <c r="D42" i="9"/>
  <c r="G132" i="5"/>
  <c r="H129" i="5" s="1"/>
  <c r="D32" i="9"/>
  <c r="G152" i="5"/>
  <c r="H151" i="5" s="1"/>
  <c r="D34" i="9"/>
  <c r="D48" i="9"/>
  <c r="D18" i="9"/>
  <c r="AD87" i="1"/>
  <c r="AD86" i="1" s="1"/>
  <c r="D8" i="7" s="1"/>
  <c r="H144" i="6"/>
  <c r="H143" i="6" s="1"/>
  <c r="AD277" i="1"/>
  <c r="AD276" i="1" s="1"/>
  <c r="D14" i="7" s="1"/>
  <c r="AD42" i="1"/>
  <c r="H85" i="5"/>
  <c r="H138" i="6"/>
  <c r="AD146" i="1"/>
  <c r="AD145" i="1" s="1"/>
  <c r="D10" i="7" s="1"/>
  <c r="AD334" i="1"/>
  <c r="F182" i="5"/>
  <c r="D58" i="9" s="1"/>
  <c r="D56" i="9" s="1"/>
  <c r="AD333" i="1"/>
  <c r="AD332" i="1" s="1"/>
  <c r="H36" i="5"/>
  <c r="I24" i="5" s="1"/>
  <c r="AD232" i="1"/>
  <c r="AD231" i="1" s="1"/>
  <c r="D13" i="7" s="1"/>
  <c r="F27" i="6"/>
  <c r="F26" i="6" s="1"/>
  <c r="AD164" i="1"/>
  <c r="D11" i="7" s="1"/>
  <c r="F80" i="5"/>
  <c r="H162" i="5"/>
  <c r="I161" i="5" s="1"/>
  <c r="G106" i="5"/>
  <c r="H105" i="5" s="1"/>
  <c r="I104" i="5" s="1"/>
  <c r="I76" i="6"/>
  <c r="I75" i="6" s="1"/>
  <c r="G121" i="5"/>
  <c r="H120" i="5" s="1"/>
  <c r="I38" i="6"/>
  <c r="F82" i="5"/>
  <c r="F113" i="5"/>
  <c r="F172" i="5"/>
  <c r="J151" i="6"/>
  <c r="J150" i="6" s="1"/>
  <c r="J149" i="6" s="1"/>
  <c r="J120" i="6"/>
  <c r="J119" i="6" s="1"/>
  <c r="J118" i="6" s="1"/>
  <c r="I47" i="6"/>
  <c r="I46" i="6" s="1"/>
  <c r="F128" i="6"/>
  <c r="K153" i="6"/>
  <c r="H72" i="6"/>
  <c r="H71" i="6" s="1"/>
  <c r="H70" i="6" s="1"/>
  <c r="K122" i="6"/>
  <c r="H57" i="6"/>
  <c r="H54" i="6" s="1"/>
  <c r="H53" i="6" s="1"/>
  <c r="G52" i="6"/>
  <c r="H183" i="6"/>
  <c r="H182" i="6" s="1"/>
  <c r="H181" i="6" s="1"/>
  <c r="H180" i="6" s="1"/>
  <c r="F197" i="6" s="1"/>
  <c r="F180" i="6"/>
  <c r="AC436" i="1"/>
  <c r="I35" i="6"/>
  <c r="I34" i="6" s="1"/>
  <c r="I27" i="6" s="1"/>
  <c r="G26" i="6"/>
  <c r="H26" i="6"/>
  <c r="F82" i="6"/>
  <c r="H85" i="6"/>
  <c r="H84" i="6" s="1"/>
  <c r="X436" i="1"/>
  <c r="F143" i="5"/>
  <c r="G141" i="5" s="1"/>
  <c r="H140" i="5" s="1"/>
  <c r="V436" i="1"/>
  <c r="S436" i="1"/>
  <c r="U436" i="1"/>
  <c r="Y436" i="1"/>
  <c r="R436" i="1"/>
  <c r="Z436" i="1"/>
  <c r="AB436" i="1"/>
  <c r="T436" i="1"/>
  <c r="F99" i="5"/>
  <c r="W436" i="1"/>
  <c r="Q436" i="1"/>
  <c r="I19" i="5"/>
  <c r="I146" i="5" l="1"/>
  <c r="D15" i="7"/>
  <c r="AF436" i="1"/>
  <c r="D7" i="7"/>
  <c r="D17" i="8"/>
  <c r="G112" i="5"/>
  <c r="H111" i="5" s="1"/>
  <c r="I110" i="5" s="1"/>
  <c r="D10" i="9"/>
  <c r="G79" i="5"/>
  <c r="D30" i="9"/>
  <c r="D17" i="7"/>
  <c r="E13" i="7" s="1"/>
  <c r="G97" i="5"/>
  <c r="D38" i="9"/>
  <c r="G171" i="5"/>
  <c r="H168" i="5" s="1"/>
  <c r="I167" i="5" s="1"/>
  <c r="D53" i="9"/>
  <c r="D52" i="9" s="1"/>
  <c r="D16" i="8" s="1"/>
  <c r="G81" i="5"/>
  <c r="D31" i="9"/>
  <c r="I119" i="5"/>
  <c r="D35" i="9"/>
  <c r="D5" i="8" s="1"/>
  <c r="E27" i="7"/>
  <c r="E29" i="7"/>
  <c r="D45" i="9"/>
  <c r="D8" i="9"/>
  <c r="D3" i="9" s="1"/>
  <c r="D3" i="8" s="1"/>
  <c r="H128" i="6"/>
  <c r="F184" i="5"/>
  <c r="H96" i="5"/>
  <c r="I84" i="5" s="1"/>
  <c r="G159" i="5"/>
  <c r="AD436" i="1"/>
  <c r="H83" i="6"/>
  <c r="H82" i="6" s="1"/>
  <c r="G181" i="5"/>
  <c r="I139" i="5"/>
  <c r="K120" i="6"/>
  <c r="I26" i="6"/>
  <c r="K151" i="6"/>
  <c r="H52" i="6"/>
  <c r="AA436" i="1"/>
  <c r="AD480" i="1"/>
  <c r="F159" i="5"/>
  <c r="AB482" i="1"/>
  <c r="Y482" i="1"/>
  <c r="X482" i="1"/>
  <c r="W482" i="1"/>
  <c r="Z482" i="1"/>
  <c r="AC482" i="1"/>
  <c r="R482" i="1"/>
  <c r="S482" i="1"/>
  <c r="U482" i="1"/>
  <c r="V482" i="1"/>
  <c r="Q482" i="1"/>
  <c r="T482" i="1"/>
  <c r="H78" i="5" l="1"/>
  <c r="I77" i="5" s="1"/>
  <c r="E11" i="7"/>
  <c r="E8" i="7"/>
  <c r="E15" i="7"/>
  <c r="F13" i="7" s="1"/>
  <c r="E14" i="7"/>
  <c r="D32" i="8"/>
  <c r="D34" i="8"/>
  <c r="D6" i="8"/>
  <c r="D18" i="8"/>
  <c r="E16" i="8" s="1"/>
  <c r="E4" i="7"/>
  <c r="E5" i="7"/>
  <c r="E12" i="7"/>
  <c r="E16" i="7"/>
  <c r="E6" i="7"/>
  <c r="E9" i="7"/>
  <c r="D22" i="9"/>
  <c r="D4" i="8" s="1"/>
  <c r="D33" i="8" s="1"/>
  <c r="E7" i="7"/>
  <c r="D60" i="9"/>
  <c r="E10" i="7"/>
  <c r="E17" i="8"/>
  <c r="F186" i="5"/>
  <c r="I159" i="5"/>
  <c r="H180" i="5"/>
  <c r="G184" i="5"/>
  <c r="G186" i="5" s="1"/>
  <c r="K119" i="6"/>
  <c r="K118" i="6" s="1"/>
  <c r="K150" i="6"/>
  <c r="K149" i="6" s="1"/>
  <c r="H159" i="5"/>
  <c r="AA482" i="1"/>
  <c r="AD482" i="1"/>
  <c r="E17" i="7" l="1"/>
  <c r="E18" i="8"/>
  <c r="D49" i="9"/>
  <c r="D62" i="9" s="1"/>
  <c r="D7" i="8"/>
  <c r="E6" i="8" s="1"/>
  <c r="D35" i="8"/>
  <c r="F170" i="6"/>
  <c r="F199" i="6" s="1"/>
  <c r="H184" i="5"/>
  <c r="H186" i="5" s="1"/>
  <c r="I179" i="5"/>
  <c r="I184" i="5" s="1"/>
  <c r="I186" i="5" s="1"/>
  <c r="D36" i="8" l="1"/>
  <c r="E4" i="8"/>
  <c r="E3" i="8"/>
  <c r="E5" i="8"/>
  <c r="E7" i="8" l="1"/>
  <c r="E33" i="8"/>
  <c r="E34" i="8"/>
  <c r="E32" i="8"/>
  <c r="E35" i="8"/>
  <c r="E36" i="8" l="1"/>
</calcChain>
</file>

<file path=xl/sharedStrings.xml><?xml version="1.0" encoding="utf-8"?>
<sst xmlns="http://schemas.openxmlformats.org/spreadsheetml/2006/main" count="2746" uniqueCount="1375">
  <si>
    <t xml:space="preserve">CODIGO:  </t>
  </si>
  <si>
    <t>F-PLA-42</t>
  </si>
  <si>
    <t xml:space="preserve">VERSIÓN: </t>
  </si>
  <si>
    <t xml:space="preserve">FECHA: </t>
  </si>
  <si>
    <t>Julio 30 de 2020</t>
  </si>
  <si>
    <t>PÁGINA:</t>
  </si>
  <si>
    <t>1 de 1</t>
  </si>
  <si>
    <t>UNIDAD EJECUTORA</t>
  </si>
  <si>
    <t>LÍNEA ESTRATÉGICA</t>
  </si>
  <si>
    <t>CÓDIGO DEL PROGRAMA KPT</t>
  </si>
  <si>
    <t>PROGRAMA</t>
  </si>
  <si>
    <t>INDICADOR DE RESULTADO Y/O BIENESTAR</t>
  </si>
  <si>
    <t>CODIGO DEL PRODUCTO KPT</t>
  </si>
  <si>
    <t>META PRODUCTO</t>
  </si>
  <si>
    <t>CÓDIGO INDICADOR PRODUCTO KPT</t>
  </si>
  <si>
    <t>INDICADOR DEL PRODUCTO</t>
  </si>
  <si>
    <t>TIPO DE META I/M/R</t>
  </si>
  <si>
    <t>META 2021</t>
  </si>
  <si>
    <t>CÓDIGO BPIN</t>
  </si>
  <si>
    <t>NOMBRE DEL PROYECTO</t>
  </si>
  <si>
    <t>OBJETIVO DEL PROYECTO</t>
  </si>
  <si>
    <t xml:space="preserve">ESTAMPILLAS 
PRO - CULTURA
PRO - ADULTO MAYOR
PRO - DESARROLLO
 </t>
  </si>
  <si>
    <t xml:space="preserve">CONTRIBUCION ESPECIAL
(FONDO DE SEGURIDAD 5%) 
 </t>
  </si>
  <si>
    <t xml:space="preserve">SOBRETASA AL ACPM  
</t>
  </si>
  <si>
    <t xml:space="preserve">SGP SALÚD PUBLICA - PRESTACIÓN DE SERVICIOS
 </t>
  </si>
  <si>
    <t>FONDO LOCAL DE SALUD  - MONOPOLIO RENTAS CEDIDAS -LOTERIAS-RIFAS-PREMIO</t>
  </si>
  <si>
    <t xml:space="preserve">SGP PRESTACIÓN DE SERVICIOS - EDUCACIÓN  - Y CONECTIVIDAD
</t>
  </si>
  <si>
    <t>SGP APORTES PATRONALES - CANCELACIÓN DE PRESTACIONES SOCIALES -EDUCACIÓN</t>
  </si>
  <si>
    <t xml:space="preserve">FONDO DE EDUCACION,  PAE, CONVENIO MEN 
</t>
  </si>
  <si>
    <t xml:space="preserve">SGP AGUA POTABLE Y SANEAMIENTO BÁSICO
</t>
  </si>
  <si>
    <t xml:space="preserve">RECURSO ORDINARIO
</t>
  </si>
  <si>
    <t xml:space="preserve">OTROS (IVA TELEFONIA MÓVIL  - REGISTRO - LEY 1816 (3% MONOPOLIO LICORES) (DEPORTES) EXTRACCION MATERIAL RIO  </t>
  </si>
  <si>
    <t>NACIÓN  - COFINANCIACIÓN
CONV ANTICONTRABANDO</t>
  </si>
  <si>
    <t xml:space="preserve">TOTAL
</t>
  </si>
  <si>
    <t>DEPENDENCIA</t>
  </si>
  <si>
    <t>RESPONSABLE</t>
  </si>
  <si>
    <t xml:space="preserve">304 -SECRETARÍA ADMINISTRATIVA </t>
  </si>
  <si>
    <t xml:space="preserve">LIDERAZGO, GOBERNABILIDAD Y TRANSPARENCIA </t>
  </si>
  <si>
    <t xml:space="preserve"> </t>
  </si>
  <si>
    <t>Índice de Gestión del Modelo Integrado de Planeación y de Gestión MIPG  de la Administración Departamental</t>
  </si>
  <si>
    <t>Implementación de  las Dimensiones y Políticas  del Modelo Integrado de Planeación y de Gestión MIPG</t>
  </si>
  <si>
    <t>Número de Dimensiones y Políticas   de MIPG implementadas.</t>
  </si>
  <si>
    <t>M</t>
  </si>
  <si>
    <t>202000363-0006</t>
  </si>
  <si>
    <t>Implementación del Modelo Integrado de Planeación y de Gestión MIPG  de la Administración Departamental del Quindío (Dimensiones  de Talento humano,  Información y Comunicación y Gestión del Conocimiento).</t>
  </si>
  <si>
    <t xml:space="preserve">Incrementar del Índice de Gestión y Desempeño de la Administración Departamental,  a través del fortalecimiento de las  capacidades institucionales de la Secretaría Administrativa conforme al alcance del Modelo Integrado de Planeación y Gestión, generando condiciones de gobernanza territorial eficiente y transparente </t>
  </si>
  <si>
    <t>Secretaria Administrativa</t>
  </si>
  <si>
    <t>Estrategias  de actualización, depuración, seguimiento y evaluación de las bases de datos  del Pasivo Pensional  de la Administración Departamental.</t>
  </si>
  <si>
    <t>Estrategias  de actualización, depuración, seguimiento y evaluación de las bases de datos  del Pasivo Pensional  de la Administración Departamental</t>
  </si>
  <si>
    <t>202000363-0007</t>
  </si>
  <si>
    <t xml:space="preserve">Actualización, depuración, seguimiento y evaluación del Pasivo Pensional de la Administración Departamental del Quindío </t>
  </si>
  <si>
    <t xml:space="preserve">Incrementar en Índice de Gestión y Desempeño  de la Administración Departamental ,  a Implementar los procesos y procedimientos de depuración de los expedientes administrativos pensionales, que permitan la determinación de cuotas partes pensionales, bonos pensionales y otros, con el fin de contar con información depurada y real. </t>
  </si>
  <si>
    <t xml:space="preserve">Proceso de modernización administrativa, incluido en  estudio de la viabilidad de creación de la Oficina de la Felicidad. </t>
  </si>
  <si>
    <t>Proceso de modernización administrativa implementada</t>
  </si>
  <si>
    <t>I</t>
  </si>
  <si>
    <t>202000363-0041</t>
  </si>
  <si>
    <t xml:space="preserve">Implementación de un programa de modernización  de la gestión Administrativa  de la Administración Departamental del Quindío. "TÚ y YO SOMOS QUINDÍO" </t>
  </si>
  <si>
    <t>Incrementar  Índice de Gestión y Desempeño de la Administración Departamental a través del proceso de modernización administrativa, contemplando una estructura orgánica qué corresponda a las competencias del territorio, la habilitación de la oficina para los alcaldes en la gobernación y la Casa Delegada en la ciudad de Bogotá, la  creación de la oficina de la Felicidad; con el propósito de mejorar la gestión de la administración departamental .</t>
  </si>
  <si>
    <t>Porcentaje promedio  de participación de ciudadanos en los eventos de elección popular.</t>
  </si>
  <si>
    <t>Documentos de planeación</t>
  </si>
  <si>
    <t>Implementación del Plan de Acción del Sistema Departamental de Servicio a la Ciudadanía SDSC</t>
  </si>
  <si>
    <t xml:space="preserve">Plan de Acción del Sistema Departamental de Servicio a la Ciudadanía SDSC implementado. </t>
  </si>
  <si>
    <t>202000363-0005</t>
  </si>
  <si>
    <t xml:space="preserve">Implementación del Sistema Departamental de Servicio a la Ciudadanía SDSC   en la Administración Departamental. </t>
  </si>
  <si>
    <t>Aumentar en porcentaje promedio  de participación de ciudadanos en los eventos de elección popular través del desarrollo de  actividades qué permitan la interacción de la Comunidad y Estado, facilitando el acceso de los servicios qué oferta la Administración Departamental.</t>
  </si>
  <si>
    <t xml:space="preserve">305 SECRETARÍA DE PLANEACIÓN </t>
  </si>
  <si>
    <t>Porcentaje promedio  de participación de ciudadanos en los eventos de elección popular</t>
  </si>
  <si>
    <t>Servicio de promoción a la participación ciudadana</t>
  </si>
  <si>
    <t>Fortalecimiento técnico y logístico del  Consejo Territorial de Planeación Departamental, como representantes de la sociedad civil en la planeación  del desarrollo integral  de la entidad territorial</t>
  </si>
  <si>
    <t xml:space="preserve">Consejo Territorial de Planeación Departamental fortalecido.   </t>
  </si>
  <si>
    <t>202000363-0042</t>
  </si>
  <si>
    <t>Incrementar la  participación de ciudadanos en los eventos de elección popular,  a través de los procesos de apoyo técnico y logístico al Consejo Territorial de Planeación Departamental, de conformidad con lo preceptuado en la Ley 152 de 1994.</t>
  </si>
  <si>
    <t xml:space="preserve">Secretaría de Planeación </t>
  </si>
  <si>
    <t>José Ignacio Rojas Sepulveda</t>
  </si>
  <si>
    <t>Eventos de Rendición Pública de Cuentas qué divulgan la gestión administrativa.</t>
  </si>
  <si>
    <t xml:space="preserve">Eventos de Rendición Públicas de Cuentas realizados. </t>
  </si>
  <si>
    <t>202000363-0043</t>
  </si>
  <si>
    <t xml:space="preserve"> Implementación  de eventos de Rendición Pública de Cuentas  de divulgación de gestión  de la Administración Departamental  "TU Y YO SOMOS QUINDIO" </t>
  </si>
  <si>
    <t>Incrementar la  participación de ciudadanos en los eventos de elección popular, a través  de la realización de la  Rendición Pública de Cuentas, con el propósito de generar un espacio de interlocución entre la sociedad civil y/o organizada.</t>
  </si>
  <si>
    <t>Documentos de lineamientos técnicos</t>
  </si>
  <si>
    <t xml:space="preserve">Instrumentos de planificación de ordenamiento y gestión territorial departamental implementados. </t>
  </si>
  <si>
    <t>202000363-0044</t>
  </si>
  <si>
    <t xml:space="preserve"> Implementación   de instrumentos de planificación para  en  Ordenamiento y la Gestión Territorial Departamental del Quindío  "TU Y YO SOMOS QUINDIO" </t>
  </si>
  <si>
    <t>Observatorio económico del departamento, con procesos de fortalecimiento</t>
  </si>
  <si>
    <t>Observatorio económico del Departamento del Quindío actualizado y dotado.</t>
  </si>
  <si>
    <t>202000363-0045</t>
  </si>
  <si>
    <t xml:space="preserve">  Implementación del Observatorio Económico  de la Administración Departamental del Quindío "TU Y YO SOMOS QUINDIO"</t>
  </si>
  <si>
    <t>Banco de Programas y Proyectos del Departamento  con procesos de fortalecimiento.</t>
  </si>
  <si>
    <t>Banco de Programas y Proyectos del Departamento fortalecido</t>
  </si>
  <si>
    <t>202000363-0046</t>
  </si>
  <si>
    <t>Fortalecimiento del Banco de Programas y Proyectos de la administración departamental  "TÚ Y YO SOMOS QUINDIO"</t>
  </si>
  <si>
    <t>Índice de Gestión del Modelo Integrado de Planeación y de Gestión MIPG   Departamental (Entes Territoriales Municipales)</t>
  </si>
  <si>
    <t>Servicio de asistencia técnica</t>
  </si>
  <si>
    <t xml:space="preserve">Entes territoriales  con servicio de asistencia técnica de los Instrumentos de Planificación para  en Ordenamiento y la Gestión Territorial departamental. </t>
  </si>
  <si>
    <t>Entes territoriales con procesos de asistencia técnica realizadas.</t>
  </si>
  <si>
    <t>202000363-0047</t>
  </si>
  <si>
    <t>Asistencia Técnica  en  Instrumentos de Planificación y gestión  territorial en los  municipios del Departamento del  Quindío.</t>
  </si>
  <si>
    <t>Incrementar en  Índice de Gestión y Desempeño de la  Administración Departamental,  a través de procesos de  asistencia técnica a los entes territoriales Municipales  en Instrumentos de Planificación  y  Gestión Territorial.</t>
  </si>
  <si>
    <t>Entidades territoriales asistidas técnicamente</t>
  </si>
  <si>
    <t>Entes territoriales con servicio de asistencia  técnica del Modelo Integrado de Planeación y de Gestión MIPG</t>
  </si>
  <si>
    <t>Entes Territoriales con procesos de asistencia técnica realizadas.</t>
  </si>
  <si>
    <t>Entes territoriales  con servicio de asistencia técnica en la Medición del Desempeño Municipal.</t>
  </si>
  <si>
    <t xml:space="preserve">Entes territoriales  con servicio de asistencia técnica en el Sistema de Identificación de Potenciales Beneficiarios de Programas Sociales (SISBEN). </t>
  </si>
  <si>
    <t>Instancias territoriales asistidas</t>
  </si>
  <si>
    <t>Entes territoriales con servicio de asistencia técnica en la formulación, preparación, seguimiento y evaluación de las políticas públicas.</t>
  </si>
  <si>
    <t xml:space="preserve">Entes territoriales  con servicio de asistencia técnica en Banco de Programas y Proyectos de Inversión Nacional (BPIN).  </t>
  </si>
  <si>
    <t>202000363-0008</t>
  </si>
  <si>
    <t xml:space="preserve"> Implementación  del Modelo Integrado de Planeación y de Gestión MIPG en la Administración Departamental del   Quindío</t>
  </si>
  <si>
    <t xml:space="preserve"> Aumentar en Índice de Gestión y Desempeño de la Administración Departamental considerando las dimensiones y políticas qué conforman en Modelo Integrado de Gestión y Desempeño </t>
  </si>
  <si>
    <t>307 SECREATRÍA DE HACIENDA</t>
  </si>
  <si>
    <t>Índice de Desempeño Fiscal Administración Departamental</t>
  </si>
  <si>
    <t>Estrategia para el mejoramiento del Índice de Desempeño Fiscal en la Administración Departamental.</t>
  </si>
  <si>
    <t>Estrategia  de fortalecimiento  del Índice de Desempeño  Fiscal implementadas.</t>
  </si>
  <si>
    <t>202000363-0048</t>
  </si>
  <si>
    <t>Implementación de estrategias de fortalecimiento del desempeño fiscal de la Administración departamental del Quindío</t>
  </si>
  <si>
    <t>Incrementar en Índice de Desempeño Fiscal de la Administración Departamental, a través de estrategias de autofinanciación de los gastos de funcionamiento, respaldo del servicio y mejoramiento de la deuda,  transferencias de la nación , generación de recursos propios, magnitud de la inversión y capacidad de ahorro, con el propósito de generar una mayor inversión social.</t>
  </si>
  <si>
    <t>Secretaría de Hacienda</t>
  </si>
  <si>
    <t>Maria Aleyda  Marin</t>
  </si>
  <si>
    <t>202000363-0049</t>
  </si>
  <si>
    <t xml:space="preserve">308 SECRETARÍA DE AGUAS E INFRAESTRUCTURA </t>
  </si>
  <si>
    <t xml:space="preserve">INCLUSIÓN SOCIAL Y EQUIDAD </t>
  </si>
  <si>
    <t>Promoción al acceso a la justicia. "Tú y yo con justicia"</t>
  </si>
  <si>
    <t>Tasa de homicidio por cada 100.000 habitantes
Tasa de hurto a personas  por cada 100.000 habitantes
Tasa de hurto a residencias por cada 100.000 habitantes
Tasa de hurto a comercio por cada 100.000 habitantes
Tasa de violencia intrafamiliar x cada 100.000 habitantes
Tasa  de delitos sexuales x 100.000 habitantes</t>
  </si>
  <si>
    <t>Infraestructura de las Instituciones de Seguridad del Estado construida, mejorada, ampliada, mantenida, y/o reforzada</t>
  </si>
  <si>
    <t>202000363-0017</t>
  </si>
  <si>
    <t>Mantener y/o reforzar  las Instituciones de seguridad del departamento del Quindío, con el propósito de  brindar a la  comunidad mejores condiciones de equidad y justicia.</t>
  </si>
  <si>
    <t xml:space="preserve">Secretaria de Aguas e Infraestructura </t>
  </si>
  <si>
    <t xml:space="preserve">Jhon Jaber Castro Mancera </t>
  </si>
  <si>
    <t>Índice Departamental de Competitividad</t>
  </si>
  <si>
    <t xml:space="preserve">Infraestructura hospitalaria con procesos constructivos, mejorados, ampliados, mantenidos, y/o reforzados </t>
  </si>
  <si>
    <t>Infraestructura hospitalaria con procesos constructivos, mejorados, ampliados, mantenidos, y/o reforzados realizados</t>
  </si>
  <si>
    <t>202000363-0018</t>
  </si>
  <si>
    <t>Mejorar la infraestructura hospitalaria del Departamento del Quindío, con el propósito de optimización de la prestación del servicio y en acceso incluyente y equitativo a la oferta de servicios del Estado.</t>
  </si>
  <si>
    <t>Calidad, cobertura y fortalecimiento de la educación inicial, prescolar, básica y media." Tú y yo con educación y de calidad"</t>
  </si>
  <si>
    <t>Tasa de cobertura bruta en transición
Tasa de cobertura bruta en educación básica
Tasa de cobertura en educación media
Tasa de deserción escolar intra-anual</t>
  </si>
  <si>
    <t>Infraestructura de Instituciones Educativas con procesos constructivos, mejorados, ampliados, mantenidos, y/o reforzados.</t>
  </si>
  <si>
    <t>Infraestructura de Instituciones Educativas construida, mejorada, ampliada, mantenida, y/o reforzada.</t>
  </si>
  <si>
    <t>202000363-0050</t>
  </si>
  <si>
    <t>Promoción y acceso efectivo a procesos culturales y artísticos. "Tú y yo somos cultura Quindiana"</t>
  </si>
  <si>
    <t>Tasa de participación en procesos y actividades artísticas y culturales.
Tasa de consumo de sustancias sicoactivas por 100.000 habitantes en el departamento del Quindío.</t>
  </si>
  <si>
    <t>3301068</t>
  </si>
  <si>
    <t>Servicio de mantenimiento de infraestructura cultural</t>
  </si>
  <si>
    <t>330106800</t>
  </si>
  <si>
    <t>Infraestructura cultural intervenida</t>
  </si>
  <si>
    <t>202000363-0051</t>
  </si>
  <si>
    <t xml:space="preserve"> Realizar mantenimiento de la  infraestructura cultural, para fortalecer los espacios de los artistas y gestores culturales dedicados a la creación, promoción y divulgación de actividades en el Departamento del Quindío.</t>
  </si>
  <si>
    <t>Cobertura de municipios qué participan en programas de recreación, actividad física y deporte social y comunitario en el Departamento del Quindío.
Cobertura de ligas apoyadas en el departamento del Quindío.
Porcentaje de medallería del departamento del Quindío en los Juegos Nacionales.</t>
  </si>
  <si>
    <t xml:space="preserve">Infraestructura  deportiva y/o recreativa con procesos   constructivos ,  y/o mejorados, y/o ampliados, y/o mantenidos, y/o  reforzados </t>
  </si>
  <si>
    <t xml:space="preserve">Infraestructura   deportiva y/o recreativa construida y/o mejorada, y/o ampliada, y/o mantenida, y/o  reforzada </t>
  </si>
  <si>
    <t>202000363-0052</t>
  </si>
  <si>
    <t xml:space="preserve">TERRITORIO, AMBIENTE Y DESARROLLO SOSTENIBLE </t>
  </si>
  <si>
    <t>Infraestructura red vial regional. "Tú y yo con movilidad vial"</t>
  </si>
  <si>
    <t xml:space="preserve">Índice de competitividad  en el sector de infraestructura vial </t>
  </si>
  <si>
    <t>Infraestructura  en  puentes  con procesos  de construcción, mejoramiento, ampliación, mantenimiento y/o reforzamiento</t>
  </si>
  <si>
    <t>Infraestructura en puentes construida, mejorada, ampliada, mantenida y/o reforzada</t>
  </si>
  <si>
    <t>Transporte</t>
  </si>
  <si>
    <t>202000363-0053</t>
  </si>
  <si>
    <t>Infraestructura   vial  con procesos  de construcción, mejoramiento, ampliación, mantenimiento y/o  reforzamiento.</t>
  </si>
  <si>
    <t xml:space="preserve">Infraestructura  vial    construida, mejorada, ampliada,  mantenida, y/o  reforzada </t>
  </si>
  <si>
    <t>Estudios y diseños de infraestructura vial</t>
  </si>
  <si>
    <t>Estudios y diseños de infraestructura vial elaborado.</t>
  </si>
  <si>
    <t>202000363-0054</t>
  </si>
  <si>
    <t xml:space="preserve"> Elaboración estudios y diseños de Infraestructura vial en el Departamento de Quindío </t>
  </si>
  <si>
    <t>Realizar  estudios de pre inversión de infraestructura vial,  con el objeto de gestionar  recursos de inversión   para  la  optimización de la red vial, reducción de costos de operación y  mejoramiento de la calidad de vida se los  habitantes del  departamento del Quindío,</t>
  </si>
  <si>
    <t>Ordenamiento Ambiental Territorial. "Tú y yo planificamos con sentido ambiental"</t>
  </si>
  <si>
    <t xml:space="preserve">Porcentaje de Ecosistemas protegidos y/o en procesos de restauración en el Departamento </t>
  </si>
  <si>
    <t>Obras para estabilización de taludes</t>
  </si>
  <si>
    <t>320501000</t>
  </si>
  <si>
    <t>Obras para estabilización de taludes realizadas</t>
  </si>
  <si>
    <t>202000363-0055</t>
  </si>
  <si>
    <t xml:space="preserve">Construir, mantener y/o mejorar de obras de infraestructura para la  estabilización de taludes qué presenten problemas de deslizamiento, con el propósito de establecer medidas de prevención y control para reducir los niveles de amenaza y riesgo. </t>
  </si>
  <si>
    <t>Cobertura  de municipios del departamento del Quindío  atendidos con estudios y/o construcción de obras   para mitigación y atención a desastres realizadas.</t>
  </si>
  <si>
    <t>Obras de infraestructura para mitigación y atención a desastres</t>
  </si>
  <si>
    <t xml:space="preserve">Obras de infraestructura para mitigación y atención a desastres realizadas </t>
  </si>
  <si>
    <t>202000363-0056</t>
  </si>
  <si>
    <t xml:space="preserve"> Construcción, mantenimiento y/o mejoramiento de obras de infraestructura  para la mitigación y atención de desastres en los municipios del departamento del Quindío </t>
  </si>
  <si>
    <t xml:space="preserve"> Construir, mantener y/o mejorar  obras de infraestructura para la  mitigación y atención de desastres en los municipios del departamento del Quindío, con el propósito de evitar pérdidas de vidas humanas, servicios, infraestructura y económicas, </t>
  </si>
  <si>
    <t>Acceso a soluciones de vivienda. "Tú y yo con vivienda digna"</t>
  </si>
  <si>
    <t>Déficit cualitativo de viviendas por hogares</t>
  </si>
  <si>
    <t>Viviendas de interés social urbanas mejoradas</t>
  </si>
  <si>
    <t>400101500</t>
  </si>
  <si>
    <t>Viviendas de Interés Social urbanas mejoradas</t>
  </si>
  <si>
    <t>202000363-0057</t>
  </si>
  <si>
    <t xml:space="preserve">Mejoramiento de Vivienda de Interés Social en el Departamento del Quindío </t>
  </si>
  <si>
    <t>Mejoramiento  de  vivienda de interés social VIS, con el propósito de reducir el déficit cualitativo de vivienda en el departamento, permitiendo  mejorar las condiciones de  calidad de vida de los quindianos.</t>
  </si>
  <si>
    <t>Acceso de la población a los servicios de agua potable y saneamiento básico. "Tú y yo con calidad del agua"</t>
  </si>
  <si>
    <t xml:space="preserve">Cobertura de acueducto
Cobertura  de alcantarillado </t>
  </si>
  <si>
    <t>Documentos de planeación elaborados</t>
  </si>
  <si>
    <t xml:space="preserve">Adoptar e implementar la Política Pública de Producción Consumo Sostenible y Gestión Integral de Aseo  </t>
  </si>
  <si>
    <t>Política Pública de Producción Consumo Sostenible y Gestión Integral de Aseo  adoptada e implementada.</t>
  </si>
  <si>
    <t>202000363-0014</t>
  </si>
  <si>
    <t xml:space="preserve"> Implementación del plan departamental para el manejo empresarial de los servicios de agua y saneamiento básico en el Departamento del Quindío  </t>
  </si>
  <si>
    <t xml:space="preserve"> Implementar estrategias de Implementar estrategias de planeación y coordinación interinstitucional para el manejo de los esquemas de abastecimiento y prestación de los servicios de agua y saneamiento urbanos y rurales  planeación y coordinación interinstitucional para el manejo de los esquemas de abastecimiento y prestación de los servicios de agua y saneamiento urbanos y rurales </t>
  </si>
  <si>
    <t xml:space="preserve">Cobertura  de alcantarillado </t>
  </si>
  <si>
    <t>Alcantarillados construidos</t>
  </si>
  <si>
    <t>Plantas de tratamiento de aguas residuales  construidas</t>
  </si>
  <si>
    <t>Servicios de apoyo financiero para la ejecución de proyectos de acueductos y alcantarillado</t>
  </si>
  <si>
    <t>Proyectos de acueducto y alcantarillado en área urbana financiados</t>
  </si>
  <si>
    <t>Servicios de educación informal en agua potable y saneamiento básico</t>
  </si>
  <si>
    <t>Eventos de educación informal en agua y saneamiento básico realizados</t>
  </si>
  <si>
    <t>Estudios de pre inversión e inversión</t>
  </si>
  <si>
    <t xml:space="preserve">Estudios o diseños realizados </t>
  </si>
  <si>
    <t>4003026</t>
  </si>
  <si>
    <t>Servicios de apoyo financiero para la ejecución de proyectos de acueductos y de manejo de aguas residuales</t>
  </si>
  <si>
    <t>Proyectos de acueducto y de manejo de aguas residuales en área rural financiados</t>
  </si>
  <si>
    <t>4599016</t>
  </si>
  <si>
    <t>Infraestructura Institucional o edificios públicos construida mejorada, ampliada, mantenida, y/o reforzada</t>
  </si>
  <si>
    <t>202000363-0058</t>
  </si>
  <si>
    <t>Salones comunales adecuados</t>
  </si>
  <si>
    <t>202000363-0059</t>
  </si>
  <si>
    <t xml:space="preserve">Construcción y/o adecuación de casetas comunales en los diferentes barrios del departamento </t>
  </si>
  <si>
    <t>Realizar construcción y/o adecuación de casetas comunales en los diferentes barrios del departamento, qué permitan generar procesos de participación ciudadana y la implementación de buenas prácticas sociales en comunidad.</t>
  </si>
  <si>
    <t xml:space="preserve">309  SECRETARÍA DEL INTERIOR </t>
  </si>
  <si>
    <t>Servicio de asistencia técnica para la articulación de los operadores de los servicio de justicia</t>
  </si>
  <si>
    <t>202000363-0060</t>
  </si>
  <si>
    <t>Disminuir los índice delitos  en el departamento del Quindío a través de procesos de asistencia Técnica y articulación  de acciones  con las Administraciones municipales .</t>
  </si>
  <si>
    <t>Secretario de Interior</t>
  </si>
  <si>
    <t>Eduardo Orozco Jaramillo</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</si>
  <si>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</si>
  <si>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</si>
  <si>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</si>
  <si>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202000363-0061</t>
  </si>
  <si>
    <t>Coordinar con los organismos de seguridad métodos  de intervenciones  transformadoras en zonas de miedo e impunidad</t>
  </si>
  <si>
    <t>Sistema penitenciario y carcelario en el marco de los derechos humanos. "Quindío respeta derechos penitenciarios"</t>
  </si>
  <si>
    <t>Servicio de resocialización de personas privadas de la libertad</t>
  </si>
  <si>
    <t>202000363-0062</t>
  </si>
  <si>
    <t xml:space="preserve">Implementación de  acciones de apoyo para  la  resocialización de las personas privadas de la libertad  en las Instituciones Penitenciarias  del Departamento  del Quindío. </t>
  </si>
  <si>
    <t xml:space="preserve"> Disminuir los índices de delitos en el departamento del Quindío, a través de la implementación de  acciones de apoyo para  la  resocialización de las personas privadas de la libertad en las Instituciones  Penitenciarios del departamento del Quindío.</t>
  </si>
  <si>
    <t>Cobertura de Instituciones Educativas con Planes Escolares de Gestión del Riesgo de Desastres-PEGERD</t>
  </si>
  <si>
    <t>Servicio de gestión de riesgos y desastres en establecimientos educativos</t>
  </si>
  <si>
    <t>Establecimientos educativos con acciones de gestión del riesgo implementadas</t>
  </si>
  <si>
    <t>Educación</t>
  </si>
  <si>
    <t>202000363-0063</t>
  </si>
  <si>
    <t xml:space="preserve"> Implementación  y/o fortalecimiento  de  los planes para la gestión del riesgo y desastres en las Instituciones Educativas Oficiales  del Departamento </t>
  </si>
  <si>
    <t>Aumentar la cobertura de Instituciones Educativas con Planes Escolares de Gestión del Riesgo de Desastres-PEGERD, a través de procesos de acompañamiento  a la  comunidad educativa  en la implementación y fortalecimiento de los mismos.</t>
  </si>
  <si>
    <t>Atención, asistencia y reparación integral a las víctimas. "Tú y yo con reparación integral"</t>
  </si>
  <si>
    <t>Cobertura de la población víctima atendida con procesos de atención, prevención y asistencia humanitaria</t>
  </si>
  <si>
    <t>Servicio de orientación y comunicación a las víctimas</t>
  </si>
  <si>
    <t>Solicitudes tramitadas</t>
  </si>
  <si>
    <t>202000363-0064</t>
  </si>
  <si>
    <t xml:space="preserve">Asistencia técnica, garantías, atención, ayuda humanitaria y promoción de iniciativas de memoria histórica a la población víctima del conflicto armado en el Departamento del Quindío </t>
  </si>
  <si>
    <t>Aumentar la cobertura en los procesos de atención, prevención, asistencia humanitaria,  líneas de emprendimiento,  fortalecimiento a proyectos productivos   y promoción  de iniciativas de la  memoria histórica qué beneficien  la población víctima del conflicto armado del Departamento del Quindío</t>
  </si>
  <si>
    <t>Servicio de ayuda y atención humanitaria</t>
  </si>
  <si>
    <t>Personas víctimas con ayuda humanitaria</t>
  </si>
  <si>
    <t>Servicio de asistencia técnica para la participación de las víctimas</t>
  </si>
  <si>
    <t>Eventos de participación realizados</t>
  </si>
  <si>
    <t>Cobertura de víctimas atendidas con la línea de emprendimiento y fortalecimiento.</t>
  </si>
  <si>
    <t>Servicio de apoyo para la generación de ingresos</t>
  </si>
  <si>
    <t>Hogares con asistencia técnica para la generación de ingresos</t>
  </si>
  <si>
    <t>Cobertura de Personas víctimas del conflicto beneficiadas con medidas de satisfacción (Construcción de memoria, Reparación simbólica y Construcción de lugares de memoria)</t>
  </si>
  <si>
    <t>Servicio de asistencia técnica para la realización de iniciativas de memoria histórica</t>
  </si>
  <si>
    <t>Iniciativas de memoria histórica asistidas técnicamente</t>
  </si>
  <si>
    <t>Inclusión social y productiva para la población en situación de vulnerabilidad. "Tú y yo, población vulnerable incluida"</t>
  </si>
  <si>
    <t>Cobertura de la población excombatiente atendida con procesos de atención y asistencia humanitaria</t>
  </si>
  <si>
    <t>Servicio de atención y asistencia para la población excombatiente del Departamento del Quindío</t>
  </si>
  <si>
    <t>Población excombatiente beneficiada</t>
  </si>
  <si>
    <t>202000363-0065</t>
  </si>
  <si>
    <t xml:space="preserve"> Aumentar la cobertura de la población excombatiente atendida con procesos de atención y asistencia en el departamento del Quindío. </t>
  </si>
  <si>
    <t>Fortalecimiento de la convivencia y la seguridad ciudadana. "Tú y yo seguros"</t>
  </si>
  <si>
    <t>Fortalecimiento institucional a organismos de seguridad</t>
  </si>
  <si>
    <t>Organismos de seguridad fortalecidos</t>
  </si>
  <si>
    <t>202000363-0066</t>
  </si>
  <si>
    <t xml:space="preserve"> Disminuir los índices  de delitos en el departamento del Quindío, a través de fortalecimiento de los organismos de seguridad, para el mejoramiento de la   convivencia, preservación del orden público y la seguridad ciudadana. </t>
  </si>
  <si>
    <t>Cobertura de asistencia a los municipios del departamento del Quindío en los procesos de la garantía y prevención de derechos humanos.</t>
  </si>
  <si>
    <t>Servicio de apoyo para la implementación de medidas en derechos humanos y derecho internacional humanitario</t>
  </si>
  <si>
    <t>Medidas implementadas en cumplimiento de las obligaciones internacionales en materia de Derechos Humanos y Derecho Internacional Humanitario</t>
  </si>
  <si>
    <t>202000363-0067</t>
  </si>
  <si>
    <t xml:space="preserve"> Implementación del Plan Integral de prevención de vulneraciones de los Derechos Humanos DDHH e infracciones  al Derecho Internacional Humanitario DIH en el Departamento del Quindío </t>
  </si>
  <si>
    <t>Aumentar la cobertura de asistencia a los municipios del departamento del Quindío en los procesos de la garantía y prevención de derechos humanos a través de la actualización, implementación y socialización en Plan Integral para la prevención a la vulneración de los DDHH.</t>
  </si>
  <si>
    <t>202000363-0068</t>
  </si>
  <si>
    <t xml:space="preserve"> Disminuir los índices de violencia intrafamiliar   a través de la implementación de acciones y gestiones para impulsar y adoptar políticas y planes qué promuevan la paz, la reconciliación, la legalidad y la convivencia en el territorio.  </t>
  </si>
  <si>
    <t>Cobertura  de municipios del departamento del Quindío  atendidos con estudios y/o construcción de obras para mitigación y atención a desastres realizadas.</t>
  </si>
  <si>
    <t>202000363-0069</t>
  </si>
  <si>
    <t>Aumentar la cobertura  de municipios del departamento del Quindío  atendidos con estudios   para mitigación y atención a desastres en la   planificación del  territorio  y priorización  de  acciones de intervención.</t>
  </si>
  <si>
    <t>Cobertura de   personas capacitadas en Gestión del Riesgo de Desastres  en el Departamento del Quindío, bajo en marco de Ciudades resilientes</t>
  </si>
  <si>
    <t>Servicio de educación informal</t>
  </si>
  <si>
    <t>Personas capacitadas</t>
  </si>
  <si>
    <t>202000363-0070</t>
  </si>
  <si>
    <t>Fortalecimiento de la gestión del Riesgo mediante los procesos de conocimiento, reducción del riesgo y manejo de desastres, en el Departamento del Quindío</t>
  </si>
  <si>
    <t xml:space="preserve">Aumentar cobertura de atención del Sistema Departamental de Gestión del Riesgo de Desastres del Departamento del Quindío,  a través del fortalecimiento  de los procesos de conocimiento, reducción del riesgo y manejo de desastres, con el propósito de contribuir a la seguridad, bienestar y calidad de vida de las personas. </t>
  </si>
  <si>
    <t>Cobertura de atención  del Sistema Departamental de Gestión del Riesgo de Desastres del Quindío.</t>
  </si>
  <si>
    <t>Servicio de atención a emergencias y desastres</t>
  </si>
  <si>
    <t>Centro de reserva  para la atención a emergencias y desastres dotado</t>
  </si>
  <si>
    <t>Iniciativas para la promoción de la participación ciudadana implementada.</t>
  </si>
  <si>
    <t>202000363-0071</t>
  </si>
  <si>
    <t xml:space="preserve">Aumentar la participación de ciudadanos en los eventos de elección popular, a través del  fortalecimiento, difusión, promoción y gestión  de la participación ciudadana, en control social, las veedurías, los procesos de elección democrática, organizaciones comunales, libertad religiosa y de cultos. </t>
  </si>
  <si>
    <t>Implementar la Política de Libertad Religiosa</t>
  </si>
  <si>
    <t>Política de Libertad Religiosa Implementado</t>
  </si>
  <si>
    <t>Fortalecimiento de los organismos  de acción comunal (OAC)  de los doce municipios del Departamento en lo relacionado a sus procesos formativos, participativos, de organización y  gestión.</t>
  </si>
  <si>
    <t>Municipios con organismos de acción comunal fortalecidos.</t>
  </si>
  <si>
    <t xml:space="preserve">Formulación de la  Política Pública Departamental para la  Acción Comunal </t>
  </si>
  <si>
    <t>Una Política Pública formulada.</t>
  </si>
  <si>
    <t xml:space="preserve">310 SECRETARÍA DE CULTURA </t>
  </si>
  <si>
    <t>.Cobertura en formación artística y cultural
.Tasa de consumo de sustancias sicoactivas por 100.000 habitantes en el departamento del Quindío.</t>
  </si>
  <si>
    <t>Servicio de educación informal en áreas artísticas y culturales</t>
  </si>
  <si>
    <t>202000363-0021</t>
  </si>
  <si>
    <t xml:space="preserve">Implementación de la "Ruta de la felicidad y la identidad quindiana", para el fortalecimiento y visibilización de los procesos artísticos y culturales en el Departamento del Quindío  </t>
  </si>
  <si>
    <t>Fortalecer en sector cultural del departamento del Quindío incrementando las   tasas de  participación en formación y actividades  artísticos culturales, a través de la implementación de la " Ruta de  la felicidad e  identidad  quindiana en  los municipios",    con la consiguiente disminución de las tasas de consumo de sustancias psicoactivas.</t>
  </si>
  <si>
    <t xml:space="preserve">Secretaría de Cultura </t>
  </si>
  <si>
    <t xml:space="preserve">Jorge Iván Espinoza Hidalgo </t>
  </si>
  <si>
    <t>Servicio de circulación artística y cultural</t>
  </si>
  <si>
    <t>Producciones artísticas en circulación</t>
  </si>
  <si>
    <t>.Tasa de cumplimiento al Plan de Biocultura en patrimonio y del PCC.
.Tasa de consumo de sustancias sicoactivas por 100.000 habitantes en el departamento del Quindío.</t>
  </si>
  <si>
    <t>Formulación e implementación del Plan de Cultura</t>
  </si>
  <si>
    <t>Plan Decenal de cultura formulado e implementado</t>
  </si>
  <si>
    <t>Servicio de educación formal al sector artístico y cultural</t>
  </si>
  <si>
    <t>Cupos de educación formal ofertados</t>
  </si>
  <si>
    <t>Tasa de lectura
Tasa de consumo de sustancias sicoactivas por 100.000 habitantes en el departamento del Quindío.</t>
  </si>
  <si>
    <t>Servicios bibliotecarios</t>
  </si>
  <si>
    <t>330108500</t>
  </si>
  <si>
    <t>Usuarios atendidos</t>
  </si>
  <si>
    <t>202000363-0020</t>
  </si>
  <si>
    <t xml:space="preserve">Implementación del programa "Tú y Yo Somos Cultura", para el fortalecimiento a la lectura,  escritura  y bibliotecas en el Departamento del Quindío   </t>
  </si>
  <si>
    <t xml:space="preserve">Incrementar la tasa de lectura  en el departamento del Quindío, a través del fortalecimiento del Plan Departamental de Lectura y Bibliotecas, con procesos de formación, producción y circulación de contenidos literarios con el fin de lograr  mayor acceso de las población a los servicios bibliotecarios físicos y virtuales..    </t>
  </si>
  <si>
    <t>Servicio de divulgación y publicaciones</t>
  </si>
  <si>
    <t>330110000</t>
  </si>
  <si>
    <t>Publicaciones realizadas</t>
  </si>
  <si>
    <t>Servicio de asistencia técnica en gestión artística y cultural</t>
  </si>
  <si>
    <t>330109500</t>
  </si>
  <si>
    <t>Personas asistidas técnicamente</t>
  </si>
  <si>
    <t>202000363-0072</t>
  </si>
  <si>
    <t xml:space="preserve">Aumentar la tasa de participación en procesos y actividades artísticas y culturales de los artistas y gestores del departamento del Quindío con la  implementación de los beneficios de la seguridad Social.  </t>
  </si>
  <si>
    <t>Gestión, protección y salvaguardia del patrimonio cultural colombiano. "Tú y yo protectores del patrimonio cultural"</t>
  </si>
  <si>
    <t>Tasa de cumplimiento al Plan de Biocultura en patrimonio y del PCC.
Tasa de consumo de sustancias sicoactivas por 100.000 habitantes en el departamento del Quindío.</t>
  </si>
  <si>
    <t>Servicio de asistencia técnica en el manejo y gestión del patrimonio arqueológico, antropológico e histórico.</t>
  </si>
  <si>
    <t>330204200</t>
  </si>
  <si>
    <t xml:space="preserve">Asistencias técnicas realizadas a entidades territoriales </t>
  </si>
  <si>
    <t>202000363-0073</t>
  </si>
  <si>
    <t>Aumentar la tasa de cumplimiento del  Plan de Biocultura en patrimonio y PCC,   a través de la implementación del programa de asistencia técnica en el manejo y gestión del patrimonio arqueológico, antropológico e histórico, qué permita  la apropiación, divulgación y publicación del Patrimonio cultural y del Paisaje Cultural Cafetero</t>
  </si>
  <si>
    <t>Servicio de divulgación y publicación del Patrimonio cultural</t>
  </si>
  <si>
    <t>330207000</t>
  </si>
  <si>
    <t xml:space="preserve">311 SECRETARÍA DE TURISMO INDUSTRIA Y COMERCIO </t>
  </si>
  <si>
    <t>PRODUCTIVIDAD Y COMPETITIVIDAD</t>
  </si>
  <si>
    <t xml:space="preserve">Productividad y competitividad de las empresas colombianas. "Tú y yo con empresas competitivas" </t>
  </si>
  <si>
    <t>Índice Departamental de Competitividad
Tasa de desempleo</t>
  </si>
  <si>
    <t>Servicio de apoyo y consolidación de las Comisiones Regionales de Competitividad - CRC</t>
  </si>
  <si>
    <t>350200600</t>
  </si>
  <si>
    <t xml:space="preserve">Planes de trabajo concertados con las CRC para su consolidación </t>
  </si>
  <si>
    <t>202000363-0074</t>
  </si>
  <si>
    <t>Incrementar en índice de competitividad en el Departamento del Quindío, a través  de la consolidación de la Comisión Regional de Competitividad e Innovación y en apoyo a  las iniciativas clúster,  vinculando en sector público,  privado y la academia.</t>
  </si>
  <si>
    <t>Secretaría de Turismo, Industria y Comercio</t>
  </si>
  <si>
    <t xml:space="preserve">Maria Teresa Ramírez León </t>
  </si>
  <si>
    <t>Servicio de asistencia técnica para el desarrollo de iniciativas Clústers</t>
  </si>
  <si>
    <t>350200700</t>
  </si>
  <si>
    <t>Clústeres asistidos en la implementación de los planes de acción</t>
  </si>
  <si>
    <t>350202200</t>
  </si>
  <si>
    <t>Empresas asistidas técnicamente</t>
  </si>
  <si>
    <t>202000363-0075</t>
  </si>
  <si>
    <t>Incrementar en índice de competitividad en el Departamento del Quindío,  a través de fortalecimiento del sector empresarial,  con el propósito de incrementar la competitividad para  en  acceso a nuevos mercados locales e internacionales.</t>
  </si>
  <si>
    <t>350204700</t>
  </si>
  <si>
    <t>Índice Departamental de Competitividad Turística
Tasa de desempleo</t>
  </si>
  <si>
    <t>350203900</t>
  </si>
  <si>
    <t>202000363-0076</t>
  </si>
  <si>
    <t xml:space="preserve"> Mejoramiento de la competitividad del  departamento como destino turístico  sostenible y de calidad .</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</si>
  <si>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calidad a nivel nacional e internacional.</t>
  </si>
  <si>
    <t>Proyectos de infraestructura turística apoyados</t>
  </si>
  <si>
    <t>Servicio de promoción turística</t>
  </si>
  <si>
    <t>350204600</t>
  </si>
  <si>
    <t>Campañas realizadas</t>
  </si>
  <si>
    <t>202000363-0077</t>
  </si>
  <si>
    <t xml:space="preserve"> Fortalecimiento de la promoción turística del destino Quindío a nivel  nacional e internacional </t>
  </si>
  <si>
    <t>Incrementar en índice de competitividad   turística,  a través de la promoción del departamento como destino turístico y en  fortalecimiento de las  Agencias de Inversión   con la articulación de  instituciones,  gremios y demás actores del sector.</t>
  </si>
  <si>
    <t>Generación y formalización del empleo. "Tú y yo con empleo de calidad"</t>
  </si>
  <si>
    <t>Servicios de apoyo financiero para la creación de empresas</t>
  </si>
  <si>
    <t>360201800</t>
  </si>
  <si>
    <t>Planes de negocio financiados</t>
  </si>
  <si>
    <t>202000363-0078</t>
  </si>
  <si>
    <t>Apoyo a la generación y formalización del empleo en el departamento del Quindío</t>
  </si>
  <si>
    <t>Incrementar en índice de competitividad  en el departamento del Quindío a través de la  formalización laboral y  generación de empleo con la  implementación  y promoción  del Ecosistemas de Emprendimientos  y la articulación con las entidades del sector trabajo.</t>
  </si>
  <si>
    <t>360203201</t>
  </si>
  <si>
    <t>Emprendimientos fortalecidos</t>
  </si>
  <si>
    <t>Servicio de asistencia técnica para la generación y formalización del empleo</t>
  </si>
  <si>
    <t>360202904</t>
  </si>
  <si>
    <t>Talleres de oferta institucional realizados</t>
  </si>
  <si>
    <t>Servicio de información y monitoreo del mercado de trabajo</t>
  </si>
  <si>
    <t>360203000</t>
  </si>
  <si>
    <t>Reportes realizados</t>
  </si>
  <si>
    <t xml:space="preserve">312 SECRETARÍA DE AGRICULTURA, DESARROLLO RURAL Y MEDIO AMBIENTE </t>
  </si>
  <si>
    <t>Crecimiento económico del sector agropecuario (PIB)</t>
  </si>
  <si>
    <t>Servicio de asesoría para el fortalecimiento de la asociatividad</t>
  </si>
  <si>
    <t>170201100</t>
  </si>
  <si>
    <t>Asociaciones fortalecidas</t>
  </si>
  <si>
    <t>202000363-0079</t>
  </si>
  <si>
    <t xml:space="preserve">Fortalecimiento e implementación de procesos de asociatividad y emprendimiento rural en el Departamento del Quindío.  </t>
  </si>
  <si>
    <t>Aumentar en crecimiento económico del sector agropecuario (PIB), a través del  fortalecimiento de las organizaciones de  productores, mediante acciones de capacitación, acompañamiento, asesoría y seguimiento,  para el fomento de la cultura de la asociatividad.</t>
  </si>
  <si>
    <t xml:space="preserve">Secretaria de Agricultura, Desarrollo Rural y Medio Ambiente </t>
  </si>
  <si>
    <t>Julio César Cortés Pulido</t>
  </si>
  <si>
    <t>Servicio de apoyo financiero para proyectos productivos</t>
  </si>
  <si>
    <t>170200700</t>
  </si>
  <si>
    <t>Proyectos productivos cofinanciados</t>
  </si>
  <si>
    <t>170200900</t>
  </si>
  <si>
    <t>Productores apoyados con activos productivos y de comercialización</t>
  </si>
  <si>
    <t>170201700</t>
  </si>
  <si>
    <t>Productores agropecuarios apoyados</t>
  </si>
  <si>
    <t>202000363-0023</t>
  </si>
  <si>
    <t xml:space="preserve"> Implementación de procesos productivos agropecuarios familiares campesinos en busca de la soberanía y seguridad alimentaria en el Departamento del Quindío </t>
  </si>
  <si>
    <t>Aumentar en crecimiento económico del sector agropecuario (PIB), a través  del  acompañamiento técnico a los productores en la producción primaria ( Transferencia  de  Tecnología, financiación, Insumos, reconversión productiva, seguridad,  soberanía alimentaria, normalización de la  calidad  de  los  productos e  infraestructura  productiva  y  de  servicios),  con el propósito de consolidar en liderazgo  empresarial, la  asociatividad,  las  alianzas  estratégicas,  las  cadenas productivas y la cooperación  técnica.</t>
  </si>
  <si>
    <t>170201400</t>
  </si>
  <si>
    <t>Productores beneficiados con acceso a maquinaria y equipo</t>
  </si>
  <si>
    <t>Servicio de acompañamiento productivo y empresarial</t>
  </si>
  <si>
    <t>170202100</t>
  </si>
  <si>
    <t>Unidades productivas beneficiadas</t>
  </si>
  <si>
    <t>Servicio de apoyo a la comercialización</t>
  </si>
  <si>
    <t>170203800</t>
  </si>
  <si>
    <t>Organizaciones de productores formales apoyadas</t>
  </si>
  <si>
    <t>202000363-0080</t>
  </si>
  <si>
    <t xml:space="preserve"> Fortalecimiento e implementación  de procesos de mercadeo y comercialización agropecuaria  en el Departamento del Quindío.                </t>
  </si>
  <si>
    <t>Aumentar en crecimiento económico del sector agropecuario (PIB), a través de la Formulación  e implementación de  programas y proyectos  integrales sostenibles,  mejoramiento de la  gestión de la calidad,   desarrollo de nuevos productos, inteligencia de mercados, estrategias de mercadeo y comercialización, sistemas de información, infraestructura y equipamiento.</t>
  </si>
  <si>
    <t>170203801</t>
  </si>
  <si>
    <t>Productores apoyados para la participación en mercados campesinos</t>
  </si>
  <si>
    <t>170202301</t>
  </si>
  <si>
    <t>Planes de Desarrollo Agropecuario y Rural elaborados</t>
  </si>
  <si>
    <t>202000363-0022</t>
  </si>
  <si>
    <t>Implementación de procesos de extensión agropecuaria e inocuidad (estatus sanitario, BPA, BPG) alimentaria; en el Departamento del Quindío</t>
  </si>
  <si>
    <t>Aumentar en crecimiento económico del sector agropecuario (PIB),  a través del desarrollo de  lineamientos para el fortalecimiento de habilidades, competencias técnicas, humanas,  financieras y estratégicas de los productores, para fortalecer la competitividad y sostenibilidad territorial del sector agropecuario.</t>
  </si>
  <si>
    <t>Servicios de acompañamiento en la implementación de planes de desarrollo agropecuario y rural</t>
  </si>
  <si>
    <t>170202400</t>
  </si>
  <si>
    <t>Planes de Desarrollo Agropecuario y Rural acompañados</t>
  </si>
  <si>
    <t>Servicio de apoyo en la formulación y estructuración de proyectos</t>
  </si>
  <si>
    <t>170202500</t>
  </si>
  <si>
    <t>Proyectos estructurados</t>
  </si>
  <si>
    <t>202000363-0081</t>
  </si>
  <si>
    <t xml:space="preserve"> Servicio de apoyo en la formulación y estructuración de proyectos de Desarrollo Rural e inclusión productiva  campesina en el Departamento del Quindío  </t>
  </si>
  <si>
    <t>Aumentar en crecimiento económico del sector agropecuario (PIB),  a través de la Formulación  e implementación de  programas y proyectos qué permitan  en ajuste, fortalecimiento  y la  articulación  interinstitucional  pública, privada y académica, en cuanto a la  operativización de las competencias de investigación, educación,  extensión  y  asistencia  técnica  agropecuaria sostenible.</t>
  </si>
  <si>
    <t>Servicios financieros y gestión del riesgo para las actividades agropecuarias y rurales. "Tú y yo con un campo protegido"</t>
  </si>
  <si>
    <t>170301300</t>
  </si>
  <si>
    <t>Personas beneficiadas</t>
  </si>
  <si>
    <t>202000363-0082</t>
  </si>
  <si>
    <t xml:space="preserve"> Apoyo a la Implementación de procesos para la prevención y mitigación de riesgos naturales del sector agropecuario en el Departamento del Quindío.  </t>
  </si>
  <si>
    <t>Aumentar en crecimiento económico del sector agropecuario (PIB), a través  del acompañamiento técnico, económico a los productores en la prevención y mitigación de riesgos naturales , gestionando en desarrollo y fortalecimiento de capacidades y habilidades técnicas, mediante transferencia de innovaciones tecnológicas y provisión de bienes y servicios.</t>
  </si>
  <si>
    <t>Ordenamiento social y uso productivo del territorio rural. "Tú y yo con un campo planificado"</t>
  </si>
  <si>
    <t>170400203</t>
  </si>
  <si>
    <t>202000363-0025</t>
  </si>
  <si>
    <t>Aumentar en crecimiento económico del sector agropecuario (PIB), a través de la formulación  e implementación  de programas y proyectos agropecuarios, sostenibles, de reconversión productiva, para ajustar en uso de la tierra acorde con su aptitud, aunando esfuerzos para mejorar la formalización de la propiedad rural, siguiendo los lineamientos del Plan de Ordenamiento Productivo y Social de la Propiedad Rural (POPSPR).</t>
  </si>
  <si>
    <t>Servicio de apoyo para el fomento de la formalidad</t>
  </si>
  <si>
    <t>170401700</t>
  </si>
  <si>
    <t xml:space="preserve">Personas sensibilizadas en la formalización </t>
  </si>
  <si>
    <t>Aprovechamiento de mercados externos. "Tú y yo a los mercados internacionales"</t>
  </si>
  <si>
    <t>Servicio de apoyo financiero para la participación en ferias nacionales e internacionales</t>
  </si>
  <si>
    <t>170600400</t>
  </si>
  <si>
    <t>Participaciones en ferias nacionales e internacionales</t>
  </si>
  <si>
    <t>202000363-0083</t>
  </si>
  <si>
    <t xml:space="preserve"> Fortalecimiento de eventos y  ferias para la competitividad productiva y empresarial del sector rural en el Departamento del Quindío </t>
  </si>
  <si>
    <t xml:space="preserve"> Aumentar en crecimiento económico del sector agropecuario (PIB),  a través del comercio interior  y exterior, inteligencia de mercados,  sistemas de información, acompañamiento  y  financiación  en mercadeo y  comercialización.</t>
  </si>
  <si>
    <t>Sanidad agropecuaria e inocuidad agroalimentaria. "Tú y yo con un agro saludable"</t>
  </si>
  <si>
    <t>Servicio de divulgación y socialización</t>
  </si>
  <si>
    <t>170706900</t>
  </si>
  <si>
    <t>Eventos realizados</t>
  </si>
  <si>
    <t>202000363-0084</t>
  </si>
  <si>
    <t xml:space="preserve"> Implementación de procesos de  sanidad e inocuidad alimentaria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</si>
  <si>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t>
  </si>
  <si>
    <t>Ciencia, tecnología e innovación agropecuaria. "Tú y yo con un agro interconectado"</t>
  </si>
  <si>
    <t>170801600</t>
  </si>
  <si>
    <t>Documentos de lineamientos técnicos elaborados</t>
  </si>
  <si>
    <t>202000363-0026</t>
  </si>
  <si>
    <t xml:space="preserve"> Implementación de procesos de innovación, ciencia y tecnología agropecuario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</si>
  <si>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 mediante la implementación de  sistemas de información y  metodologías del SNCCTI y SNIA, en el marco de la adopción e implementación de las Agendas de Competitividad, PEDCTI,  PECTIA, POPSPR y PDEA, entre otras.</t>
  </si>
  <si>
    <t>Servicio de información actualizado</t>
  </si>
  <si>
    <t>170805100</t>
  </si>
  <si>
    <t>Sistemas de información actualizados</t>
  </si>
  <si>
    <t>Infraestructura productiva y comercialización. "Tú y yo con agro competitivo"</t>
  </si>
  <si>
    <t>Centros logísticos agropecuarios adecuados</t>
  </si>
  <si>
    <t>202000363-0024</t>
  </si>
  <si>
    <t xml:space="preserve"> Implementación de procesos de agro industrialización con calidad e inocuidad en el Departamento del Quindío </t>
  </si>
  <si>
    <t xml:space="preserve"> Aumentar en crecimiento económico del sector agropecuario (PIB), a través del   fortalecimiento  y la  articulación  interinstitucional  pública, privada y académica, en cuanto a la  operativización de las competencias de investigación, educación,  extensión  y  asistencia  técnica agroindustrial, así  como  en  fomento  al  crédito, a la  infraestructura  productiva y en mejoramiento  continuo   de  la  calidad  de  vida  de  los  empresarios rurales.</t>
  </si>
  <si>
    <t>Infraestructura de pos cosecha adecuada</t>
  </si>
  <si>
    <t>170903400</t>
  </si>
  <si>
    <t>Servicio de procesamiento de caña panelera</t>
  </si>
  <si>
    <t>170909300</t>
  </si>
  <si>
    <t>Trapiches paneleros con servicio de procesamiento de caña.</t>
  </si>
  <si>
    <t>Crecimiento económico del sector agropecuario (PIB)
Tasa desempleo</t>
  </si>
  <si>
    <t>Servicio de asistencia técnica para emprendedores y/o empresas en edad temprana</t>
  </si>
  <si>
    <t>350201701</t>
  </si>
  <si>
    <t xml:space="preserve">Necesidades empresariales atendidas a partir de emprendimientos </t>
  </si>
  <si>
    <t>202000363-0085</t>
  </si>
  <si>
    <t xml:space="preserve"> Fortalecimiento  de nuevos emprendimientos e iniciativas clúster de las cadenas promisorias agropecuarias en el Departamento del Quindío.                     </t>
  </si>
  <si>
    <t xml:space="preserve"> Aumentar en crecimiento económico del sector agropecuario (PIB),  a través de acciones de capacitación, acompañamiento, asesoría, y seguimiento en competencias administrativas, organizacionales, mercados, extensión, planes de negocio y coordinación interinstitucional para el fomento de la cultura de asociatividad mediante alianzas Clúster</t>
  </si>
  <si>
    <t>Servicio de asistencia técnica para el desarrollo de iniciativas clústeres</t>
  </si>
  <si>
    <t>3201</t>
  </si>
  <si>
    <t>Fortalecimiento del desempeño ambiental de los sectores productivos. "Tú y yo guardianes de la biodiversidad.</t>
  </si>
  <si>
    <t>Documentos de lineamientos técnicos para mejorar la calidad ambiental de las áreas urbanas</t>
  </si>
  <si>
    <t>320101300</t>
  </si>
  <si>
    <t>202000363-0027</t>
  </si>
  <si>
    <t>Incrementar en porcentaje de ecosistemas protegidos y/o en procesos de restauración en el Departamento, a través del apoyo a los entes territoriales en la generación de lineamientos técnicos qué permitan mejorar la gestión y manejo de los relictos boscosos, los humedales y la silvicultura en áreas urbanas mejorando la calidad ambiental del Departamento. Además,   de la realización de campañas de monitoreo de calidad del aire .</t>
  </si>
  <si>
    <t>Servicio de vigilancia de la calidad del aire</t>
  </si>
  <si>
    <t>320100805</t>
  </si>
  <si>
    <t>Campaña de monitoreo de calidad del aire realizadas</t>
  </si>
  <si>
    <t>Conservación de la biodiversidad y sus servicios ecosistémicos. "Tú y yo en territorios biodiversos"</t>
  </si>
  <si>
    <t>3202005</t>
  </si>
  <si>
    <t>Servicio de restauración de ecosistemas</t>
  </si>
  <si>
    <t>320200500</t>
  </si>
  <si>
    <t>Áreas en proceso de restauración</t>
  </si>
  <si>
    <t>202000363-0086</t>
  </si>
  <si>
    <t xml:space="preserve"> Generación y desarrollo de acciones para la conservación de las áreas de importancia estratégica hídrica en el Departamento del Quindío </t>
  </si>
  <si>
    <t xml:space="preserve">Incrementar en porcentaje de ecosistemas protegidos y/o en procesos de restauración en el Departamento, a través de la  Adquisición y Mantenimiento de áreas estratégicas  de protección, en cumplimiento de las disposiciones de la Ley 99 de 1993, los instrumentos de Planeación Ambiental (POMCA del Río La Vieja) ;   promoción y recuperación de los cuerpos hídricos  mediante en enriquecimiento de especies nativas en los bosques riparios y la  promoción y desarrollo de esquemas de pago por servicios ambientales qué incentiven  la preservación de áreas de importancia estratégica para la conservación del recurso hídrico en el departamento. </t>
  </si>
  <si>
    <t>Servicio de recuperación de cuerpos de agua lénticos y lóticos</t>
  </si>
  <si>
    <t>320203704</t>
  </si>
  <si>
    <t>Bosque ripario recuperado</t>
  </si>
  <si>
    <t>Adquisición, mantenimiento y administración de áreas de importancia estratégica para la conservación y regulación del recurso hídrico.</t>
  </si>
  <si>
    <t xml:space="preserve">Número de Hectáreas intervenidas </t>
  </si>
  <si>
    <t>Servicio apoyo financiero para la implementación de esquemas de pago por servicio ambientales</t>
  </si>
  <si>
    <t xml:space="preserve">Esquemas de Pago por Servicio ambientales implementados </t>
  </si>
  <si>
    <t xml:space="preserve">Estrategia  departamental para la protección y bienestar de los animales domésticos y silvestres del Departamento </t>
  </si>
  <si>
    <t>Estrategia  para la protección y bienestar de los animales domésticos y silvestres adoptada</t>
  </si>
  <si>
    <t>202000363-0028</t>
  </si>
  <si>
    <t>Incrementar en porcentaje de ecosistemas protegidos y/o en procesos de restauración en el Departamento, a través de la implementación de  la estrategia “Quindío libre de maltrato animal”, en asocio con los diferentes sectores e instituciones del departamento, para  la protección de la fauna silvestre y doméstica,  qué generen en la  comunidad   concientización de la  tenencia responsable de mascotas y un departamento sin tráfico de fauna.</t>
  </si>
  <si>
    <t>Realizar  campaña  de sensibilización y apropiación del patrimonio ambiental en el Departamento</t>
  </si>
  <si>
    <t>Campaña  de sensibilización y apropiación del patrimonio ambiental realizada</t>
  </si>
  <si>
    <t>202000363-0087</t>
  </si>
  <si>
    <t xml:space="preserve">Realización de campañas de sensibilización y apropiación del patrimonio ambiental  del paisaje, la biodiversidad y sus servicios ecosistémicos en el Departamento del Quindío </t>
  </si>
  <si>
    <t>Incrementar en porcentaje de ecosistemas protegidos y/o en procesos de restauración en el Departamento,  a través de la realización de  campañas educativas ambientales qué permitan la apropiación y sensibilización del patrimonio ambiental y en Paisaje Cultural Cafetero,    en  los sectores institucionales, educativos y sociales, articulados con el Comité Interinstitucional de Educación Ambiental CIDEA y los Proyectos Educativos Ambientales PRAES.</t>
  </si>
  <si>
    <t>3204</t>
  </si>
  <si>
    <t>Gestión de la información y en conocimiento ambiental. "Tú y yo conscientes con la naturaleza"</t>
  </si>
  <si>
    <t>Servicio de apoyo financiero a emprendimientos</t>
  </si>
  <si>
    <t>320401200</t>
  </si>
  <si>
    <t xml:space="preserve">Emprendimientos apoyados </t>
  </si>
  <si>
    <t>202000363-0029</t>
  </si>
  <si>
    <t xml:space="preserve">Apoyo a nuevos modelos de vida sostenibles, sustentables y eficientes en el suelo rural y urbano en el Departamento del Quindío  </t>
  </si>
  <si>
    <t xml:space="preserve"> Incrementar en porcentaje de ecosistemas protegidos y/o en procesos de restauración en el Departamento, a través del apoyo a iniciativas de emprendimientos verdes qué incorporen conceptos de eficiencia ambiental como economía circular, carbono neutral, agricultura regenerativa  entre otros.</t>
  </si>
  <si>
    <t>3205009</t>
  </si>
  <si>
    <t>Barreras rompe vientos recuperadas</t>
  </si>
  <si>
    <t>320500900</t>
  </si>
  <si>
    <t>Barreras rompe vientos</t>
  </si>
  <si>
    <t>202000363-0030</t>
  </si>
  <si>
    <t xml:space="preserve"> Implementación de acciones de Gestión del Cambio Climático en el marco del PIGCC, en el Departamento del Quindío</t>
  </si>
  <si>
    <t xml:space="preserve">Aumentar en porcentaje de ecosistemas protegidos y/o en procesos de restauración en el Departamento, a través de la implementación de  estrategias que permitan en desarrollo de acciones de adaptación y mitigación de los efectos del cambio climático con la  intervención de obras  de estabilización de taludes, control erosión  y barreras rompe vientos. </t>
  </si>
  <si>
    <t>3205014</t>
  </si>
  <si>
    <t>Obras para el control de erosión</t>
  </si>
  <si>
    <t>320501400</t>
  </si>
  <si>
    <t xml:space="preserve">Área reforestada </t>
  </si>
  <si>
    <t>3206</t>
  </si>
  <si>
    <t>3206005</t>
  </si>
  <si>
    <t>Servicio de divulgación de la información en gestión del cambio climático para un desarrollo bajo en carbono y resiliente al clima</t>
  </si>
  <si>
    <t>320600500</t>
  </si>
  <si>
    <t xml:space="preserve">Campañas de información en gestión de cambio climático realizadas </t>
  </si>
  <si>
    <t>202000363-0088</t>
  </si>
  <si>
    <t xml:space="preserve">Implementación de un programa  de protección del  patrimonio ambiental , en paisaje, la biodiversidad y sus servicios ecosistémicos en el Departamento del Quindío  </t>
  </si>
  <si>
    <t xml:space="preserve">Aumentar en porcentaje de ecosistemas protegidos y/o en procesos de restauración en el Departamento,  a través   de  la realización de campañas educativas ambientales,  Servicios de producción de Plántulas  en viveros  e instalación de estufas ecoeficientes,   qué permitan la protección de patrimonio ambiental,  en paisaje, la biodiversidad y sus servicios ecosistémicos. </t>
  </si>
  <si>
    <t>Servicio de producción de plántulas en viveros</t>
  </si>
  <si>
    <t>320601400</t>
  </si>
  <si>
    <t>Plántulas producidas</t>
  </si>
  <si>
    <t>3206015</t>
  </si>
  <si>
    <t>Estufas ecoeficientes</t>
  </si>
  <si>
    <t>320601500</t>
  </si>
  <si>
    <t>Estufas ecoeficientes instaladas y en operación</t>
  </si>
  <si>
    <t xml:space="preserve">313 DIRECCIÓN OFICINA PRIVADA </t>
  </si>
  <si>
    <t>Desarrollo de  la Política  de Transparencia, Acceso a la Información Pública y Lucha Contra la Corrupción del Modelo Integrado de Planificación y Gestión MIPG, articulada con el "Pacto por la Integridad , Transparencia y Legalidad" del Gobierno Nacional</t>
  </si>
  <si>
    <t xml:space="preserve">Política de Transparencia, Acceso a la Información Pública y Lucha Contra la Corrupción  articulada   con el "Pacto por la Integridad , Transparencia y Legalidad" del Gobierno Nacional desarrollada.                                                                                   </t>
  </si>
  <si>
    <t>202000363-0089</t>
  </si>
  <si>
    <t>Aumentar Índice de Gestión del Modelo Integrado de Planeación y de Gestión MIPG  del Departamento del Quindío, a través de desarrollo de la Política de Transparencia, Acceso a la Información Pública y Lucha Contra la Corrupción del Modelo Integrado de Planificación y Gestión MIPG, articulada con el "Pacto por la Integridad, Transparencia y Legalidad" del Gobierno Nacional, basado en la generación de cambios culturales en la institucionalidad y la ciudadanía.</t>
  </si>
  <si>
    <t xml:space="preserve">Dirección Oficina Privada </t>
  </si>
  <si>
    <t xml:space="preserve">Juan Miguel Galvis Bedoya </t>
  </si>
  <si>
    <t>Desarrollo e implementación de la estrategia de comunicaciones para la Administración Departamental</t>
  </si>
  <si>
    <t>Estrategia de comunicaciones desarrollada e implementada</t>
  </si>
  <si>
    <t>202000363-0090</t>
  </si>
  <si>
    <t>Desarrollo e implementación de  una estrategia  de comunicaciones  de la gestión institucional  de la Administración Departamental del Quindío "Hacia un  gobierno abierto".</t>
  </si>
  <si>
    <t>Aumentar Índice de Gestión del Modelo Integrado de Planeación y de Gestión MIPG  del Departamento del Quindío, a través del desarrollo e implementación de la estrategia de comunicaciones para la administración departamental,  conducente a la divulgación de la  oferta institucional a nivel departamental, nacional e internacional, con el propósito de acercar a la comunidad y en Estado, incrementado de esta forma, la participación de los diferentes actores de la gestión territorial.</t>
  </si>
  <si>
    <t xml:space="preserve">Encuentros ciudadanos en el Departamento del Quindío en aplicación de la Política de Transparencia, Acceso a la Información Pública y Lucha contra la Corrupción.  </t>
  </si>
  <si>
    <t>Encuentros  ciudadanos realizados.</t>
  </si>
  <si>
    <t>202000363-0031</t>
  </si>
  <si>
    <t>Fortalecimiento de  las capacidades institucionales de la administración departamental del Quindío, para generar condiciones de gobernanza territorial, participación, administración eficiente y transparente.</t>
  </si>
  <si>
    <t xml:space="preserve">Incrementar en porcentaje promedio  de participación de ciudadanos en los eventos de elección popular,  a través de la realización de  encuentros ciudadanos como un mecanismo de gobernabilidad para identificar los problemas y necesidades más sentidas de la comunidad, enmarcado en la generación de soluciones adecuadas, a través de la ejecución de proyectos qué propicien en desarrollo territorial participativo e incluyente </t>
  </si>
  <si>
    <t xml:space="preserve">314 SECRETARÍA DE EDUCACIÓN </t>
  </si>
  <si>
    <t>Tasa de deserción escolar intra -anual</t>
  </si>
  <si>
    <t>Servicio de fomento para la permanencia en programas de educación formal</t>
  </si>
  <si>
    <t>Personas beneficiarias de estrategias de permanencia</t>
  </si>
  <si>
    <t>202000363-0091</t>
  </si>
  <si>
    <t>Fortalecimiento de Estrategias de Acceso, Bienestar y Permanencia en el Sector Educativo del Departamento del Quindío</t>
  </si>
  <si>
    <t>Aumentar las tasas de cobertura bruta y disminuir las tasas  repitencia y deserción escolar  en la  educación inicial, preescolar, básica y media, a través  del fortalecimiento de estrategias  de acceso,  bienestar y  permanencia de los niños, niñas, adolescentes, jóvenes y adultos en el sector educativo del Departamento del Quindío, promoviendo la trayectoria educativa completa.</t>
  </si>
  <si>
    <t xml:space="preserve">Secretaría de Educación </t>
  </si>
  <si>
    <t>Liliana María Sánchez Villada</t>
  </si>
  <si>
    <t xml:space="preserve">Tasa de cobertura bruta en transición
Tasa de cobertura bruta en educación básica
Tasa de cobertura en educación media 
Tasa de deserción escolar intra-anual </t>
  </si>
  <si>
    <t>Servicio de acondicionamiento de ambientes de aprendizaje</t>
  </si>
  <si>
    <t>Ambientes de aprendizaje en funcionamiento</t>
  </si>
  <si>
    <t>Tasa de cobertura bruta en transición
Tasa de cobertura bruta en educación básica
Tasa de cobertura en educación media
Tasa de deserción escolar intra-anual
Tasa de repitencia</t>
  </si>
  <si>
    <t>Servicio de apoyo a la permanencia con alimentación escolar</t>
  </si>
  <si>
    <t>Beneficiarios de la alimentación escolar</t>
  </si>
  <si>
    <t>Servicio de apoyo a la permanencia con transporte escolar</t>
  </si>
  <si>
    <t>Beneficiarios de transporte escolar</t>
  </si>
  <si>
    <t>Estudios de preinversión</t>
  </si>
  <si>
    <t>Estudios o diseños realizados</t>
  </si>
  <si>
    <t>Tasa de cobertura bruta en transición
Tasa de cobertura bruta en educación básica
Tasa de cobertura en educación media 
Tasa de deserción escolar intra-anual 
Cobertura de Instituciones Educativas con Planes Escolares de Gestión del Riesgo de Desastres-PEGERD</t>
  </si>
  <si>
    <t>Infraestructura educativa dotada</t>
  </si>
  <si>
    <t>Sedes dotadas</t>
  </si>
  <si>
    <t>Cobertura en asistencia técnica a la educación inicial (0 a 4 años)</t>
  </si>
  <si>
    <t>Servicio de información para la gestión de la educación inicial y preescolar en condiciones de calidad</t>
  </si>
  <si>
    <t xml:space="preserve">Entidades territoriales qué hacen seguimiento a las condiciones de calidad de los prestadores de educación inicial o preescolar a través del Sistema de Información de Primera Infancia -SIPI- </t>
  </si>
  <si>
    <t>202000363-0092</t>
  </si>
  <si>
    <t>Fortalecimiento para la gestión de la educación inicial y preescolar en el marco de la atención integral a la primera infancia en el Departamento del Quindío.</t>
  </si>
  <si>
    <t>Aumentar las coberturas de asistencia técnica en educación inicial y transición en el departamento del Quindío, a través de estrategias de mejoramiento de la calidad de la educación inicial en el nivel de preescolar en los Establecimientos Educativos Oficiales del departamento con la  apropiación de  políticas  y  lineamientos pedagógicos expedidos por el Ministerio de Educación Nacional.</t>
  </si>
  <si>
    <t>Tasa de cobertura bruta en transición</t>
  </si>
  <si>
    <t>Servicio de atención integral para la primera infancia</t>
  </si>
  <si>
    <t>Porcentaje de pruebas SABER 5 Lenguaje (nivel Insuficiente) 
Porcentaje de pruebas SABER 5 Matemáticas (nivel Insuficiente) 
Porcentaje de pruebas SABER 9 Lenguaje (nivel Insuficiente)  
Porcentaje de pruebas SABER 9 Matemáticas (nivel Insuficiente) 
Porcentaje de Colegios pruebas SABER 11 con resultado A+ - A</t>
  </si>
  <si>
    <t>Servicio de evaluación de la calidad de la educación preescolar, básica o media.</t>
  </si>
  <si>
    <t>Estudiantes evaluados con pruebas de calidad educativa</t>
  </si>
  <si>
    <t>202000363-0093</t>
  </si>
  <si>
    <t>Aumentar las tasas  de coberturas  brutas y de  pruebas  saber 5, 9 y 11  y disminución  de los índices de analfabetismo, deserción, repitencia  en la  educación inicial y transición,    a través del fortalecimiento de la calidad educativa con inclusión y equidad,  generando  estrategias en innovación educativa  qué promuevan   en desarrollo integral de los estudiantes y docentes de las Instituciones Educativas Oficiales del Departamento.</t>
  </si>
  <si>
    <t>Docentes de educación inicial, preescolar, básica y media beneficiados con estrategias de mejoramiento de sus capacidades</t>
  </si>
  <si>
    <t>Servicio de fortalecimiento a las capacidades de los docentes y agentes educativos en educación inicial o preescolar de acuerdo a los referentes nacionales</t>
  </si>
  <si>
    <t>Docentes y agentes educativos beneficiarios de Servicio de fortalecimiento a sus capacidades de acuerdo a los referentes nacionales</t>
  </si>
  <si>
    <t xml:space="preserve">Tasa de cobertura bruta en educación básica
Tasa de cobertura en educación media
</t>
  </si>
  <si>
    <t>Servicio de apoyo para la implementación de la estrategia educativa del sistema de responsabilidad penal para adolescentes</t>
  </si>
  <si>
    <t>Entidades Territoriales certificadas con asistencia técnica para el fortalecimiento de la estrategia educativa del sistema de responsabilidad penal para adolescentes</t>
  </si>
  <si>
    <t>Tasa de cobertura bruta en educación básica
Tasa de cobertura en educación media
Tasa de Analfabetismo
Tasa de deserción escolar intra-anual
Tasa de repitencia</t>
  </si>
  <si>
    <t>Servicio educación formal por modelos educativos flexibles</t>
  </si>
  <si>
    <t>Beneficiarios atendidos con modelos educativos flexibles</t>
  </si>
  <si>
    <t xml:space="preserve">Tasa de Analfabetismo </t>
  </si>
  <si>
    <t>Servicio de alfabetización</t>
  </si>
  <si>
    <t xml:space="preserve">Personas beneficiarias con modelos de alfabetización </t>
  </si>
  <si>
    <t xml:space="preserve">Tasa de cobertura bruta en educación media 
Años promedio de estudio (población de 15 a 24 años) </t>
  </si>
  <si>
    <t>Servicio de articulación entre la educación media y en sector productivo.</t>
  </si>
  <si>
    <t xml:space="preserve">Programas y proyectos de educación pertinente articulados con el sector productivo </t>
  </si>
  <si>
    <t>Servicios de asistencia técnica en innovación educativa en la educación inicial, preescolar, básica y media</t>
  </si>
  <si>
    <t>Instituciones educativas asistidas técnicamente en innovación educativa</t>
  </si>
  <si>
    <t>Servicio de fomento para la prevención de riesgos sociales en entornos escolares</t>
  </si>
  <si>
    <t>Entidades territoriales con estrategias para la prevención de riesgos sociales en los entornos escolares implementadas</t>
  </si>
  <si>
    <t>Servicio de apoyo a proyectos pedagógicos productivos</t>
  </si>
  <si>
    <t>Proyectos apoyados</t>
  </si>
  <si>
    <t>Servicio de orientación vocacional</t>
  </si>
  <si>
    <t>Estudiantes vinculados a procesos de orientación vocacional</t>
  </si>
  <si>
    <t>Servicio de apoyo para el fortalecimiento de escuelas de padres</t>
  </si>
  <si>
    <t>Escuelas de padres apoyadas</t>
  </si>
  <si>
    <t>Tasa de cobertura bruta en transición
Tasa de cobertura bruta en educación básica
Tasa de cobertura en educación media
Tasa de Analfabetismo
Tasa de deserción escolar intra-anual
Tasa de repitencia</t>
  </si>
  <si>
    <t>Servicio de asistencia técnica en educación inicial, preescolar, básica y media</t>
  </si>
  <si>
    <t>Entidades y organizaciones asistidas técnicamente</t>
  </si>
  <si>
    <t>202000363-0016</t>
  </si>
  <si>
    <t>Fortalecimiento territorial para una gestión educativa integral en la Secretaría de Educación Departamental del Quindío</t>
  </si>
  <si>
    <t>Aumentar las tasas de cobertura bruta y disminuir las tasas  repitencia y deserción escolar, a través del fortalecimiento  del seguimiento y evaluación de la gestión institucional, buscando potenciar en los diferentes equipos de trabajo, las capacidades para ejecutar procesos de gestión integrales y articulados en la prestación del servicio educativo de calidad</t>
  </si>
  <si>
    <t>Servicio de monitoreo y seguimiento a la gestión del sector educativo</t>
  </si>
  <si>
    <t>Entidades territoriales con seguimiento y evaluación a la gestión.</t>
  </si>
  <si>
    <t>Servicios de atención psicosocial a estudiantes y docentes</t>
  </si>
  <si>
    <t xml:space="preserve">Personas atendidas </t>
  </si>
  <si>
    <t xml:space="preserve">Tasa de cobertura bruta en transición
Tasa de cobertura bruta en educación básica
Tasa de cobertura en educación media
</t>
  </si>
  <si>
    <t>Servicio educativo</t>
  </si>
  <si>
    <t>Establecimientos educativos en operación</t>
  </si>
  <si>
    <t>Servicio de accesibilidad a contenidos web para fines pedagógicos</t>
  </si>
  <si>
    <t>Estudiantes con acceso a contenidos web en el establecimiento educativo</t>
  </si>
  <si>
    <t>202000363-0094</t>
  </si>
  <si>
    <t>Fortalecimiento de las  Tecnologías de Información y Comunicación TIC,  para una innovación educativa de calidad en el departamento del Quindío.</t>
  </si>
  <si>
    <t>Aumentar las tasas de cobertura bruta y disminuir las tasas  repitencia y deserción escolar a través de la implementación de  estrategias basadas en las Tecnologías de la Información para los Establecimientos  Educativos y la  Secretaria de Educación Departamental, permitiendo dar una respuesta pertinente a las necesidades en los diferentes recursos tecnológicos, propiciando una Gestión Educativa Integral.</t>
  </si>
  <si>
    <t>Establecimientos educativos conectados a internet</t>
  </si>
  <si>
    <t>Documentos de planeación para la educación inicial, preescolar, básica y media emitidos</t>
  </si>
  <si>
    <t>Documento para la planeación estratégica en TI</t>
  </si>
  <si>
    <t>Planes de Mejoramiento de los sistemas de información de las secretarías de educación implementados</t>
  </si>
  <si>
    <t>Porcentaje de estudiantes de grado 11 con dominio de inglés a nivel B1 (preintermedio)</t>
  </si>
  <si>
    <t>Servicio educativos de promoción del bilingüismo</t>
  </si>
  <si>
    <t>Estudiantes beneficiados con estrategias de promoción del bilingüismo</t>
  </si>
  <si>
    <t>202000363-0015</t>
  </si>
  <si>
    <t>Fortalecimiento de las competencias comunicativas en lengua extranjera en estudiantes y docentes de las instituciones educativas oficiales del Departamento del Quindío.</t>
  </si>
  <si>
    <t>Aumentar en porcentaje de estudiantes de grado 11 con dominio de inglés a nivel B1 (preintermedio) a través del fortalecimiento del nivel de inglés de los niños, niñas y jóvenes qué asisten a las Instituciones Educativas Oficiales del Departamento del Quindío.</t>
  </si>
  <si>
    <t>Servicios educativos de promoción del bilingüismo</t>
  </si>
  <si>
    <t>Instituciones educativas fortalecidas en competencias comunicativas en un segundo idioma</t>
  </si>
  <si>
    <t>Servicio educativo de promoción del bilingüismo para docentes</t>
  </si>
  <si>
    <t>Docentes beneficiados con estrategias de promoción del bilingüismo</t>
  </si>
  <si>
    <t>202000363-0095</t>
  </si>
  <si>
    <t>Implementación del observatorio de educación, con el fin de recopilar y producir información del sector educativo con enfoque territorial.</t>
  </si>
  <si>
    <t>Aumentar las tasas de cobertura bruta y disminuir las tasas  repitencia y deserción escolar, a través del diseño e implementación en   Observatorio de Investigación, Innovación y Documentación Educativa del Departamento del Quindío.</t>
  </si>
  <si>
    <t>Servicios de información en materia educativa</t>
  </si>
  <si>
    <t>Observatorio implementado</t>
  </si>
  <si>
    <t>Tasa de cobertura en educación superior</t>
  </si>
  <si>
    <t>Estrategias o programas de  fomento para  acceso y  permanencia a la educación superior o terciaria implementados</t>
  </si>
  <si>
    <t>202000363-0096</t>
  </si>
  <si>
    <t>Aumentar la tasa de cobertura en educación superior,  a través del fortalecimiento del acceso y la permanencia de los estudiantes egresados de los Establecimientos Educativos Oficiales   adscritos a la Secretaría de Educación Departamental a la educación técnica, tecnológica o superior.</t>
  </si>
  <si>
    <t>Generación de una cultura qué valora y gestiona en conocimiento y la innovación.</t>
  </si>
  <si>
    <t xml:space="preserve">
Tasa de cobertura bruta en educación básica
Tasa de cobertura en educación media
</t>
  </si>
  <si>
    <t>Servicio para el fortalecimiento de capacidades institucionales para el fomento de vocación científica</t>
  </si>
  <si>
    <t>Instituciones educativas qué participan en programas qué fomentan la cultura de la Ciencia, la Tecnología y la Innovación fortalecidas</t>
  </si>
  <si>
    <t>202000363-0097</t>
  </si>
  <si>
    <t>Implementación  y fortalecimiento de  las estrategias qué fomenten la ciencia, la tecnología y la innovación en las Instituciones Educativas Oficiales del Departamento.</t>
  </si>
  <si>
    <t xml:space="preserve">Aumentar las tasas de cobertura bruta en educación  básica y media, a través de la  Promoción  de  la investigación en los estudiantes  matriculados en las Instituciones Educativas Oficiales del Departamento del Quindío, a través de la Ciencia, Tecnología y la Innovación. </t>
  </si>
  <si>
    <t>316 SECRETARÍA DE FAMILIA</t>
  </si>
  <si>
    <t>Salud Pública, "Tú y yo con salud de calidad"</t>
  </si>
  <si>
    <t>Razón de mortalidad materna (por 100.000 nacidos vivos)
Porcentaje de atención institucional del parto.
Tasa  de mujeres de 10 a 14 años qué han sido madres o están en embarazo.
Tasa de mujeres de 15 a 19 años qué han sido madres o están en embarazo.
Prevalencia de VIH/SIDA en población de 15 a 49 años de edad.
Tasa de mortalidad asociada a VIH/SIDA.
Porcentaje transmisión materno -infantil del VIH.
Cobertura de tratamiento antirretroviral</t>
  </si>
  <si>
    <t xml:space="preserve">Servicio de gestión del riesgo en temas de salud sexual y reproductiva </t>
  </si>
  <si>
    <t>Campañas de gestión del riesgo en temas de salud sexual y reproductiva implementadas.</t>
  </si>
  <si>
    <t xml:space="preserve"> 202000363-0011</t>
  </si>
  <si>
    <t xml:space="preserve"> Disminuir las tasas  de mortalidad materna, embarazos, violencia y suicidios en el Departamento del Quindío, a través del fomento de  hábitos de vida saludables y derechos sexuales y reproductivos. </t>
  </si>
  <si>
    <t xml:space="preserve">Secretaría de Familia </t>
  </si>
  <si>
    <t xml:space="preserve">Alba Johana Quejada Torres </t>
  </si>
  <si>
    <t>Tasa de violencia de género.
Tasa de Suicidio  x 100.000 Habitantes en el Departamento del Quindío.
Tasa de suicidios en niños y niñas ( 6 a 11 años)
Tasa de suicidios en adolescentes (12 a 17 años)
Tasa de suicidios (18 - 28 años)Tasa de Consumo de Sustancias Psicoactivas  x 100.000 Habitantes en el Departamento del Quindío.</t>
  </si>
  <si>
    <t xml:space="preserve">Servicio de gestión del riesgo en temas de trastornos mentales </t>
  </si>
  <si>
    <t>Campañas de gestión del riesgo en temas de trastornos mentales implementadas</t>
  </si>
  <si>
    <t>Cobertura  de municipios   con  jóvenes en riesgo psicosocial impactados en los  Barrios vulnerables del Departamento del Quindío</t>
  </si>
  <si>
    <t>Servicio de educación informal al sector artístico y cultural</t>
  </si>
  <si>
    <t>Capacitaciones de educación informal realizadas</t>
  </si>
  <si>
    <t>202000363-0098</t>
  </si>
  <si>
    <t>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t>
  </si>
  <si>
    <t>Desarrollo Integral de Niños, Niñas, Adolescentes y sus Familias. "Tú y yo niños, niñas y adolescentes con desarrollo integral"</t>
  </si>
  <si>
    <t xml:space="preserve">Cobertura en la  implementación del  Modelo de entornos protectores y atención integral de   la primera infancia </t>
  </si>
  <si>
    <t xml:space="preserve">Diseñar e implementar un modelo de atención integral en entornos protectores para la primera infancia </t>
  </si>
  <si>
    <t>Modelo de atención integral de entornos protectores implementado</t>
  </si>
  <si>
    <t>202000363-0099</t>
  </si>
  <si>
    <t>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t>
  </si>
  <si>
    <t xml:space="preserve">Cobertura  en la  implementación y seguimiento de las   Rutas integrales de atención  a la primera infancia </t>
  </si>
  <si>
    <t xml:space="preserve">Implementar y realizar seguimiento a las rutas integrales de atención </t>
  </si>
  <si>
    <t xml:space="preserve">Número de rutas integrales de atención  a la  primera infancia implementadas y con seguimiento </t>
  </si>
  <si>
    <t>Tasa de Violencia Intrafamiliar x 100.000 Habitantes en el Departamento del Quindío.
Tasa de violencia de pareja cuando la víctima está entre los 18 y 28 años 
Tasa de violencia de Género
Tasa de Suicidio  x 100.000 Habitantes en el Departamento del Quindío.
Tasa  de Niños, Niñas y Adolescentes qué participan en una actividad remunerada  o no  x cada 100.000 habitantes  en el departamento del Quindío
Tasa  de mujeres de 12 a 14 años qué han sido madres o están en embarazo X 100.000 habitantes en el Departamento del Quindío
Cobertura a los grupos de adulto mayor del departamento del Quindío en articulación con los Municipios, en el marco de garantizar estimulación física, cognitiva, emocional y social en bienestar de una vejez activa y saludable</t>
  </si>
  <si>
    <t xml:space="preserve">Implementar la  política pública para la protección, en fortalecimiento y en desarrollo integral de la familia Quindiana </t>
  </si>
  <si>
    <t>Política Pública de Familia  implementada</t>
  </si>
  <si>
    <t>202000363-0100</t>
  </si>
  <si>
    <t xml:space="preserve"> Implementación de la  política pública  de Familia para la  promoción  del desarrollo integral de la población del Departamento del Quindío. </t>
  </si>
  <si>
    <t xml:space="preserve">Disminuir las tasas de violencia intrafamiliar, suicidio y embarazos en el departamento del Quindío a través del Desarrollo de  estrategias,  programas y proyectos en el marco de la implementación y seguimiento de la Política Pública de Familia para promover en desarrollo integral de la población. </t>
  </si>
  <si>
    <t>.- Tasa de violencia contra niños y niñas o a 5 años       
.- Tasa de violencia contra niños y niñas de 6 a 11 años
.- Tasa de violencia contra niños y niñas de 12 a 17 años
-Tasa de niños, niñas y adolescentes víctimas de violencia sexual  x 100 mil habitantes   en el Departamento del Quindío
-Tasa de suicidios en adolescentes (12 a 17 años)
-Tasa  de Niños, Niñas y Adolescentes qué participan en una actividad remunerada  o no  x cada 100.000 habitantes  en el departamento del Quindío
-Tasa  de mujeres de 12 a 14 años qué han sido madres o están en embarazo X 100.000 habitantes en el Departamento del Quindío
-Tasa de Consumo de Sustancias Psicoactivas  x 100.000 Habitantes en el Departamento del Quindío.</t>
  </si>
  <si>
    <t>202000363-0101</t>
  </si>
  <si>
    <t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t>
  </si>
  <si>
    <t>Tasa de Suicidio  x 100.000 Habitantes en el Departamento del Quindío.
Tasa de violencia de pareja cuando la víctima está entre los 18 y 28 años 
Tasa de violencia de Género
Tasa de Violencia Intrafamiliar x 100.000 Habitantes en el Departamento del Quindío.
Tasa de Consumo de Sustancias Psicoactivas  x 100.000 Habitantes en el Departamento del Quindío.
Cobertura de adolescentes y jóvenes atendidos en Post egreso, en los servicios de restablecimiento en la administración de justicia.
Cobertura  de municipios   con  jóvenes en riesgo psicosocial impactados en los  Barrios vulnerables del Departamento del Quindío</t>
  </si>
  <si>
    <t xml:space="preserve">Implementar  la política pública de juventud </t>
  </si>
  <si>
    <t>Política Pública de Juventud implementada</t>
  </si>
  <si>
    <t>202000363-0102</t>
  </si>
  <si>
    <t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t>
  </si>
  <si>
    <t>Tasa de Violencia Intrafamiliar x 100.000 Habitantes en el Departamento del Quindío.
Tasa de violencia de Género</t>
  </si>
  <si>
    <t>Rutas integrales de atención en violencia intrafamiliar y  violencia de género</t>
  </si>
  <si>
    <t>Capacitación en activación de las Rutas Integrales de Atención en Violencia Intrafamiliar y de Género, a trabajadores de Supermercados y Tenderos de los Municipios realizadas</t>
  </si>
  <si>
    <t>202000363-0032</t>
  </si>
  <si>
    <t xml:space="preserve"> Disminuir las tasa de violencia   intrafamiliar y de género en el Departamento del Quindío , a través de la  articulación de acciones  con aliados estratégicos para capacitar a trabajadores de Supermercados y “tenderos” de los barrios, en la activación de Rutas Integrales de Atención en Violencia Intrafamiliar y Violencia de género. </t>
  </si>
  <si>
    <t>Cobertura de atención de niños y niñas en Hogar Infantil Nocturno, hijos de trabajadoras sexuales en el Departamento del Quindío</t>
  </si>
  <si>
    <t xml:space="preserve">Atención integral a niños y niñas en primera infancia en espacios socialmente no convencionales: tiempos no convencionales </t>
  </si>
  <si>
    <t xml:space="preserve">Atención integral a niños y niñas en primera infancia en espacios socialmente no convencionales implementados </t>
  </si>
  <si>
    <t>202000363-0033</t>
  </si>
  <si>
    <t xml:space="preserve"> 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 </t>
  </si>
  <si>
    <t>Tasa de Violencia Intrafamiliar x 100.000 Habitantes en el Departamento del Quindío.
Tasa de violencia contra niños y niñas o a 5 años       
Tasa de violencia contra niños y niñas de 6 a 11 años
Tasa de violencia contra niños y niñas de 12 a 17 años
Tasa de niños, niñas y adolescentes víctimas de violencia sexual  x 100 mil habitantes   en el Departamento del Quindío
Tasa de violencia de pareja cuando la víctima está entre los 18 y 28 años 
Tasa de violencia de Género</t>
  </si>
  <si>
    <t>Servicio de divulgación para la promoción y prevención de los derechos de los niños, niñas y adolescentes</t>
  </si>
  <si>
    <t xml:space="preserve">Eventos de divulgación realizados </t>
  </si>
  <si>
    <t>Cobertura de adolescentes y jóvenes atendidos en Post egreso, en los servicios de restablecimiento en la administración de justicia.</t>
  </si>
  <si>
    <t>Servicios dirigidos a la atención de niños, niñas, adolescentes y jóvenes, con enfoque pedagógico y restaurativo encaminados a la inclusión social</t>
  </si>
  <si>
    <t>Niños, niñas, adolescentes y jóvenes atendidos en los servicios de restablecimiento en la administración de justicia</t>
  </si>
  <si>
    <t>202000363-0034</t>
  </si>
  <si>
    <t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t>
  </si>
  <si>
    <t xml:space="preserve">Cobertura de municipios del departamento apoyados con  emprendimientos juveniles </t>
  </si>
  <si>
    <t>Servicio de asistencia técnica para fortalecimiento de unidades productivas colectivas para la generación de ingresos</t>
  </si>
  <si>
    <t>Unidades productivas colectivas con asistencia técnica</t>
  </si>
  <si>
    <t>202000363-0103</t>
  </si>
  <si>
    <t xml:space="preserve">  Fortalecimiento  de unidades productivas colectivas  juveniles para la generación de ingresos  en el departamento del Quindío  </t>
  </si>
  <si>
    <t>Aumentar la cobertura de municipios del departamento apoyados con  emprendimientos juveniles,   a través del fortalecimiento de los procesos de asistencia técnica en temas de formalización y comercialización.</t>
  </si>
  <si>
    <t>Cobertura para la atención al ciudadano migrante a través del plan de atención y de repatriación.</t>
  </si>
  <si>
    <t>Servicio de gestión de oferta social para la población vulnerable</t>
  </si>
  <si>
    <t xml:space="preserve">mecanismos de articulación implementados para la gestión de oferta social </t>
  </si>
  <si>
    <t>202000363-0104</t>
  </si>
  <si>
    <t xml:space="preserve">  Formulación  e Implementación del  programa departamental para atención al ciudadano migrante y de repatriación.  </t>
  </si>
  <si>
    <t xml:space="preserve">Aumentar la cobertura para la atención al ciudadano migrante a través del plan de atención y de repatriación </t>
  </si>
  <si>
    <t>Servicio de acompañamiento familiar y comunitario para la superación de la pobreza</t>
  </si>
  <si>
    <t>Comunidades con acompañamiento familiar.</t>
  </si>
  <si>
    <t>202000363-0105</t>
  </si>
  <si>
    <t>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t>
  </si>
  <si>
    <t xml:space="preserve">Cobertura de municipios del departamento con procesos de implementación de proyectos  productivos  para las personas con discapacidad </t>
  </si>
  <si>
    <t>Servicio de apoyo para el fortalecimiento de unidades productivas colectivas para la generación de ingresos</t>
  </si>
  <si>
    <t>Unidades productivas colectivas fortalecidas</t>
  </si>
  <si>
    <t>202000363-0106</t>
  </si>
  <si>
    <t xml:space="preserve">  Formulación e implementación   de proyectos productivos  dirigidos a  la población en condición  de  discapacidad y sus familias para la generación de  ingresos  y fortalecimiento del entorno familiar.  </t>
  </si>
  <si>
    <t>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t>
  </si>
  <si>
    <t xml:space="preserve">Tasa planes de vida de los cabildos  indígenas construidos e implementados </t>
  </si>
  <si>
    <t xml:space="preserve">Apoyar la construcción e Implementación de los  Planes de vida de los cabildos Indígenas asentados en el Departamento del Quindío </t>
  </si>
  <si>
    <t xml:space="preserve">Planes de vida de los cabildos indígenas  construidos  e implementados </t>
  </si>
  <si>
    <t>202000363-0036</t>
  </si>
  <si>
    <t xml:space="preserve">  Apoyo en la construcción e Implementación de los Planes de Vida de los Cabildos y Resguardos indígenas  asentados en el Departamento del Quindío "TU Y YO UNIDOS CON DIGNIDAD".  </t>
  </si>
  <si>
    <t>Incrementar la tasa planes de vida de los cabildos y resguardos   indígenas construidos e implementados, por medio del apoyo en  la construcción e implementación de los  mismos, como instrumentos de planeación organización y preservación de la historia y la cultura.</t>
  </si>
  <si>
    <t>Tasa de  planes de vida de los resguardos  indígenas construidos e implementados</t>
  </si>
  <si>
    <t xml:space="preserve">Apoyar la construcción e Implementación de los  Planes de vida de los resguardos indígenas  asentados en el Departamento del Quindío </t>
  </si>
  <si>
    <t xml:space="preserve">Planes de vida de los resguardos indígenas  construidos  e implementados </t>
  </si>
  <si>
    <t>Cobertura  de población diferencial,  comunidades negras, afros raizales y Palenqueras asentadas en el departamento del Quindío con una  política pública .</t>
  </si>
  <si>
    <t>Formular e implementar la política pública para la comunidad negra, afrocolombiana, raizal y palenquera residente en el Departamento del Quindío</t>
  </si>
  <si>
    <t xml:space="preserve">Política Pública para la comunidad negra, afrocolombiana, raizal y palenquera residente en el departamento del Quindío formulada e implementada </t>
  </si>
  <si>
    <t>202000363-0037</t>
  </si>
  <si>
    <t xml:space="preserve">  Formulación e implementación de la política pública para la comunidad negra, afrocolombiana, raizal y palenquera residente en el Departamento del Quindío   </t>
  </si>
  <si>
    <t>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t>
  </si>
  <si>
    <t>Atención integral de población en situación permanente de desprotección social y/o familiar "Tú y yo con atención integral"</t>
  </si>
  <si>
    <t>Cobertura  de municipios del Departamento del Quindío con el Programa de Rehabilitación Basada en la Comunidad  RBC
Cobertura de municipios atendidos  con el Banco de ayudas técnicas NO POS tipo Estándar, para las personas con discapacidad .</t>
  </si>
  <si>
    <t>Servicios de atención integral a población en condición de discapacidad</t>
  </si>
  <si>
    <t xml:space="preserve">Personas atendidas con servicios integrales de atención </t>
  </si>
  <si>
    <t>202000363-0035</t>
  </si>
  <si>
    <t xml:space="preserve"> Servicio de atención integral a población en condición de discapacidad en los municipios del Departamento del Quindío "TU Y YO JUNTOS EN LA INCLUSIÓN". </t>
  </si>
  <si>
    <t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t>
  </si>
  <si>
    <t>Cobertura  de municipios del Departamento del Quindío  con en   Programas  de Rehabilitación Basada en la Comunidad  RBC
Cobertura de municipios atendidos  con el Banco de ayudas técnicas NO POS tipo Estándar, para las personas con discapacidad .</t>
  </si>
  <si>
    <t xml:space="preserve">Estrategia de rehabilitación basada en la comunidad implementada en los municipios  </t>
  </si>
  <si>
    <t>Cobertura de municipios del departamento del Quindío, con programas de atención a la población habitante de calle.</t>
  </si>
  <si>
    <t>Servicio de articulación de oferta social para la población habitante de calle</t>
  </si>
  <si>
    <t xml:space="preserve">Servicio de articulación habitante de calle implementado en los municipios </t>
  </si>
  <si>
    <t xml:space="preserve"> 202000363-0012</t>
  </si>
  <si>
    <t xml:space="preserve">Aumentar la cobertura de municipios del departamento del Quindío, con programas de atención a la población habitante de calle a través de la coordinación y articulación  de la oferta social para la población en condición de calle en el departamento del Quindío. </t>
  </si>
  <si>
    <t>Tasa de Suicidio  x 100.000 Habitantes en el Departamento del Quindío.
Tasa de Violencia Intrafamiliar x 100.000 Habitantes en el Departamento del Quindío.
Tasa de Consumo de Sustancias Psicoactivas  x 100.000 Habitantes en el Departamento del Quindío.
Tasa de violencia de Género</t>
  </si>
  <si>
    <t>Implementar  la política  pública de diversidad sexual e identidad de género</t>
  </si>
  <si>
    <t>202000363-0107</t>
  </si>
  <si>
    <t xml:space="preserve">    Implementación de la política pública  de diversidad sexual en el Departamento del Quindío 2019-2029  </t>
  </si>
  <si>
    <t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t>
  </si>
  <si>
    <t xml:space="preserve">Tasa de Violencia Intrafamiliar x 100.000 Habitantes en el Departamento del Quindío.
Tasa de violencia de Género
Tasa  de mujeres de 12 a 14 años qué han sido madres o están en embarazo X 100.000 habitantes en el Departamento del Quindío
Tasa de participación femenina en cargos de elección popular en el  departamento del Quindío
Cobertura de Asociaciones de mujeres fortalecidas  </t>
  </si>
  <si>
    <t>202000363-0108</t>
  </si>
  <si>
    <t xml:space="preserve">  Implementación de la política pública de equidad de género para la mujer en el Departamento del Quindío  </t>
  </si>
  <si>
    <t>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t>
  </si>
  <si>
    <t>Tasa de Suicidio  x 100.000 Habitantes en el Departamento del Quindío.
Tasa de Violencia Intrafamiliar x 100.000 Habitantes en el Departamento del Quindío.
Cobertura a los grupos de adulto mayor del departamento del Quindío en articulación con los Municipios, en el marco de garantizar estimulación física, cognitiva, emocional y social en bienestar de una vejez activa y saludable 
Cobertura  de  centros vida y centros de bienestar del adulto mayor (Legalmente constituidos)  apoyados con los recursos  de la  Estampilla Pro adulto Mayor .</t>
  </si>
  <si>
    <t xml:space="preserve">Formular e implementar la política pública de adulto mayor </t>
  </si>
  <si>
    <t xml:space="preserve">Política Pública de Adulto Mayor  formulada e implementada </t>
  </si>
  <si>
    <t>202000363-0109</t>
  </si>
  <si>
    <t xml:space="preserve"> Servicio  de atención integral e inclusión para el bienestar de los adultos mayores del departamento del Quindío </t>
  </si>
  <si>
    <t>Disminuir Tasa de Suicidio  y Violencia Intrafamiliar ,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t>
  </si>
  <si>
    <t xml:space="preserve">Cobertura a los grupos de adulto mayor del departamento del Quindío en articulación con los Municipios, en el marco de garantizar estimulación física, cognitiva, emocional y social en bienestar de una vejez activa y saludable </t>
  </si>
  <si>
    <t>Servicios de atención y protección integral al adulto mayor</t>
  </si>
  <si>
    <t xml:space="preserve">Adultos mayores atendidos con servicios integrales </t>
  </si>
  <si>
    <t>Cobertura  de  centros vida y centros de bienestar del adulto mayor (Legalmente constituidos)  apoyados con los recursos de la  Estampilla Pro adulto Mayor .</t>
  </si>
  <si>
    <t>Transferencia estampilla para el bienestar del adulto mayor</t>
  </si>
  <si>
    <t>Municipios con recursos transferidos con la estampilla Departamental para el bienestar del adulto mayor</t>
  </si>
  <si>
    <t>Tasa de Suicidio  x 100.000 Habitantes en el Departamento del Quindío.
Tasa de Violencia Intrafamiliar x 100.000 Habitantes en el Departamento del Quindío.
Cobertura de municipios del departamento con procesos de implementación de proyectos  productivos  para las personas con discapacidad</t>
  </si>
  <si>
    <t>202000363-0110</t>
  </si>
  <si>
    <t>Disminuir  la tasa de suicidio, violencia intrafamiliar, además de aumentar la Cobertura de los  municipios del departamento con procesos de implementación de proyectos  productivos  para las personas con discapacidad,  a través de la participación de los diferentes actores qué contribuyen de manera integral a garantizar una mejor calidad de vida de las personas objeto de intervención.</t>
  </si>
  <si>
    <t xml:space="preserve">Mejorar las condiciones de calidad de vida de la población, en acceso incluyente y equitativo a la oferta de servicios del Estado y la ampliación de oportunidades para los Quindianos. </t>
  </si>
  <si>
    <t>Casa de la Mujer Empoderada implementada</t>
  </si>
  <si>
    <t>202000363-0111</t>
  </si>
  <si>
    <t>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t>
  </si>
  <si>
    <t>Casa Refugio de la Mujer implementada</t>
  </si>
  <si>
    <t>202000363-0112</t>
  </si>
  <si>
    <t>Implementación de la Casa Refugio de la Mujer del Departamento del Quindío</t>
  </si>
  <si>
    <t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t>
  </si>
  <si>
    <t xml:space="preserve">Cobertura de Asociaciones de mujeres fortalecidas  </t>
  </si>
  <si>
    <t>Servicio de asesoría para el fortalecimiento de la Asociatividad</t>
  </si>
  <si>
    <t>170201102</t>
  </si>
  <si>
    <t>Asociaciones de mujeres fortalecidas</t>
  </si>
  <si>
    <t>202000363-0113</t>
  </si>
  <si>
    <t xml:space="preserve"> Implementación de  estrategias de acompañamiento y asesoría a las asociaciones de mujeres del departamento del Quindío</t>
  </si>
  <si>
    <t xml:space="preserve">Aumentar la cobertura de Asociaciones de mujeres fortalecidas a través de la Implementación de  estrategias de acompañamiento y asesoría a las asociaciones de mujeres del departamento del Quindío con el propósito de brindar fortalecimiento  </t>
  </si>
  <si>
    <t>Derechos fundamentales del trabajo y fortalecimiento del diálogo social. "Tú y yo con una niñez protegida"</t>
  </si>
  <si>
    <t>Tasa  de Niños, Niñas y Adolescentes qué participan en una actividad remunerada  o no  x cada 100.000 habitantes  en el departamento del Quindío</t>
  </si>
  <si>
    <t>Servicio de educación informal para la prevención integral del trabajo infantil</t>
  </si>
  <si>
    <t>360400600</t>
  </si>
  <si>
    <t>202000363-0114</t>
  </si>
  <si>
    <t>Desarrollo de jornadas de capacitación, sensibilización y prevención del  trabajo infantil  y protección del adolescente en el departamento del Quindío.</t>
  </si>
  <si>
    <t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t>
  </si>
  <si>
    <t>Tasa de participación femenina en cargos de elección popular en el departamento del Quindío</t>
  </si>
  <si>
    <t>Iniciativas para la promoción de la participación femenina en escenarios sociales y políticos implementada.</t>
  </si>
  <si>
    <t>202000363-0115</t>
  </si>
  <si>
    <t xml:space="preserve"> Implementación del  programa de liderazgo  para la participación femenina en escenarios sociales y políticos del departamento del Quindío</t>
  </si>
  <si>
    <t xml:space="preserve">Aumentar la tasa de participación femenina en cargos de elección popular en el departamento del Quindío a través de la Implementación de un programa de liderazgo enfocado a las mujeres , con el propósito de incrementar la participación femenina en escenarios sociales y políticas </t>
  </si>
  <si>
    <t xml:space="preserve">318 SECRETARIA DE SALUD </t>
  </si>
  <si>
    <t xml:space="preserve">Inspección, vigilancia y control. "Tú y yo con salud certificada" </t>
  </si>
  <si>
    <t>Mortalidad por diarreica aguda (EDA) menores 5 años (número de muertes anual)</t>
  </si>
  <si>
    <t>Servicio de concepto sanitario</t>
  </si>
  <si>
    <t>Conceptos sanitarios expedidos</t>
  </si>
  <si>
    <t>202000363-0116</t>
  </si>
  <si>
    <t xml:space="preserve">Fortalecimiento de la autoridad sanitaria en el Departamento del Quindío                                                                                           </t>
  </si>
  <si>
    <t>Consolidar  y desarrollar en Sistema de  vigilancia en salud pública integrado  control sanitario y de inspección vigilancia y control del sistema de salud, a través de visitas de IVC con el fin de escalar en el posicionamiento de la entidad territorial y dar cumplimiento efectivo a su misionalidad</t>
  </si>
  <si>
    <t>Secretaría  de Salud</t>
  </si>
  <si>
    <t>Yenny Alexandra Trujillo Alzate</t>
  </si>
  <si>
    <t>Tasa de mortalidad en menores de 1 año (por 1000 nacidos vivos).</t>
  </si>
  <si>
    <t>Servicio de información de vigilancia epidemiológica</t>
  </si>
  <si>
    <t>Informes de evento generados en la vigencia</t>
  </si>
  <si>
    <t>Prevalencia de niños menores de 5 años con desnutrición aguda</t>
  </si>
  <si>
    <t>Servicio de asistencia técnica en inspección, vigilancia y control</t>
  </si>
  <si>
    <t>Asistencias técnica en Inspección, Vigilancia y Control realizadas</t>
  </si>
  <si>
    <t>Mortalidad por infección respiratoria aguda (IRA) menores 5 años (número de muertes anual)</t>
  </si>
  <si>
    <t>Realizar la vigilancia epidemiológica de plaguicidas en el marco del programa veo (vigilancia epidemiológica de organofosforados y carba matos) en los municipios de competencia departamental.</t>
  </si>
  <si>
    <t>Municipios con procesos de vigilancia epidemiológica de plaguicidas organofosforados y carbamatos realizados.</t>
  </si>
  <si>
    <t xml:space="preserve">Implementación del modelo operativo de Inspección, Vigilancia y Control IVC sanitario en los municipios de competencia departamental. </t>
  </si>
  <si>
    <t xml:space="preserve">Modelo de IVC sanitario operando </t>
  </si>
  <si>
    <t>Mortalidad por dengue (casos)</t>
  </si>
  <si>
    <t>Servicio de promoción, prevención, vigilancia y control de vectores y zoonosis</t>
  </si>
  <si>
    <t>Municipios categorías 4, 5 y 6 qué formulen y ejecuten real y efectivamente acciones de promoción, prevención, vigilancia y control de vectores y zoonosis realizados</t>
  </si>
  <si>
    <t>Servicio de evaluación, aprobación y seguimiento de planes de gestión integral del riesgo</t>
  </si>
  <si>
    <t>Informes de evaluación, aprobación y seguimiento de Planes de Gestión Integral de Riesgo realizados</t>
  </si>
  <si>
    <t>Tasa mortalidad en menores de 5 años (por 1.000 nacidos vivos).</t>
  </si>
  <si>
    <t>Servicio de inspección, vigilancia y control</t>
  </si>
  <si>
    <t>visitas realizadas</t>
  </si>
  <si>
    <t>Porcentaje de población asegurada al SGSSS
Oportunidad en la presunción diagnóstica y tratamiento oncológico en menores de 18 años (alta y media)</t>
  </si>
  <si>
    <t>Documentos técnicos publicados y/o socializados</t>
  </si>
  <si>
    <t>202000363-0117</t>
  </si>
  <si>
    <t xml:space="preserve"> Implementación de programas de promoción social en poblaciones  especiales en el Departamento del Quindío </t>
  </si>
  <si>
    <t>Fortalecer la gestión intersectorial en salud de los grupos con alta vulnerabilidad</t>
  </si>
  <si>
    <t>Tasa de violencia de género</t>
  </si>
  <si>
    <t>Servicio de adopción y seguimiento de acciones y medidas especiales</t>
  </si>
  <si>
    <t>Acciones y medidas especiales ejecutadas</t>
  </si>
  <si>
    <t>Mortalidad por diarreica aguda (EDA) menores 5 años (número de muertes anual)
Prevalencia de niños menores de 5 años con desnutrición aguda
Índice de riesgo de la calidad de agua para consumo humano IRCA</t>
  </si>
  <si>
    <t>Servicio de análisis de laboratorio</t>
  </si>
  <si>
    <t>Análisis realizados</t>
  </si>
  <si>
    <t>202000363-0118</t>
  </si>
  <si>
    <t xml:space="preserve"> Fortalecimiento de las actividades de vigilancia y control del laboratorio de salud pública en el Departamento del Quindío  
</t>
  </si>
  <si>
    <t>Mejorar la capacidad analítica del LSP Departamental  para dar respuesta  a las necesidades del Sistema de Vigilancia en Salud Pública</t>
  </si>
  <si>
    <t>Tasa ajustada por edad de mortalidad asociada a cáncer de cuello uterino (por 100.000 mujeres).</t>
  </si>
  <si>
    <t>Servicio de auditoría y visitas inspectivas</t>
  </si>
  <si>
    <t>Auditorías y visitas inspectivas realizadas</t>
  </si>
  <si>
    <t xml:space="preserve">Informes de los resultados obtenidos en la vigilancia sanitaria </t>
  </si>
  <si>
    <t>Asistencias técnicas realizadas</t>
  </si>
  <si>
    <t>202000363-0119</t>
  </si>
  <si>
    <t xml:space="preserve"> Asistencia técnica para el fortalecimiento de la gestión de las entidades territoriales del Departamento del Quindío  </t>
  </si>
  <si>
    <t xml:space="preserve">Fortalecer los procesos de articulación y competencias territoriales en el sistema general de seguridad social en salud </t>
  </si>
  <si>
    <t>Oportunidad en la presunción diagnóstica y tratamiento oncológico en menores de 18 años (alta y media)</t>
  </si>
  <si>
    <t>Servicio de información para la gestión de la inspección, vigilancia y control sanitario</t>
  </si>
  <si>
    <t>Usuarios del sistema</t>
  </si>
  <si>
    <t>202000363-0120</t>
  </si>
  <si>
    <t>Asesoría y apoyo al proceso del sistema obligatorio de garantía de calidad de los prestadores de salud en el Departamento del Quindío</t>
  </si>
  <si>
    <t>Asegurar la implementación y cumplimiento de la totalidad de los estándares de Habilitación de acuerdo al nivel de complejidad.</t>
  </si>
  <si>
    <t>Razón de mortalidad materna (por 100.000 nacidos vivos)</t>
  </si>
  <si>
    <t>Servicio de certificaciones en buenas prácticas</t>
  </si>
  <si>
    <t>Certificaciones expedidas</t>
  </si>
  <si>
    <t>Porcentaje de atención institucional del parto por personal calificado.</t>
  </si>
  <si>
    <t>Porcentaje de población asegurada al SGSSS</t>
  </si>
  <si>
    <t>Servicios de comunicación y divulgación en inspección, vigilancia y control</t>
  </si>
  <si>
    <t>Eventos de rendición de cuentas realizados</t>
  </si>
  <si>
    <t>202000363-0121</t>
  </si>
  <si>
    <t xml:space="preserve"> Apoyo operativo a la inversión social en salud en el Departamento del Quindío </t>
  </si>
  <si>
    <t xml:space="preserve">Fortalecer los procesos estratégicos, administrativos y misionales del sector salud en el departamento del Quindío  </t>
  </si>
  <si>
    <t>Porcentaje de nacidos vivos con 4 o más controles prenatales</t>
  </si>
  <si>
    <t>Servicio del ejercicio del procedimiento administrativo sancionatorio</t>
  </si>
  <si>
    <t xml:space="preserve">Procesos con aplicación del procedimiento administrativo sancionatorio tramitados </t>
  </si>
  <si>
    <t>Porcentaje transmisión materno -infantil del VIH.</t>
  </si>
  <si>
    <t>Servicio de gestión de peticiones, quejas, reclamos y denuncias</t>
  </si>
  <si>
    <t>Preguntas Quejas Reclamos y Denuncias Gestionadas</t>
  </si>
  <si>
    <t>Servicio de implementación de estrategias para el fortalecimiento del control social en salud</t>
  </si>
  <si>
    <t>Estrategias para el fortalecimiento del control social en salud implementadas</t>
  </si>
  <si>
    <t>Servicio de gestión del riesgo para temas de consumo, aprovechamiento biológico, calidad e inocuidad de los alimentos.</t>
  </si>
  <si>
    <t>Campañas de gestión del riesgo para temas de consumo, aprovechamiento biológico, calidad e inocuidad de los alimentos implementadas</t>
  </si>
  <si>
    <t>202000363-0122</t>
  </si>
  <si>
    <t xml:space="preserve"> Aprovechamiento biológico y consumo de  alimentos inocuos  en el Departamento del Quindío </t>
  </si>
  <si>
    <t>Disminuir o mantener la proporción de niños menores de 5 años en riesgo de desnutrición moderada o severa aguda</t>
  </si>
  <si>
    <t>Servicios de promoción de la salud y prevención de riesgos asociados a condiciones no transmisibles</t>
  </si>
  <si>
    <t>Campañas de promoción de la salud y prevención de riesgos asociados a condiciones no transmisibles implementadas</t>
  </si>
  <si>
    <t>Tasa de mortalidad por malaria.</t>
  </si>
  <si>
    <t xml:space="preserve">Servicio de educación informal en temas de salud pública </t>
  </si>
  <si>
    <t>202000363-0123</t>
  </si>
  <si>
    <t>Control en Salud Ambiental para la consecución de un estado de vida saludable de la población  del  Departamento del Quindío.</t>
  </si>
  <si>
    <t>Disminuir  los factores de riesgo sanitarios y ambientales asociados a eventos de interés en salud pública relacionados con la salud ambiental como en aumento de la carga contaminante del agua, entre otros.</t>
  </si>
  <si>
    <t>Tasa  de mujeres de 10 a 14 años qué han sido madres o están en embarazo.
Tasa de mujeres de 15 a 19 años qué han sido madres o están en embarazo.</t>
  </si>
  <si>
    <t xml:space="preserve">Realizar seguimiento y monitoreo a las Entidades Administradoras de Planes Básicos EAPB en la implementación de la Ruta Integral de Atención para la Promoción y Mantenimiento de la Salud y Materno Perinatal en el Departamento  </t>
  </si>
  <si>
    <t>Entidades Administradoras de Planes Básicos EAPB con Rutas de obligatorio cumplimiento Implementadas</t>
  </si>
  <si>
    <t>Letalidad por dengue.</t>
  </si>
  <si>
    <t>Formular en Plan de Fortalecimiento de Capacidades en Salud Ambiental en coordinación con el Consejo Territorial de Salud Ambiental COTSA</t>
  </si>
  <si>
    <t xml:space="preserve"> Plan de Fortalecimiento de Capacidades en Salud Ambiental FORMULADO </t>
  </si>
  <si>
    <t>Protocolo implementado</t>
  </si>
  <si>
    <t>Mortalidad por dengue (casos)
Letalidad por dengue.</t>
  </si>
  <si>
    <t>Formulación e implementación del Plan Departamental en Salud Ambiental de adaptación al cambio climático.</t>
  </si>
  <si>
    <t>Plan Departamental en Salud Ambiental de adaptación al cambio climático implementado</t>
  </si>
  <si>
    <t>Implementar la estrategia de entornos saludables en articulación intersectorial y sectorial en los entornos de vivienda, educativo, institucional y comunitario con énfasis en la Atención Primaria en Salud Ambiental APSA.</t>
  </si>
  <si>
    <t xml:space="preserve">Estrategia de entornos saludables en articulación intersectorial y sectorial implementada </t>
  </si>
  <si>
    <t xml:space="preserve">Implementación de la estrategia de movilidad saludable, segura y sostenible </t>
  </si>
  <si>
    <t xml:space="preserve">Estrategia de movilidad saludable, segura y sostenible   implementada </t>
  </si>
  <si>
    <t>202000363-0124</t>
  </si>
  <si>
    <t xml:space="preserve">Fortalecimiento de acciones propias a los derechos sexuales y reproductivos en el Departamento del Quindío. </t>
  </si>
  <si>
    <t xml:space="preserve">Disminuir de los eventos de interés en salud pública relacionados con la salud sexual y reproductiva en especial de la mortalidad materna  </t>
  </si>
  <si>
    <t xml:space="preserve">Realizar seguimiento y Monitoreo a las Entidades Administradoras de Planes Básicos EAPB en la implementación de la Ruta Integral de Atención para la Promoción y Mantenimiento de la Salud y Materno Perinatal en el Departamento  </t>
  </si>
  <si>
    <t>Servicio de gestión del riesgo en temas de consumo de sustancias psicoactivas</t>
  </si>
  <si>
    <t>Campañas de gestión del riesgo en temas de consumo de sustancias psicoactivas implementadas</t>
  </si>
  <si>
    <t>202000363-0125</t>
  </si>
  <si>
    <t>Consolidación de acciones de promoción de la salud y prevención primaria en salud mental en el Departamento del Quindío.</t>
  </si>
  <si>
    <t>Disminuir la morbimortalidad asociada a la salud mental principalmente de la violencia intrafamiliar</t>
  </si>
  <si>
    <t xml:space="preserve">Política pública en Salud Mental adaptada e Implementada  </t>
  </si>
  <si>
    <t>Tasa ajustada por edad de mortalidad asociada a cáncer de cuello uterino (por 100.000 mujeres).
Oportunidad en la presunción diagnóstica y tratamiento oncológico en menores de 18 años (alta y media)</t>
  </si>
  <si>
    <t>Servicio de gestión del riesgo para abordar condiciones crónicas prevalentes</t>
  </si>
  <si>
    <t>Campañas de gestión del riesgo para abordar condiciones crónicas prevalentes implementadas</t>
  </si>
  <si>
    <t>202000363-0126</t>
  </si>
  <si>
    <t>Disminuir la carga de la enfermedad asociada a las enfermedades crónicas no trasmisibles</t>
  </si>
  <si>
    <t>Cobertura de vacunación con DPT en menores de 1 año
Cobertura de vacunación con Triple Viral en niños de 1 año
Cobertura útil con esquema completo de vacunación para la edad (triple viral a los 5 años)</t>
  </si>
  <si>
    <t>Cuartos fríos adecuados</t>
  </si>
  <si>
    <t>202000363-0127</t>
  </si>
  <si>
    <t xml:space="preserve">Fortalecimiento de acciones de promoción, prevención y protección específica para la población infantil en el Departamento del Quindío.  </t>
  </si>
  <si>
    <t>Reducir la exposición a condiciones y factores de riesgo ambientales, sanitarios y biológicos, de las contingencias y daños producidos por las enfermedades transmisibles</t>
  </si>
  <si>
    <t>Cobertura útil con esquema completo de vacunación para la edad (triple viral a los 5 años)
Mortalidad por infección respiratoria aguda (IRA) menores 5 años (número de muertes anual)
Mortalidad por diarreica aguda (EDA) menores 5 años (número de muertes anual)
Tasa de mortalidad por malaria.</t>
  </si>
  <si>
    <t>Servicio de gestión del riesgo para enfermedades emergentes, reemergentes y desatendidas</t>
  </si>
  <si>
    <t>Campañas de gestión del riesgo para enfermedades emergentes, reemergentes y desatendidas implementadas.</t>
  </si>
  <si>
    <t>Servicio de gestión del riesgo para enfermedades inmunoprevenibles</t>
  </si>
  <si>
    <t>Campañas de gestión del riesgo para enfermedades inmunoprevenibles  implementadas</t>
  </si>
  <si>
    <t>Mortalidad por dengue (casos) 
Letalidad por dengue.</t>
  </si>
  <si>
    <t>Formulación e implementación del plan departamental en salud Ambiental de adaptación al cambio climático.</t>
  </si>
  <si>
    <t>202000363-0128</t>
  </si>
  <si>
    <t xml:space="preserve">Difusión de la estrategia de gestión integral y de control en vectores, zoonosis y cambio climático del Departamento del Quindío.   </t>
  </si>
  <si>
    <t xml:space="preserve"> Disminuir en índice de enfermedades trasmisión vectorial y zoonosis en la población   </t>
  </si>
  <si>
    <t>202000363-0129</t>
  </si>
  <si>
    <t xml:space="preserve"> Fortalecimiento de la inclusión social para la disminución del riesgo de contraer enfermedades transmisibles en el Departamento del Quindío.  </t>
  </si>
  <si>
    <t xml:space="preserve"> Aumentar la adherencia al tratamiento de los pacientes con diagnóstico de tuberculosis  </t>
  </si>
  <si>
    <t>Servicio de gestión del riesgo para enfermedades emergentes, reemergentes y desatendidas.</t>
  </si>
  <si>
    <t>202000363-0130</t>
  </si>
  <si>
    <t xml:space="preserve">Implementación de acciones para la contención de la pandemia Tú y Yo contra COVID </t>
  </si>
  <si>
    <t>Eficiente gestión integral del riesgo en eventos de interés en salud pública, ante la pandemia por COVID-19</t>
  </si>
  <si>
    <t>Servicios de atención en salud pública en situaciones de emergencias y desastres</t>
  </si>
  <si>
    <t>Personas en capacidad de ser atendidas</t>
  </si>
  <si>
    <t>202000363-0131</t>
  </si>
  <si>
    <t xml:space="preserve"> Prevención, preparación, contingencia, mitigación y superación de emergencias y contingencias por eventos relacionados con la salud pública en el Departamento del Quindío.  </t>
  </si>
  <si>
    <t>Coordinar acciones  para la gestión integral  del riesgo en  situaciones de emergencias y desastres  en las IPS y autoridad sanitaria del departamento</t>
  </si>
  <si>
    <t>Servicio de gestión del riesgo para abordar situaciones prevalentes de origen laboral</t>
  </si>
  <si>
    <t>Campañas de gestión del riesgo para abordar situaciones prevalentes de origen laboral implementadas</t>
  </si>
  <si>
    <t>202000363-0132</t>
  </si>
  <si>
    <t xml:space="preserve"> Prevención vigilancia y control de eventos en el ámbito laboral en el Departamento del Quindío.  </t>
  </si>
  <si>
    <t xml:space="preserve">Disminuir los eventos de origen laboral en los trabajadores del sector formal del Departamento del Quindío </t>
  </si>
  <si>
    <t xml:space="preserve">Documentos de planeación en epidemiología y demografía elaborados </t>
  </si>
  <si>
    <t>202000363-0133</t>
  </si>
  <si>
    <t xml:space="preserve"> Fortalecimiento del sistema de vigilancia en salud pública en el Departamento del Quindío. </t>
  </si>
  <si>
    <t xml:space="preserve"> Aumentar los índices de cumplimiento en los indicadores de calidad, cobertura y  oportunidad del sistema de vigilancia en salud pública departamental </t>
  </si>
  <si>
    <t>Porcentaje de atención institucional del parto.</t>
  </si>
  <si>
    <t xml:space="preserve">1905009
</t>
  </si>
  <si>
    <t>Centros reguladores de urgencias, emergencias y desastres funcionando y dotados</t>
  </si>
  <si>
    <t xml:space="preserve">190500900
</t>
  </si>
  <si>
    <t>Centros reguladores de urgencias, emergencias y desastres dotados y funcionando.</t>
  </si>
  <si>
    <t>202000363-0134</t>
  </si>
  <si>
    <t xml:space="preserve">Fortalecimiento de la red de urgencias y emergencias en el Departamento del Quindío. </t>
  </si>
  <si>
    <t>Fortalecer en la integración de la red hospitalaria del departamento del Quindío.</t>
  </si>
  <si>
    <t>202000363-0135</t>
  </si>
  <si>
    <t>Fortalecimiento de las intervenciones colectivas y prioridades en salud pública del Departamento del Quindío- PIC</t>
  </si>
  <si>
    <t>Disminuir la morbimortalidad asociada  a la carga de la enfermedad por los determinantes sociales fortaleciendo  las acciones de complementariedad  a los municipios</t>
  </si>
  <si>
    <t>Servicio de promoción de afiliaciones al régimen contributivo del Sistema General de Seguridad Social de las personas con capacidad de pago</t>
  </si>
  <si>
    <t>Personas con capacidad de pago afiliadas</t>
  </si>
  <si>
    <t>202000363-0136</t>
  </si>
  <si>
    <t xml:space="preserve">Subsidio y cofinanciación al régimen subsidiado del Sistema General de Seguridad Social en Salud en el Departamento del Quindío.  </t>
  </si>
  <si>
    <t>Aumentar la cobertura universal en aseguramiento al sistema de atención integral y para la población del Departamento del Quindío</t>
  </si>
  <si>
    <t>Cobertura de tratamiento antirretroviral</t>
  </si>
  <si>
    <t>Personas afiliadas</t>
  </si>
  <si>
    <t>Servicio de apoyo con tecnologías para prestación de servicios en salud</t>
  </si>
  <si>
    <t>Población inimputable atendida</t>
  </si>
  <si>
    <t>202000363-0137</t>
  </si>
  <si>
    <t xml:space="preserve">Mejoramiento en la prestación de los servicios de salud para la atención de la población no afiliada </t>
  </si>
  <si>
    <t>Porcentaje de recursos transferidos</t>
  </si>
  <si>
    <t>Servicios de reconocimientos de deuda</t>
  </si>
  <si>
    <t>Porcentaje de recursos pagados</t>
  </si>
  <si>
    <t>Tasa de mujeres de 15 a 19 años qué han sido madres o están en embarazo.</t>
  </si>
  <si>
    <t>Servicio de asistencia técnica a Instituciones prestadoras de servicios de salud</t>
  </si>
  <si>
    <t>Instituciones Prestadoras de Servicios de salud asistidas técnicamente</t>
  </si>
  <si>
    <t>202000363-0138</t>
  </si>
  <si>
    <t xml:space="preserve">Fortalecimiento de la red de prestación de servicios pública del Departamento del Quindío.   </t>
  </si>
  <si>
    <t>Aumento en la calidad del proceso de reporte, vigilancia y control del manejo de los recursos de salud en el Departamento del Quindío</t>
  </si>
  <si>
    <t>Cobertura útil con esquema completo de vacunación para la edad (triple viral a los 5 años)
Porcentaje de nacidos vivos con 4 o más controles prenatales</t>
  </si>
  <si>
    <t>Hospitales de primer nivel de atención dotados</t>
  </si>
  <si>
    <t>Servicio de apoyo a la prestación del servicio de transporte de pacientes</t>
  </si>
  <si>
    <t>Entidades de la red pública en salud apoyadas en la adquisición de ambulancias</t>
  </si>
  <si>
    <t>Pacientes atendidos</t>
  </si>
  <si>
    <t>324  SECRETARÍA TECNOLÓGIAS DE LA INFORMACIÓN Y COMUNICACIÓN</t>
  </si>
  <si>
    <t>Tasa de crecimiento de puntos de acceso a internet gratis 
Índice Departamental de Competitividad
Tasa de Desempleo</t>
  </si>
  <si>
    <t>Servicio de acceso y uso de tecnologías de la información y las comunicaciones</t>
  </si>
  <si>
    <t>Centros de acceso comunitario en zonas urbanas funcionando</t>
  </si>
  <si>
    <t>202000363-0038</t>
  </si>
  <si>
    <t xml:space="preserve"> Fortalecimiento  y apoyo a las tecnologías de la información y las comunicaciones en el departamento del Quindío.</t>
  </si>
  <si>
    <t xml:space="preserve"> Incrementar  la Tasa de crecimiento de puntos de acceso a internet gratis  y del Índice de competitividad en el departamento del Quindío, mediante en mejoramiento de los servicio de acceso a las tecnologías de la información  y las comunicaciones </t>
  </si>
  <si>
    <t>Secretaría Información</t>
  </si>
  <si>
    <t>John Mario Liévano Fernández</t>
  </si>
  <si>
    <t>Soluciones de conectividad en instituciones públicas instaladas</t>
  </si>
  <si>
    <t>Servicio de acceso Zonas Wifi</t>
  </si>
  <si>
    <t>Zonas Wifi en áreas rurales instaladas</t>
  </si>
  <si>
    <t>Servicio de apoyo en tecnologías de la información y las comunicaciones para la educación básica, primaria y secundaria</t>
  </si>
  <si>
    <t>Relación de estudiantes por terminal de cómputo en sedes educativas oficiales</t>
  </si>
  <si>
    <t>R</t>
  </si>
  <si>
    <t>Nivel de avance alto en el Índice de Gobierno digital
Índice Departamental de Competitividad
Tasa de Desempleo</t>
  </si>
  <si>
    <t>Servicio de educación informal en tecnologías de la información y las comunicaciones.</t>
  </si>
  <si>
    <t>Personas capacitadas en tecnologías de la información y las comunicaciones</t>
  </si>
  <si>
    <t>202000363-0139</t>
  </si>
  <si>
    <t>Apoyo a la apropiación tecnológica y generacional en el Departamento del Quindío</t>
  </si>
  <si>
    <t>Incrementar  en  Índice de Gobierno digital y de competitividad, además de disminuir la tasa de desempleo en el Departamento de Quindío, a través del fortalecimiento de la apropiación tecnológica, mediante estrategias de asistencia técnica, pedagógicas qué permitan lograr el empoderamiento TIC en el Departamento</t>
  </si>
  <si>
    <t>Servicio de asistencia técnica para proyectos en Tecnologías de la Información y las Comunicaciones</t>
  </si>
  <si>
    <t>Municipios asistidos en diseño, implementación, ejecución y/ o liquidación  de proyectos</t>
  </si>
  <si>
    <t>Docentes formados en uso pedagógico de tecnologías de la información y las comunicaciones.</t>
  </si>
  <si>
    <t>Servicio de telecomunicaciones para el envío de alertas tempranas a la población.</t>
  </si>
  <si>
    <t xml:space="preserve">Disponibilidad del servicio  de telecomunicaciones para el envío de alertas tempranas a la población. </t>
  </si>
  <si>
    <t>Fomento del desarrollo de aplicaciones, software y contenidos para impulsar la apropiación de las Tecnologías de la Información y las Comunicaciones (TIC) "Quindío paraiso empresarial TIC-Quindío TIC"</t>
  </si>
  <si>
    <t>Servicio de promoción de la industria de tecnologías de la información</t>
  </si>
  <si>
    <t xml:space="preserve">Eventos para  promoción  de productos y Servicio de la industria TI realizados </t>
  </si>
  <si>
    <t>202000363-0039</t>
  </si>
  <si>
    <t xml:space="preserve"> Fortalecimiento del sector empresarial del departamento del Quindío </t>
  </si>
  <si>
    <t xml:space="preserve">Incrementar la Tasa de crecimiento de puntos de acceso a internet gratis,  en Índice Departamental de Competitividad y la Tasa de Desempleo  a través de la potencialización  del Sector Empresarial del departamento del Quindío con la  apropiación y uso de las tecnologías de la información y las comunicaciones  </t>
  </si>
  <si>
    <t>Servicio de asistencia técnica a empresas de la industria de Tecnologías de la Información para mejorar sus capacidades de comercialización e innovación</t>
  </si>
  <si>
    <t>Empresas beneficiadas con actividades de fortalecimiento  de la industria TI</t>
  </si>
  <si>
    <t>Servicio de asistencia técnica a emprendedores y empresas</t>
  </si>
  <si>
    <t>Emprendedores y empresas asistidas técnicamente</t>
  </si>
  <si>
    <t xml:space="preserve">Tasa de crecimiento de puntos de acceso a internet gratis </t>
  </si>
  <si>
    <t>Servicio de educación informal en Teletrabajo</t>
  </si>
  <si>
    <t xml:space="preserve">Personas y/o entidades (públicas y privadas) de la comunidad capacitadas en teletrabajo </t>
  </si>
  <si>
    <t>Servicio de educación informal para aumentar la calidad y cantidad de talento humano para la industria TI</t>
  </si>
  <si>
    <t>Personas capacitadas en programas informales de Tecnologías de la Información</t>
  </si>
  <si>
    <t>3903</t>
  </si>
  <si>
    <t>Tasa de crecimiento de empresas en el sector productivo transformadas digitalmente</t>
  </si>
  <si>
    <t>Servicio de apoyo para la transferencia de conocimiento y tecnología</t>
  </si>
  <si>
    <t>390300501</t>
  </si>
  <si>
    <t>Nuevas tecnologías adoptadas</t>
  </si>
  <si>
    <t>202000363-0140</t>
  </si>
  <si>
    <t xml:space="preserve">   Implementación de la transformación digital del sector empresarial en el Departamento del Quindío  </t>
  </si>
  <si>
    <t xml:space="preserve">Incrementar la tasa de crecimiento de empresas en el sector productivo transformadas digitalmente,  a través de  la apropiación de herramientas digitales, qué les  permitan ser competitivos en los diferentes sectores </t>
  </si>
  <si>
    <t>390300507</t>
  </si>
  <si>
    <t>Start up generadas</t>
  </si>
  <si>
    <t>390300511</t>
  </si>
  <si>
    <t>Conocimiento tecnológico adquirido</t>
  </si>
  <si>
    <t>Incremento de emprendimientos y/o empresas de base tecnológica</t>
  </si>
  <si>
    <t>Servicios de comunicación con enfoque en ciencia tecnología y sociedad</t>
  </si>
  <si>
    <t>Juguetes, juegos o videojuegos para la comunicación de la ciencia, tecnología e innovación producidos</t>
  </si>
  <si>
    <t>202000363-0040</t>
  </si>
  <si>
    <t xml:space="preserve">  Implementación  y  divulgación de la estrategia    "Quindío innovador y competitivo"   </t>
  </si>
  <si>
    <t xml:space="preserve"> Incrementar  los  emprendimientos y/o empresas de base tecnológica a través de la implementación de una estrategia de  promoción de la  cultura  de la innovación  y gestión del  conocimiento. </t>
  </si>
  <si>
    <t>Nivel de avance alto en el Índice de Gobierno digital</t>
  </si>
  <si>
    <t>Desarrollos digitales</t>
  </si>
  <si>
    <t>Productos digitales desarrollados</t>
  </si>
  <si>
    <t>202000363-0141</t>
  </si>
  <si>
    <t xml:space="preserve">Incrementar  Índice de Gobierno digital de la Administración departamental  y los Entes territoriales del Quindío generando condiciones de gobernanza, participación comunitaria y administraciones  eficientes </t>
  </si>
  <si>
    <t>Servicio de educación informal para la implementación de la estrategia de gobierno digital</t>
  </si>
  <si>
    <t>Personas capacitadas para la implementación de la Estrategia de Gobierno digital</t>
  </si>
  <si>
    <t>Servicio de educación informal en Gestión TI y en Seguridad y Privacidad de la Información</t>
  </si>
  <si>
    <t>Documentos de evaluación</t>
  </si>
  <si>
    <t>Documentos de evaluación de programas enfocados en generar competencias TIC</t>
  </si>
  <si>
    <t>Documentos metodológicos</t>
  </si>
  <si>
    <t>Documento metodológico del modelo de acompañamiento para la implementación de la Estrategia de Gobierno digital elaborado</t>
  </si>
  <si>
    <t>TOTAL ADMINISTRACIÓN CENTRAL:</t>
  </si>
  <si>
    <t xml:space="preserve">319 INDEPORTES QUINDÍO </t>
  </si>
  <si>
    <t>Cobertura de municipios qué participan en programas de recreación, actividad física y deporte social y comunitario en el Departamento del Quindío.
Tasa de consumo de sustancias psicoactivas X100.000 habitantes en el Departamento del Quindío</t>
  </si>
  <si>
    <t>Servicio de Escuelas Deportivas</t>
  </si>
  <si>
    <t>Municipios con Escuelas Deportivas</t>
  </si>
  <si>
    <t>Fortalecimiento, hábitos y estilos de vida saludable como instrumento SALVAVIDAS en el departamento del Quindío</t>
  </si>
  <si>
    <t xml:space="preserve">Incrementar la cobertura de municipios qué participan en programas de recreación, actividad física, deporte social y comunitario, además de la  disminución de las tasas de sustancias psicoactivas en el Departamento del Quindío,  a través   participación y promoción de actividades físicas, deportivas y recreativas. </t>
  </si>
  <si>
    <t>Municipios vinculados al programa Supérate-Intercolegiados</t>
  </si>
  <si>
    <t>430103704</t>
  </si>
  <si>
    <t>Municipios implementando  programas de recreación, actividad física y deporte social comunitario</t>
  </si>
  <si>
    <t>Política pública formulada e implementada</t>
  </si>
  <si>
    <t>Formación y preparación de deportistas. "Tú y yo campeones"</t>
  </si>
  <si>
    <t xml:space="preserve">Cobertura de ligas apoyadas en el departamento del Quindío.
Tasa de consumo de sustancias psicoactivas X100.000 habitantes en el Departamento del Quindío
</t>
  </si>
  <si>
    <t>Servicio de asistencia técnica para la promoción del deporte</t>
  </si>
  <si>
    <t xml:space="preserve">Organismos deportivos asistidos </t>
  </si>
  <si>
    <t>Fortalecimiento al deporte competitivo y de altos logros "TU Y    YO SOMOS SALVAVIDAS POR UN QUINDIO GANADOR" en el Departamento del Quindío</t>
  </si>
  <si>
    <t xml:space="preserve">Incrementar la cobertura de municipios qué participan en programas de recreación, actividad física , deporte social y comunitario, además de la  disminución de las tasas de sustancias psicoactivas en el Departamento del Quindío, a través  de  la definición de  nuevas metodologías para el desarrollo del deporte formativo y competitivo  </t>
  </si>
  <si>
    <t>Porcentaje de medallería del departamento del Quindío en los Juegos Nacionales.
Tasa de consumo de sustancias psicoactivas X100.000 habitantes en el Departamento del Quindío</t>
  </si>
  <si>
    <t>Juegos Deportivos Realizados</t>
  </si>
  <si>
    <t>Desarrollo de los  XXII JUEGOS DEPORTIVOS NACIONALES Y VI JUEGOS PARANACIONALES   2023</t>
  </si>
  <si>
    <t xml:space="preserve">Incrementar la cobertura de municipios qué participan en programas de recreación, actividad física , deporte social y comunitario, además de la  disminución de las tasas de sustancias psicoactivas en el Departamento del Quindío, a través de la participación deportiva y organización de eventos multideportivos  </t>
  </si>
  <si>
    <t xml:space="preserve">320 PROMOTORA DE VIVIENDA </t>
  </si>
  <si>
    <t>202000363-0142</t>
  </si>
  <si>
    <t>202000363-0143</t>
  </si>
  <si>
    <t xml:space="preserve">índice de competitividad  en el sector de infraestructura vial </t>
  </si>
  <si>
    <t>202000363-0144</t>
  </si>
  <si>
    <t xml:space="preserve">Servicio de asistencia técnica y jurídica en saneamiento y titulación de predios </t>
  </si>
  <si>
    <t>400100100</t>
  </si>
  <si>
    <t>Entidades territoriales asistidas técnica y jurídicamente</t>
  </si>
  <si>
    <t>202000363-0145</t>
  </si>
  <si>
    <t xml:space="preserve">Apoyo en la formulación y ejecución de proyectos de vivienda en el Departamento del Quindío  </t>
  </si>
  <si>
    <t>Disminuir en déficit cualitativo cuantitativo  de viviendas por hogares, a través de procesos de apoyo  en la formulación y ejecución de proyectos de vivienda,  con el ánimo de garantizar el derecho a la salud, a entornos saludables de los hogares de menores ingresos y a mejorar la calidad de vida de los quindianos.</t>
  </si>
  <si>
    <t>Déficit cuantitativo de viviendas por hogares</t>
  </si>
  <si>
    <t xml:space="preserve">Viviendas de Interés Prioritario urbanas construidas </t>
  </si>
  <si>
    <t>400101700</t>
  </si>
  <si>
    <t>Viviendas de Interés Prioritario urbanas construidas</t>
  </si>
  <si>
    <t xml:space="preserve">Viviendas de Interés Prioritario urbanas mejoradas </t>
  </si>
  <si>
    <t>400101800</t>
  </si>
  <si>
    <t>Viviendas de Interés Prioritario urbanas mejoradas</t>
  </si>
  <si>
    <t>Estudios de preinversión e inversión</t>
  </si>
  <si>
    <t>400103000</t>
  </si>
  <si>
    <t>Servicio de apoyo financiero para adquisición de vivienda</t>
  </si>
  <si>
    <t>Equipamientos construidos</t>
  </si>
  <si>
    <t>4001014</t>
  </si>
  <si>
    <t>Viviendas de Interés Social urbanas construidas</t>
  </si>
  <si>
    <t>400101400</t>
  </si>
  <si>
    <t>4001015</t>
  </si>
  <si>
    <t>321 INSTITUTO DEPARTAMENTAL DE TRANSITO</t>
  </si>
  <si>
    <t>Seguridad de Transporte. "Tú y yo seguros en la vía"</t>
  </si>
  <si>
    <t>Tasa de lesionados por siniestros viales por cada 100 habitantes.
Tasa de fallecidos por siniestros viales por cada 100 habitantes.</t>
  </si>
  <si>
    <t>Formular e Implementar una estrategia de movilidad saludable, segura y sostenible.</t>
  </si>
  <si>
    <t xml:space="preserve">Estrategia de movilidad saludable, segura y sostenible  formulada e implementada </t>
  </si>
  <si>
    <t>Disminuir las tasa de lesionados por siniestros viales y fallecidos por siniestros viales  a través de acciones de fortalecimiento de la seguridad vial en el Departamento del Quindío.</t>
  </si>
  <si>
    <t>Formular e Implementar un programa de formación en normas de tránsito y fomento de cultura  de la seguridad en la vía.</t>
  </si>
  <si>
    <t>Programa de formación cultural  de la seguridad en la vía formulado e implementado.</t>
  </si>
  <si>
    <t>Programa de control y atención del tránsito y en transporte formulado e implementado</t>
  </si>
  <si>
    <t>Diseñar e Implementar un programa de señalización y demarcación en los municipios y vías de jurisdicción del IDTQ.</t>
  </si>
  <si>
    <t>Programa de Señalización y demarcación en los municipios y vías de jurisdicción del IDTQ diseñado e Implementado</t>
  </si>
  <si>
    <t>TOTAL ENTIDADES DESCENTRALIZADAS</t>
  </si>
  <si>
    <t>TOTAL POAI:</t>
  </si>
  <si>
    <t>CODIGO</t>
  </si>
  <si>
    <t>TOTAL PRESUPUESTADO</t>
  </si>
  <si>
    <t>RECURSO ORDINARIO</t>
  </si>
  <si>
    <t>COFINANCIACION NACION</t>
  </si>
  <si>
    <t>TOTAL RECURSOS</t>
  </si>
  <si>
    <t>ESTAMILLA 
PRO DESARROLLO</t>
  </si>
  <si>
    <t>SGP APSB</t>
  </si>
  <si>
    <t>RECURSOS ORDINARIO</t>
  </si>
  <si>
    <t>FONDO DE SEGURIDAD</t>
  </si>
  <si>
    <t>ESTAMPILLA 
PRO CULTURA</t>
  </si>
  <si>
    <t>IVA TELEFONIA</t>
  </si>
  <si>
    <t>IMPUESTO AL REGISTRO</t>
  </si>
  <si>
    <t>MONOPOLIO</t>
  </si>
  <si>
    <t>SGP EDUCACION PS</t>
  </si>
  <si>
    <t>SGP EDUCACION AP</t>
  </si>
  <si>
    <t>FONDO RECURSO PAE</t>
  </si>
  <si>
    <t>ESTAMPILLA PRO 
ADULTO MAYOR</t>
  </si>
  <si>
    <t>SGP SALUD</t>
  </si>
  <si>
    <t>RENTAS CEDIDAS 
MONOPOLIO</t>
  </si>
  <si>
    <t>RECURSOS
NACION</t>
  </si>
  <si>
    <t>OTROS RECURSOS</t>
  </si>
  <si>
    <t>ESTAMPILLA 
PRODESARROLLO</t>
  </si>
  <si>
    <t>PROPIOS</t>
  </si>
  <si>
    <t xml:space="preserve">  John Harold Valencia Rodríguez </t>
  </si>
  <si>
    <t xml:space="preserve"> John Harold Valencia Rodríguez </t>
  </si>
  <si>
    <t>Fernando  Augusto Paneso Zuluaga</t>
  </si>
  <si>
    <t xml:space="preserve">Gerente </t>
  </si>
  <si>
    <t xml:space="preserve"> Gerente </t>
  </si>
  <si>
    <t>Pablo César Herrera Correa</t>
  </si>
  <si>
    <t>Instituciones educativas oficiales que implementan en nivel preescolar en el marco de la atención integral</t>
  </si>
  <si>
    <t>CODIGO SECTOR KPT</t>
  </si>
  <si>
    <t>NOMBRE SECTOR KPT</t>
  </si>
  <si>
    <t>Gobierno territorial</t>
  </si>
  <si>
    <t>Justicia y del derecho</t>
  </si>
  <si>
    <t>Salud y protección social</t>
  </si>
  <si>
    <t>Cultura</t>
  </si>
  <si>
    <t>Ambiente y desarrollo sostenible</t>
  </si>
  <si>
    <t>Comercio, Industria y Turismo</t>
  </si>
  <si>
    <t>Trabajo</t>
  </si>
  <si>
    <t>Agricultura y desarrollo rural</t>
  </si>
  <si>
    <t>Ciencia, Tecnolgía e Innovación</t>
  </si>
  <si>
    <t>Gobierno Territorial</t>
  </si>
  <si>
    <t>Tecnologías de la información y las comunicaciones</t>
  </si>
  <si>
    <t>307 SECRETARÍA DE HACIENDA</t>
  </si>
  <si>
    <t xml:space="preserve">
1905015</t>
  </si>
  <si>
    <t>Servicio de educación para el trabajo en temas de uso pedagógico de tecnologías de la información y las comunicaciones.</t>
  </si>
  <si>
    <t>Servicio de apoyo para el acceso y la permanencia a la educación superior o terciaria</t>
  </si>
  <si>
    <t xml:space="preserve">Servicio de cofinanciación para la continuidad del  régimen subsidiado en salud  </t>
  </si>
  <si>
    <t>Programa para el cumplimiento de las políticas y prácticas contables implementado</t>
  </si>
  <si>
    <t>Servicios de reconocimientos para el cumplimiento de metas de calidad, financiera, producción y transferencias especiales.</t>
  </si>
  <si>
    <t>Implementación del programa de seguridad vial en el Departamento del Quindío  "TU Y YO POR LA SEGURIDAD VIAL"</t>
  </si>
  <si>
    <t xml:space="preserve">Implementación de  la política pública de juventud en el Departamento del Quindío  </t>
  </si>
  <si>
    <t>4102043</t>
  </si>
  <si>
    <t>410204300</t>
  </si>
  <si>
    <t>4599019</t>
  </si>
  <si>
    <t>459901900</t>
  </si>
  <si>
    <t>Formulación de la política pública de adulto mayor en el Departamento del Quindio</t>
  </si>
  <si>
    <t>Disminuir Tasa de Suicidio  y Violencia Intrafamiliar, además del aumento de la Cobertura a los grupos de adulto mayor, a traves de la formulacion de la politica pública de este grupo de población en el Departamento del Quindío.</t>
  </si>
  <si>
    <t xml:space="preserve">  Revisar y ajustar  la política pública de  discapacidad del departamento del Quindío  </t>
  </si>
  <si>
    <t xml:space="preserve"> Mantener de la infraestructura educativa, con el propósito de garantizar  la permanencia y calidad  de la prestación  del servicio educativo en Departamento del Quindío.  </t>
  </si>
  <si>
    <t xml:space="preserve">Mantenimiento, mejoramiento y/o rehabilitación de  obras físicas de infraestructura deportiva y recreativa en el Departamento del Quindío  </t>
  </si>
  <si>
    <t>Mantener, mejorar y/o rehabilitar obras físicas de infraestructura deportiva y recreativa en el Departamento del Quindío con el propósito de generar espacios para la utilización del tiempo libre.</t>
  </si>
  <si>
    <t>Mejorar y mantener la comunicación vehicular entre los municipios del departamento y en sector rural mediante la disposición de una infraestructura vial adecuada, mediante programas de mantenimiento y/o mejoramiento de las vías construidas y sus obras complementarias, garantizando condiciones de eficiencia, seguridad y confort a los usuarios. Para estos efectos se podrá implementar mecanismos de carácter social como “Las Camineras”, qué desde la población local contribuyan al mantenimiento vial.</t>
  </si>
  <si>
    <t>Matenimiento  de la infraestructura institucional o de edificios públicos en el Departamento del Quindío</t>
  </si>
  <si>
    <t>Mantener  la  infraestructura institucional o de edificios públicos, con el propósito de propiciar un excelente servicio al ciudadano y bienestar al servidor público, con infraestructura moderna y amigable.</t>
  </si>
  <si>
    <t xml:space="preserve">410203501
</t>
  </si>
  <si>
    <t xml:space="preserve">4102035
 </t>
  </si>
  <si>
    <t>Mantenimiento de obras complementarias en la Infraestructura educativa en el Departamento del Quindío.</t>
  </si>
  <si>
    <t>Mantenimiento de obras complementarias de la infraestructura  deportiva y recreativa en el Departamento del Quindío.</t>
  </si>
  <si>
    <t>Incrementar la cobertura de municipios qué participan en programas de recreación, actividad física y deporte social y comunitario en el Departamento del Quindío, a través del   mantenimiento de obras complementarias de infraestructura deportiva y recreativa en el Departamento del Quindío con el propósito de generar espacio para la utilización del tiempo libre.</t>
  </si>
  <si>
    <t>Incrementar las tasas de cobertura bruta en preescolar, educación básica y media, a través de esfuerzos interinstitucionales para realizar  obras complementarias en  Infraestructura educativa  mantenida, en el Departamento del Quindío.</t>
  </si>
  <si>
    <t xml:space="preserve"> Mantenimiento de obras complementarias a la infraestructura vial en el Departamento del Quindío</t>
  </si>
  <si>
    <t>Incrementar en índice de competitividad  en el sector de infraestructura vial,    a través de obras físicas complementarias, garantizando condiciones de eficiencia, seguridad y confort a los a sus usuarios</t>
  </si>
  <si>
    <t xml:space="preserve">MONOPOLIO EDUCACIÓN Y SALUD  51% DESTINACION ESPECIFICA
 </t>
  </si>
  <si>
    <t xml:space="preserve">Revisar y ajustar la política pública de equidad de género para la mujer en el Departamento del Quindío  </t>
  </si>
  <si>
    <t xml:space="preserve">Fortalecimiento  del Consejo Territorial de Planeación del Departamento del Quindío. "TÚ y YO SOMOS QUINDIO" </t>
  </si>
  <si>
    <t xml:space="preserve">Implementación  de  un programa para el cumplimiento de las políticas y prácticas contables de la administración departamental del Quindío.    </t>
  </si>
  <si>
    <t>Mantenimiento de las instituciones públicas y/o de seguridad y  justicia  del Estado en el Departamento Quindío</t>
  </si>
  <si>
    <t>Mejoramiento de la infraestructura física de las instituciones de salud pública y bienestar social en el  departamento del Quindío</t>
  </si>
  <si>
    <t xml:space="preserve"> Mantenimiento de  la infraestructura  Educativa en el Departamento del Quindío. </t>
  </si>
  <si>
    <t xml:space="preserve"> Mantenimiento de la infraestructura cultural en el departamento del Quindío  </t>
  </si>
  <si>
    <t>Deporte y recreación</t>
  </si>
  <si>
    <t>Mantenimiento, mejoramiento, rehabilitación y/o atención las vías  para  garantizar  la movilidad y competitividad en el departamento del Quindío.</t>
  </si>
  <si>
    <t>Construcción, mantenimiento y/o mejoramiento de obras  de estabilización de Taludes en el Departamento del Quindío</t>
  </si>
  <si>
    <t xml:space="preserve"> Implementación  de acciones con los Entes Municipales, para la reducción de los delitos en el Departamento del Quindio</t>
  </si>
  <si>
    <t xml:space="preserve">  Implementación de  métodos  para la resolución de conflictos y el  fortalecimiento de la seguridad de los ciudadanos den el Departamento del Quindío  </t>
  </si>
  <si>
    <t xml:space="preserve">Asistencia, atención y capacitación  a la población  excombatiente en el  Departamento del Quindío. </t>
  </si>
  <si>
    <t>Instancias territoriales asistidas técnicamente</t>
  </si>
  <si>
    <t xml:space="preserve"> Fortalecimiento de los organismos de seguridad del Departamento del Quindío,  para mejorar la convivencia, preservación del orden público y la seguridad ciudadana. </t>
  </si>
  <si>
    <t xml:space="preserve">Fortalecimiento institucional de la entidades municipales para la cosolidación de la convivencia, el orden público  y la seguridad ciudadana  en el departamento del Quindío  </t>
  </si>
  <si>
    <t xml:space="preserve"> Fortalecimiento de la participación ciudadana, veedurías y organizaciones comunales para el cumplimiento, protección y restablecimiento de los derechos contemplados en la Constitución Política.    </t>
  </si>
  <si>
    <t xml:space="preserve"> Apoyo artistas y gestores culturales  del departamento del Quindío con el  beneficio de la Seguridad Social.  </t>
  </si>
  <si>
    <t xml:space="preserve"> Apoyo al Paisaje, Café y Tradición mediante procesos de manejo, gestión, asistencia técnica, divulgación y publicación del patrimonio, arqueológico, antropológico e histórico en el Departamento del Quindío </t>
  </si>
  <si>
    <t xml:space="preserve">Fortalecimiento de la competitividad y productividad en el  departamento del Quindío </t>
  </si>
  <si>
    <t xml:space="preserve"> Fortalecimiento del sector empresarial  para el acceso a nuevos mercados en el departamento del Quindío</t>
  </si>
  <si>
    <t>Implementación de procesos de ordenamiento productivo y social territorial en el Departamento del Quindío</t>
  </si>
  <si>
    <t xml:space="preserve">Fortalecimiento  de los procesos de Gestión Ambiental Urbana y Rural para la protección del Paisaje y la Biodiversidad en el  departamento del   Quindío  </t>
  </si>
  <si>
    <t xml:space="preserve">Apoyo a la generación de entornos  amigables para los animales  domésticos y silvestres en el departamento del Quindío </t>
  </si>
  <si>
    <t>Implementación de la Política de Transparencia, Acceso a la Información Pública y Lucha Contra la Corrupción del Modelo Integrado de Planificación y Gestión MIPG, articulada con el "Pacto por la Integridad, Transparencia y Legalidad"  en el Departamento del Quindío</t>
  </si>
  <si>
    <t>Fortalecimiento de la Calidad Educativa con inclusión y equidad para el Desarrollo Integral de niños, niñas, adolescentes y jóvenes en el Departamento del Quindío.</t>
  </si>
  <si>
    <t xml:space="preserve">  Diseño e implementación de campañas para la promoción de la vida y prevención del consumo de sustancias psicoactivas en el Departamento del Quindío. "TU Y YO UNIDOS POR LA VIDA".  </t>
  </si>
  <si>
    <t xml:space="preserve"> Implementación acciones de fortalecimiento  de los entornos protectores de los jóvenes en barrios vulnerables de los municipios, del Departamento del Quindío. </t>
  </si>
  <si>
    <t>Diseño e implementación de un  Modelo de  Atención Integral a la Primera Infancia  a través de las Rutas Integrales de Atención  RIAS en el Departamento del Quindío</t>
  </si>
  <si>
    <t xml:space="preserve">Revisión, ajuste  e implementación de  la política pública de primera infancia, infancia y adolescencia en el Departamento del Quindío  </t>
  </si>
  <si>
    <t xml:space="preserve"> Diseño e implementación del programa de acompañamiento familiar y comunitario con enfoque preventivo en los tipos de violencias en el Departamento del Quindío "TU Y YO COMPROMETIDOS CON LA FAMILIA" </t>
  </si>
  <si>
    <t xml:space="preserve"> Diseño e implementación del programa comunitario para la prevención de los derechos de niños, niñas y adolescentes y su desarrollo integral. "TU Y YO COMPROMETIDOS CON LOS SUEÑOS". </t>
  </si>
  <si>
    <t xml:space="preserve"> Servicio de atención Post egreso de adolescentes y jóvenes, en los servicios de restablecimiento en la administración de justicia, con enfoque pedagógico y restaurativo encaminados a la inclusión social en el  Departamento del   Quindío.</t>
  </si>
  <si>
    <t xml:space="preserve">   Desarrollo de un  programa  de acompañamiento  familiar y comunitario  en procesos de Inclusión social y productivos para el emprendimiento de  alternativas de generación de ingresos  en el departamento del Quindío  </t>
  </si>
  <si>
    <t xml:space="preserve">   Apoyo en  la articulación de la  oferta social para la población habitante de calle del departamento del Quindío  </t>
  </si>
  <si>
    <t xml:space="preserve">Implementación de la Casa  de la Mujer Empoderada para la promoción a la participación ciudadana  de Mujeres en escenarios sociales, políticos y el fortalecimiento de la asociatividad  en el departamento del Quindío " TU Y YO CON LAS MUJERES EMPODERADAS." </t>
  </si>
  <si>
    <t>Proyecto de promoción de estilos de vida saludable, control y vigilancia en la gestión del riesgo de condiciones no transmisibles en el Departamento del Quindío.</t>
  </si>
  <si>
    <t xml:space="preserve">Prestación de Servicios a la Población no Afiliada al Sistema General de Seguridad Social en Salud y en el NO POS a la Población del Régimen Subsidiado.  
 </t>
  </si>
  <si>
    <t xml:space="preserve"> Fortalecimiento de la estrategia de gobierno digital  en la Administración Departamental y  Entes Territoriales del departamento del  Quindío  </t>
  </si>
  <si>
    <t>Servicio de fortalecimiento a las capacidades de los docentes de educación inicial, preescolar, básica y media</t>
  </si>
  <si>
    <t>RECURSOS NACION</t>
  </si>
  <si>
    <t xml:space="preserve">RENTAS CEDIDAS </t>
  </si>
  <si>
    <t>PLAN OPERATIVO ANUAL DE INVERSIÓN POAI  2021  -  PLAN DE DESARROLLO 2020-2023 "TÚ Y YO SOMOS QUINDIO"</t>
  </si>
  <si>
    <t>PLAN OPERATIVO ANUAL DE INVERSIÓN POAI  2021 - PLAN DE DESARROLLO 2020-2023 "TÚ Y YO SOMOS QUINDIO "</t>
  </si>
  <si>
    <t>Inclusión productiva de pequeños productores rurales. "Tú y yo con oportunidades para el pequeño campesino"</t>
  </si>
  <si>
    <t>Gestión del cambio climático para un desarrollo bajo en carbono y resiliente al clima. "Tú y yo preparados para el cambio climático"</t>
  </si>
  <si>
    <t xml:space="preserve">Desarrollo tecnológico e innovación para el crecimiento empresarial </t>
  </si>
  <si>
    <t>Servicio de promoción de la actividad física, la recreación y el deporte</t>
  </si>
  <si>
    <t>Documentos de estudios técnicos para el ordenamiento ambiental territorial</t>
  </si>
  <si>
    <t>Instrumentos de planificación para el ordenamiento y la gestión territorial departamental (Plan de Desarrollo Departamental PDD, Ordenamiento Territorial, Sistema de Información Geográfica, Mecanismos de Integración, Catastro multipropósito etc.).</t>
  </si>
  <si>
    <t>Incrementar el  Índice de Gestión y Desempeño de la  Administración Departamental,  a través  de la implementación del  Observatorio Económico, con el objeto de proveer información  para la toma decisiones, facilitar en   seguimiento y monitoreo de dinámicas económicas y sociales del departamento.</t>
  </si>
  <si>
    <t>Incrementar el  Índice de Gestión y Desempeño de la  Administración Departamental, a través de  procesos de fortalecimiento del Banco de Programas y Proyectos, con el propósito de generar una mayor inversión social, qué impacte de manera positiva en las problemáticas socioeconómicas de la comunidad quindiana.</t>
  </si>
  <si>
    <t xml:space="preserve">Programa para el cumplimiento de las políticas y prácticas contables para la administración departamental         </t>
  </si>
  <si>
    <t>Documentos de estudios técnicos para el conocimiento y reducción del riesgo de desastres elaborados</t>
  </si>
  <si>
    <t>Servicio de asistencia técnica a las Mipymes para el acceso a nuevos mercados</t>
  </si>
  <si>
    <t>Servicio de asistencia técnica a los entes territoriales para el desarrollo turístico</t>
  </si>
  <si>
    <t>Servicio de asesoría técnica para el emprendimiento.</t>
  </si>
  <si>
    <t>Servicio de apoyo financiero para el acceso a activos productivos y de comercialización</t>
  </si>
  <si>
    <t>Servicio de apoyo para el fomento organizativo de la agricultura campesina, familiar y comunitaria</t>
  </si>
  <si>
    <t>Servicio de apoyo para el acceso a maquinaria y equipos</t>
  </si>
  <si>
    <t>Servicio de apoyo a la implementación de mecanismos y herramientas para el conocimiento, reducción y manejo de riesgos agropecuarios</t>
  </si>
  <si>
    <t>Documentos de lineamientos para el ordenamiento social y productivo elaborados</t>
  </si>
  <si>
    <t>Fortalecimiento de los procesos de planificación del territorio para el conocimiento  y reducción del riesgo en el Departamento del Quindío.</t>
  </si>
  <si>
    <t>Fortalecimiento de estrategias para el acceso y la permanencia  de los estudiantes egresados de los Establecimientos Educativos Oficiales a la educación superior o terciaria en el Departamento del Quindío.</t>
  </si>
  <si>
    <t>Incrementar el Índice de Desempeño Fiscal de la Administración Departamental,   a través de la implementación del programa para el cumplimiento de las políticas y prácticas contables para la administración departamental,  encaminado a la  generación de información  veraz, confiable y razonable.</t>
  </si>
  <si>
    <t>Adaptar e implementar la política pública de salud mental para el Departamento del Quindío</t>
  </si>
  <si>
    <t>Personas capacitadas en Gestión TI y en Seguridad y Privacidad de la Información</t>
  </si>
  <si>
    <t>Formular e  implementar una  política pública para el desarrollo y acceso al deporte, la recreación, la actividad física, la educación física y en uso adecuado del tiempo libre, como ejes de transformación humana y social en el departamento del Quindío</t>
  </si>
  <si>
    <t>Incrementar el  Índice de Gestión y Desempeño de la  Administración Departamental a través de la Implementación de los  instrumentos de planificación para el ordenamiento y la gestión territorial departamental (Plan de Desarrollo Departamental PDD, Ordenamiento Territorial, Sistema de Información Geográfica, mecanismos de integración, catastro multipropósito etc.) para orientar  los gastos de inversión  de acuerdo al Ordenamiento  Territorial.</t>
  </si>
  <si>
    <t>PLAN OPERATIVO ANUAL DE INVERSIÓN POAI 2021 - PLAN DE DESARROLLO 2020-2023 "TÚ Y YO SOMOS QUINDIO "</t>
  </si>
  <si>
    <t>SECTOR</t>
  </si>
  <si>
    <t xml:space="preserve">ADMINISTRATIVA </t>
  </si>
  <si>
    <t xml:space="preserve">PLANEACIÓN </t>
  </si>
  <si>
    <t xml:space="preserve"> HACIENDA</t>
  </si>
  <si>
    <t xml:space="preserve">INFRAESTRUCTURA </t>
  </si>
  <si>
    <t xml:space="preserve"> INTERIOR </t>
  </si>
  <si>
    <t xml:space="preserve">CULTURA </t>
  </si>
  <si>
    <t>TURISMO ..</t>
  </si>
  <si>
    <t>AGRICULTURA</t>
  </si>
  <si>
    <t xml:space="preserve">PRIVADA </t>
  </si>
  <si>
    <t xml:space="preserve"> EDUCACIÓN </t>
  </si>
  <si>
    <t>FAMILIA</t>
  </si>
  <si>
    <t>SALUD</t>
  </si>
  <si>
    <t xml:space="preserve">SECRETARIAS </t>
  </si>
  <si>
    <t xml:space="preserve">PRESUPUESTO </t>
  </si>
  <si>
    <t>%</t>
  </si>
  <si>
    <t>TOTAL</t>
  </si>
  <si>
    <t>TIC</t>
  </si>
  <si>
    <t>ORDINARIO</t>
  </si>
  <si>
    <t xml:space="preserve"> 
NACION</t>
  </si>
  <si>
    <t xml:space="preserve">TOTAL </t>
  </si>
  <si>
    <t xml:space="preserve">R . CEDIDAS </t>
  </si>
  <si>
    <t xml:space="preserve">  
MONOPOLIO</t>
  </si>
  <si>
    <t>INDEPORTES</t>
  </si>
  <si>
    <t xml:space="preserve">PROMOTORA </t>
  </si>
  <si>
    <t>TRANSITO</t>
  </si>
  <si>
    <t xml:space="preserve">ENTES </t>
  </si>
  <si>
    <t xml:space="preserve"> ORDINARIO</t>
  </si>
  <si>
    <t>NACION</t>
  </si>
  <si>
    <t>Fortalecimiento a la gestión y dirección de la administración pública territorial "Quindío con una administración al servicio de la ciudadanía "</t>
  </si>
  <si>
    <t>Fortalecimiento del buen gobierno para el respeto y garantía de los derechos humanos. "Quindío integrado y participativo"</t>
  </si>
  <si>
    <t>Infraestructura de las Instituciones de Seguridad del Estado con procesos constructivos, mejorados, ampliados, mantenidos, y/o reforzados</t>
  </si>
  <si>
    <t>Aseguramiento y Prestación integral de servicios de salud "Tú y yo con servicios de salud"</t>
  </si>
  <si>
    <t>Calidad, cobertura y fortalecimiento de la educación inicial, prescolar, básica y media." Tú y yo con educación y  calidad"</t>
  </si>
  <si>
    <t>Infraestructura de Instituciones Educativas con procesos constructivos, mejorados, ampliados, mantenidos y/o reforzados.</t>
  </si>
  <si>
    <t>Fomento a la recreación, la actividad física y el deporte para desarrollar entornos de convivencia y paz "Tú y yo en la recreación y en deporte"</t>
  </si>
  <si>
    <t xml:space="preserve">Infraestructura  deportiva y/o recreativa con procesos   constructivos ,  mejorados,  ampliados,  mantenidos,   reforzados </t>
  </si>
  <si>
    <t xml:space="preserve">Infraestructura   deportiva y/o recreativa construida  mejorada,  ampliada,  mantenida y/o  reforzada </t>
  </si>
  <si>
    <t>Infraestructura institucional o  de edificios públicos de atención  de servicios ciudadanos con procesos constructivos mejorados,  ampliados,  mantenidos, y/o  reforzados</t>
  </si>
  <si>
    <t>Personas privadas de la libertad (PPL) qué reciben servicio de resocialización</t>
  </si>
  <si>
    <t>Gestión del riesgo de desastres y emergencias."Tú y yo preparados en gestión del riesgo"</t>
  </si>
  <si>
    <t xml:space="preserve">Sevicio de información para el sector artísitico y cultural </t>
  </si>
  <si>
    <t>Sistema de información del sector artísitico cultural en operación</t>
  </si>
  <si>
    <t>0.7</t>
  </si>
  <si>
    <t>Calidad y formento de la Educación "Tú y yo preparados para la educación superior"</t>
  </si>
  <si>
    <t xml:space="preserve">Documento  de Política Pública de Primera Infancia, Infancia y Adolescencia, revisado, ajustado </t>
  </si>
  <si>
    <t>Implementar  la política pública de primera infancia, infancia y adolescencia</t>
  </si>
  <si>
    <t>Revisar y ajustar   la política pública de primera infancia, infancia y adolescencia</t>
  </si>
  <si>
    <t xml:space="preserve">Política Pública de Primera Infancia, Infancia y Adolescencia implementada. </t>
  </si>
  <si>
    <t xml:space="preserve">Documento de Política pública de la mujer y equidad de género revisada y ajustada </t>
  </si>
  <si>
    <t xml:space="preserve"> Implementar la política pública de equidad de género para la mujer </t>
  </si>
  <si>
    <t>Política pública de la mujer y equidad de género   implementada.</t>
  </si>
  <si>
    <t>Política pública de diversidad sexual e identidad de género implementada.</t>
  </si>
  <si>
    <t xml:space="preserve">Revisar y ajustar  la política pública de equidad de género para la mujer </t>
  </si>
  <si>
    <t>Revisar y ajustar    la política pública de  discapacidad</t>
  </si>
  <si>
    <t xml:space="preserve">Documento de Política Pública de  Discapacidad revisada y ajustado.  </t>
  </si>
  <si>
    <t>Implementar el protocolo de vigilancia sanitaria y ambiental de los efectos en salud relacionados con la contaminación del aire en los 11 municipios de competencia departamental.</t>
  </si>
  <si>
    <t xml:space="preserve">
190501500</t>
  </si>
  <si>
    <t>Formular e Implementar un programa de control, prevención y atención del tránsito y eL transporte en los municipios y vías de jurisdicción del IDTQ.</t>
  </si>
  <si>
    <t>Facilitar en acceso y uso de las Tecnologías de la Información y las Comunicaciones (TIC)  en todo el territorio nacional.  "Tú y yo somos ciudadanos TIC"</t>
  </si>
  <si>
    <t>Documentos de lineamientos técnicos para  mejorar la calidad ambiental de las áreas urbanas elaborados</t>
  </si>
  <si>
    <t xml:space="preserve">
190501501</t>
  </si>
  <si>
    <t>Fortalecimiento a la gestión y dirección de la administración pública territorial "Quindío con una administración al servicio de la ciudadanía"</t>
  </si>
  <si>
    <t xml:space="preserve">Inclusión social y Reconciliación </t>
  </si>
  <si>
    <t>Inclusión social y Reconciliación</t>
  </si>
  <si>
    <t>Vivienda, Ciudad y Territorio</t>
  </si>
  <si>
    <t>No.</t>
  </si>
  <si>
    <t>LINEA ESTRATEGICA</t>
  </si>
  <si>
    <t>RECURSOS</t>
  </si>
  <si>
    <t>% PARTICIPACIÓN</t>
  </si>
  <si>
    <t>PRESUPUESTO EN MILES $</t>
  </si>
  <si>
    <t>PLAN OPERATIVO ANUAL DE INVERSIONES 2021
SECTOR CENTRAL ADMINISTRACION DEPARTAMENTAL
RECURSOS POR SECTOR</t>
  </si>
  <si>
    <t>PLAN OPERATIVO ANUAL DE INVERSIONES 2021
ENTES DESCENTRALIZADOS
RECURSOS POR SECTOR</t>
  </si>
  <si>
    <t>PLAN OPERATIVO ANUAL DE INVERSIONES 2021
SECTOR CENTRAL ADMINISTRACION DEPARTAMENTAL
RECURSOS POR LINEA ESTRATÉGICA</t>
  </si>
  <si>
    <t>PLAN OPERATIVO ANUAL DE INVERSIONES 2021
ENTES DESCENTRALIZADOS
RECURSOS POR LINEA ESTRATÉGICA</t>
  </si>
  <si>
    <t>PLAN OPERATIVO ANUAL DE INVERSIONES 2021
DEPARTAMENTO DEL QUINDIO
RECURSOS POR LINEA ESTRATÉGICA</t>
  </si>
  <si>
    <t>SUB TOTAL DESCENTRALIZADOS</t>
  </si>
  <si>
    <t>TOTAL DEPARTAMENTO QUINDIO</t>
  </si>
  <si>
    <t>SUB TOTAL SECTOR CENTRAL</t>
  </si>
  <si>
    <t>202000363-0150</t>
  </si>
  <si>
    <t>202000363-0151</t>
  </si>
  <si>
    <t>202000363-0149</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</si>
</sst>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4" formatCode="_(&quot;$&quot;\ * #,##0.00_);_(&quot;$&quot;\ * \(#,##0.00\);_(&quot;$&quot;\ * &quot;-&quot;??_);_(@_)"/>
    <numFmt numFmtId="43" formatCode="_(* #,##0.00_);_(* \(#,##0.00\);_(* &quot;-&quot;??_);_(@_)"/>
    <numFmt numFmtId="164" formatCode="_-&quot;$&quot;\ * #,##0_-;\-&quot;$&quot;\ * #,##0_-;_-&quot;$&quot;\ * &quot;-&quot;_-;_-@_-"/>
    <numFmt numFmtId="165" formatCode="_-* #,##0_-;\-* #,##0_-;_-* &quot;-&quot;_-;_-@_-"/>
    <numFmt numFmtId="166" formatCode="_-&quot;$&quot;\ * #,##0.00_-;\-&quot;$&quot;\ * #,##0.00_-;_-&quot;$&quot;\ * &quot;-&quot;??_-;_-@_-"/>
    <numFmt numFmtId="167" formatCode="_-* #,##0.00_-;\-* #,##0.00_-;_-* &quot;-&quot;??_-;_-@_-"/>
    <numFmt numFmtId="168" formatCode="_-&quot;$&quot;* #,##0_-;\-&quot;$&quot;* #,##0_-;_-&quot;$&quot;* &quot;-&quot;_-;_-@_-"/>
    <numFmt numFmtId="169" formatCode="_-&quot;$&quot;* #,##0.00_-;\-&quot;$&quot;* #,##0.00_-;_-&quot;$&quot;* &quot;-&quot;??_-;_-@_-"/>
    <numFmt numFmtId="170" formatCode="_([$$-240A]\ * #,##0.00_);_([$$-240A]\ * \(#,##0.00\);_([$$-240A]\ * &quot;-&quot;??_);_(@_)"/>
    <numFmt numFmtId="171" formatCode="00"/>
    <numFmt numFmtId="172" formatCode="_(* #,##0_);_(* \(#,##0\);_(* &quot;-&quot;??_);_(@_)"/>
    <numFmt numFmtId="173" formatCode="_-* #,##0_-;\-* #,##0_-;_-* &quot;-&quot;??_-;_-@_-"/>
    <numFmt numFmtId="174" formatCode="_-* #,##0.00_-;\-* #,##0.00_-;_-* &quot;-&quot;_-;_-@_-"/>
    <numFmt numFmtId="175" formatCode="_-&quot;$&quot;\ * #,##0.00_-;\-&quot;$&quot;\ * #,##0.00_-;_-&quot;$&quot;\ * &quot;-&quot;_-;_-@_-"/>
    <numFmt numFmtId="176" formatCode="_(&quot;$&quot;\ * #,##0_);_(&quot;$&quot;\ * \(#,##0\);_(&quot;$&quot;\ * &quot;-&quot;??_);_(@_)"/>
    <numFmt numFmtId="177" formatCode="_-[$$-240A]\ * #,##0.00_-;\-[$$-240A]\ * #,##0.00_-;_-[$$-240A]\ * &quot;-&quot;??_-;_-@_-"/>
    <numFmt numFmtId="178" formatCode="_([$$-240A]\ * #,##0_);_([$$-240A]\ * \(#,##0\);_([$$-240A]\ * &quot;-&quot;??_);_(@_)"/>
    <numFmt numFmtId="179" formatCode="_-* #,##0.00\ _€_-;\-* #,##0.00\ _€_-;_-* &quot;-&quot;??\ _€_-;_-@_-"/>
    <numFmt numFmtId="180" formatCode="_ [$€-2]\ * #,##0.00_ ;_ [$€-2]\ * \-#,##0.00_ ;_ [$€-2]\ * &quot;-&quot;??_ "/>
    <numFmt numFmtId="181" formatCode="_-&quot;$&quot;* #,##0.00_-;\-&quot;$&quot;* #,##0.00_-;_-&quot;$&quot;* &quot;-&quot;_-;_-@_-"/>
    <numFmt numFmtId="182" formatCode="#,##0."/>
    <numFmt numFmtId="183" formatCode="_ * #,##0.00_ ;_ * \-#,##0.00_ ;_ * &quot;-&quot;??_ ;_ @_ "/>
  </numFmts>
  <fonts count="56" x14ac:knownFonts="1">
    <font>
      <sz val="11"/>
      <color theme="1"/>
      <name val="Calibri"/>
      <family val="2"/>
      <scheme val="minor"/>
    </font>
    <font>
      <sz val="11"/>
      <color theme="1"/>
      <name val="Calibri"/>
      <family val="2"/>
      <scheme val="minor"/>
    </font>
    <font>
      <sz val="12"/>
      <name val="Arial"/>
      <family val="2"/>
    </font>
    <font>
      <b/>
      <sz val="12"/>
      <name val="Arial"/>
      <family val="2"/>
    </font>
    <font>
      <b/>
      <sz val="10"/>
      <name val="Arial"/>
      <family val="2"/>
    </font>
    <font>
      <sz val="11"/>
      <color indexed="8"/>
      <name val="Calibri"/>
      <family val="2"/>
    </font>
    <font>
      <sz val="12"/>
      <color theme="1"/>
      <name val="Arial"/>
      <family val="2"/>
    </font>
    <font>
      <b/>
      <sz val="11"/>
      <color rgb="FF6F6F6E"/>
      <name val="Calibri"/>
      <family val="2"/>
      <scheme val="minor"/>
    </font>
    <font>
      <sz val="10"/>
      <name val="Arial"/>
      <family val="2"/>
    </font>
    <font>
      <sz val="8"/>
      <name val="Calibri"/>
      <family val="2"/>
      <scheme val="minor"/>
    </font>
    <font>
      <b/>
      <sz val="11"/>
      <color theme="0"/>
      <name val="Calibri"/>
      <family val="2"/>
      <scheme val="minor"/>
    </font>
    <font>
      <sz val="11"/>
      <color rgb="FF000000"/>
      <name val="Calibri"/>
      <family val="2"/>
    </font>
    <font>
      <sz val="12"/>
      <color theme="1"/>
      <name val="Arial"/>
      <family val="2"/>
    </font>
    <font>
      <sz val="12"/>
      <name val="Arial"/>
      <family val="2"/>
    </font>
    <font>
      <b/>
      <sz val="12"/>
      <name val="Arial"/>
      <family val="2"/>
    </font>
    <font>
      <b/>
      <sz val="10"/>
      <name val="Arial"/>
      <family val="2"/>
    </font>
    <font>
      <b/>
      <sz val="12"/>
      <color theme="0"/>
      <name val="Arial"/>
      <family val="2"/>
    </font>
    <font>
      <b/>
      <sz val="16"/>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8"/>
      <color theme="3"/>
      <name val="Calibri Light"/>
      <family val="2"/>
      <scheme val="major"/>
    </font>
    <font>
      <sz val="10"/>
      <color theme="1"/>
      <name val="Arial"/>
      <family val="2"/>
    </font>
    <font>
      <sz val="12"/>
      <color theme="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
      <color indexed="8"/>
      <name val="Courier"/>
      <family val="3"/>
    </font>
    <font>
      <b/>
      <sz val="1"/>
      <color indexed="8"/>
      <name val="Courier"/>
      <family val="3"/>
    </font>
    <font>
      <b/>
      <i/>
      <sz val="1"/>
      <color indexed="8"/>
      <name val="Courier"/>
      <family val="3"/>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Arial"/>
      <family val="2"/>
      <charset val="1"/>
    </font>
    <font>
      <sz val="11"/>
      <color rgb="FFFFFFFF"/>
      <name val="Arial"/>
      <family val="2"/>
      <charset val="1"/>
    </font>
  </fonts>
  <fills count="7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rgb="FF002060"/>
        <bgColor indexed="64"/>
      </patternFill>
    </fill>
    <fill>
      <patternFill patternType="solid">
        <fgColor rgb="FFFFC000"/>
        <bgColor indexed="64"/>
      </patternFill>
    </fill>
    <fill>
      <patternFill patternType="solid">
        <fgColor rgb="FF00B0F0"/>
        <bgColor indexed="64"/>
      </patternFill>
    </fill>
    <fill>
      <patternFill patternType="solid">
        <fgColor rgb="FFECECEC"/>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FFFFFF"/>
        <bgColor indexed="64"/>
      </patternFill>
    </fill>
    <fill>
      <patternFill patternType="solid">
        <fgColor rgb="FF522B57"/>
        <bgColor indexed="64"/>
      </patternFill>
    </fill>
    <fill>
      <patternFill patternType="solid">
        <fgColor theme="0"/>
        <bgColor rgb="FF000000"/>
      </patternFill>
    </fill>
    <fill>
      <patternFill patternType="solid">
        <fgColor rgb="FFC65911"/>
        <bgColor indexed="64"/>
      </patternFill>
    </fill>
    <fill>
      <patternFill patternType="solid">
        <fgColor rgb="FF8EA9DB"/>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9" tint="0.39997558519241921"/>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
      <patternFill patternType="solid">
        <fgColor theme="0" tint="-4.9989318521683403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6600"/>
        <bgColor rgb="FFFF9900"/>
      </patternFill>
    </fill>
  </fills>
  <borders count="63">
    <border>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522B57"/>
      </left>
      <right style="thin">
        <color rgb="FF522B57"/>
      </right>
      <top style="thin">
        <color rgb="FF522B57"/>
      </top>
      <bottom style="thin">
        <color rgb="FF522B57"/>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medium">
        <color rgb="FFECECEC"/>
      </left>
      <right style="medium">
        <color rgb="FFECECEC"/>
      </right>
      <top style="medium">
        <color rgb="FFECECEC"/>
      </top>
      <bottom style="medium">
        <color rgb="FFECECEC"/>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indexed="64"/>
      </bottom>
      <diagonal/>
    </border>
    <border>
      <left style="thin">
        <color indexed="64"/>
      </left>
      <right/>
      <top style="thin">
        <color rgb="FF000000"/>
      </top>
      <bottom style="thin">
        <color indexed="64"/>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indexed="64"/>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right/>
      <top style="thin">
        <color theme="4"/>
      </top>
      <bottom/>
      <diagonal/>
    </border>
    <border>
      <left style="thin">
        <color rgb="FF000000"/>
      </left>
      <right style="thin">
        <color rgb="FF000000"/>
      </right>
      <top style="thin">
        <color theme="4"/>
      </top>
      <bottom style="thin">
        <color indexed="64"/>
      </bottom>
      <diagonal/>
    </border>
    <border>
      <left style="thin">
        <color rgb="FF000000"/>
      </left>
      <right/>
      <top style="thin">
        <color theme="4"/>
      </top>
      <bottom style="thin">
        <color indexed="64"/>
      </bottom>
      <diagonal/>
    </border>
    <border>
      <left/>
      <right style="thin">
        <color rgb="FF000000"/>
      </right>
      <top style="thin">
        <color theme="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thin">
        <color indexed="64"/>
      </right>
      <top style="thin">
        <color rgb="FF000000"/>
      </top>
      <bottom style="thin">
        <color indexed="64"/>
      </bottom>
      <diagonal/>
    </border>
    <border>
      <left/>
      <right/>
      <top style="thin">
        <color rgb="FF000000"/>
      </top>
      <bottom style="thin">
        <color indexed="64"/>
      </bottom>
      <diagonal/>
    </border>
    <border>
      <left style="thin">
        <color rgb="FF000000"/>
      </left>
      <right style="thin">
        <color rgb="FF000000"/>
      </right>
      <top style="thin">
        <color indexed="64"/>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rgb="FF000000"/>
      </left>
      <right/>
      <top style="thin">
        <color rgb="FF000000"/>
      </top>
      <bottom style="thin">
        <color theme="4" tint="0.39997558519241921"/>
      </bottom>
      <diagonal/>
    </border>
  </borders>
  <cellStyleXfs count="389">
    <xf numFmtId="170" fontId="0" fillId="0" borderId="0"/>
    <xf numFmtId="167"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43" fontId="5" fillId="0" borderId="0" applyFont="0" applyFill="0" applyBorder="0" applyAlignment="0" applyProtection="0"/>
    <xf numFmtId="170" fontId="7" fillId="8" borderId="10">
      <alignment horizontal="center" vertical="center" wrapText="1"/>
    </xf>
    <xf numFmtId="0" fontId="1" fillId="0" borderId="0"/>
    <xf numFmtId="43" fontId="1" fillId="0" borderId="0" applyFont="0" applyFill="0" applyBorder="0" applyAlignment="0" applyProtection="0"/>
    <xf numFmtId="0" fontId="7" fillId="8" borderId="10">
      <alignment horizontal="center" vertical="center" wrapText="1"/>
    </xf>
    <xf numFmtId="170" fontId="8" fillId="0" borderId="0"/>
    <xf numFmtId="166"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0" fontId="10" fillId="13" borderId="14">
      <alignment horizontal="center" vertical="center" wrapText="1"/>
    </xf>
    <xf numFmtId="0" fontId="8" fillId="0" borderId="0"/>
    <xf numFmtId="0" fontId="11" fillId="0" borderId="0"/>
    <xf numFmtId="0" fontId="8" fillId="0" borderId="0"/>
    <xf numFmtId="0" fontId="1" fillId="0" borderId="0"/>
    <xf numFmtId="0" fontId="1" fillId="0" borderId="0"/>
    <xf numFmtId="0" fontId="18" fillId="0" borderId="44" applyNumberFormat="0" applyFill="0" applyAlignment="0" applyProtection="0"/>
    <xf numFmtId="0" fontId="19" fillId="0" borderId="45" applyNumberFormat="0" applyFill="0" applyAlignment="0" applyProtection="0"/>
    <xf numFmtId="0" fontId="20" fillId="0" borderId="46" applyNumberFormat="0" applyFill="0" applyAlignment="0" applyProtection="0"/>
    <xf numFmtId="0" fontId="20" fillId="0" borderId="0" applyNumberFormat="0" applyFill="0" applyBorder="0" applyAlignment="0" applyProtection="0"/>
    <xf numFmtId="0" fontId="21" fillId="20" borderId="0" applyNumberFormat="0" applyBorder="0" applyAlignment="0" applyProtection="0"/>
    <xf numFmtId="0" fontId="22" fillId="21" borderId="0" applyNumberFormat="0" applyBorder="0" applyAlignment="0" applyProtection="0"/>
    <xf numFmtId="0" fontId="23" fillId="22" borderId="47" applyNumberFormat="0" applyAlignment="0" applyProtection="0"/>
    <xf numFmtId="0" fontId="24" fillId="23" borderId="48" applyNumberFormat="0" applyAlignment="0" applyProtection="0"/>
    <xf numFmtId="0" fontId="25" fillId="23" borderId="47" applyNumberFormat="0" applyAlignment="0" applyProtection="0"/>
    <xf numFmtId="0" fontId="26" fillId="0" borderId="49" applyNumberFormat="0" applyFill="0" applyAlignment="0" applyProtection="0"/>
    <xf numFmtId="0" fontId="10" fillId="24" borderId="50" applyNumberFormat="0" applyAlignment="0" applyProtection="0"/>
    <xf numFmtId="0" fontId="27" fillId="0" borderId="0" applyNumberFormat="0" applyFill="0" applyBorder="0" applyAlignment="0" applyProtection="0"/>
    <xf numFmtId="0" fontId="1" fillId="25" borderId="51" applyNumberFormat="0" applyFont="0" applyAlignment="0" applyProtection="0"/>
    <xf numFmtId="0" fontId="28" fillId="0" borderId="0" applyNumberFormat="0" applyFill="0" applyBorder="0" applyAlignment="0" applyProtection="0"/>
    <xf numFmtId="0" fontId="29" fillId="0" borderId="52" applyNumberFormat="0" applyFill="0" applyAlignment="0" applyProtection="0"/>
    <xf numFmtId="0" fontId="30"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33" borderId="0" applyNumberFormat="0" applyBorder="0" applyAlignment="0" applyProtection="0"/>
    <xf numFmtId="0" fontId="30"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30" fillId="49" borderId="0" applyNumberFormat="0" applyBorder="0" applyAlignment="0" applyProtection="0"/>
    <xf numFmtId="0" fontId="1" fillId="0" borderId="0"/>
    <xf numFmtId="170" fontId="1" fillId="0" borderId="0"/>
    <xf numFmtId="180" fontId="1" fillId="35" borderId="0" applyNumberFormat="0" applyBorder="0" applyAlignment="0" applyProtection="0"/>
    <xf numFmtId="180" fontId="1" fillId="0" borderId="0"/>
    <xf numFmtId="170" fontId="1" fillId="0" borderId="0"/>
    <xf numFmtId="0" fontId="32" fillId="0" borderId="0" applyNumberFormat="0" applyFill="0" applyBorder="0" applyAlignment="0" applyProtection="0"/>
    <xf numFmtId="180" fontId="19" fillId="0" borderId="45" applyNumberFormat="0" applyFill="0" applyAlignment="0" applyProtection="0"/>
    <xf numFmtId="180" fontId="1" fillId="0" borderId="0"/>
    <xf numFmtId="180" fontId="1" fillId="48" borderId="0" applyNumberFormat="0" applyBorder="0" applyAlignment="0" applyProtection="0"/>
    <xf numFmtId="180" fontId="10" fillId="24" borderId="50" applyNumberFormat="0" applyAlignment="0" applyProtection="0"/>
    <xf numFmtId="180" fontId="25" fillId="23" borderId="47" applyNumberFormat="0" applyAlignment="0" applyProtection="0"/>
    <xf numFmtId="180" fontId="1" fillId="0" borderId="0"/>
    <xf numFmtId="170" fontId="1" fillId="0" borderId="0"/>
    <xf numFmtId="180" fontId="30" fillId="37" borderId="0" applyNumberFormat="0" applyBorder="0" applyAlignment="0" applyProtection="0"/>
    <xf numFmtId="180" fontId="1" fillId="0" borderId="0"/>
    <xf numFmtId="180" fontId="1" fillId="0" borderId="0"/>
    <xf numFmtId="180" fontId="1" fillId="0" borderId="0"/>
    <xf numFmtId="170" fontId="1" fillId="0" borderId="0"/>
    <xf numFmtId="180" fontId="22" fillId="21" borderId="0" applyNumberFormat="0" applyBorder="0" applyAlignment="0" applyProtection="0"/>
    <xf numFmtId="180" fontId="1" fillId="0" borderId="0"/>
    <xf numFmtId="170" fontId="1" fillId="0" borderId="0"/>
    <xf numFmtId="180" fontId="30" fillId="49" borderId="0" applyNumberFormat="0" applyBorder="0" applyAlignment="0" applyProtection="0"/>
    <xf numFmtId="17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9" fontId="5"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167"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33" fillId="0" borderId="0"/>
    <xf numFmtId="169" fontId="1" fillId="0" borderId="0" applyFont="0" applyFill="0" applyBorder="0" applyAlignment="0" applyProtection="0"/>
    <xf numFmtId="0" fontId="8" fillId="0" borderId="0"/>
    <xf numFmtId="167" fontId="5" fillId="0" borderId="0" applyFont="0" applyFill="0" applyBorder="0" applyAlignment="0" applyProtection="0"/>
    <xf numFmtId="167" fontId="1" fillId="0" borderId="0" applyFont="0" applyFill="0" applyBorder="0" applyAlignment="0" applyProtection="0"/>
    <xf numFmtId="167" fontId="5" fillId="0" borderId="0" applyFont="0" applyFill="0" applyBorder="0" applyAlignment="0" applyProtection="0"/>
    <xf numFmtId="165" fontId="1" fillId="0" borderId="0" applyFont="0" applyFill="0" applyBorder="0" applyAlignment="0" applyProtection="0"/>
    <xf numFmtId="179" fontId="1" fillId="0" borderId="0" applyFont="0" applyFill="0" applyBorder="0" applyAlignment="0" applyProtection="0"/>
    <xf numFmtId="168" fontId="8" fillId="0" borderId="0" applyFont="0" applyFill="0" applyBorder="0" applyAlignment="0" applyProtection="0"/>
    <xf numFmtId="18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70" fontId="8"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165" fontId="1" fillId="0" borderId="0" applyFont="0" applyFill="0" applyBorder="0" applyAlignment="0" applyProtection="0"/>
    <xf numFmtId="0" fontId="1" fillId="0" borderId="0"/>
    <xf numFmtId="169"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0" fontId="1" fillId="0" borderId="0"/>
    <xf numFmtId="167" fontId="5" fillId="0" borderId="0" applyFont="0" applyFill="0" applyBorder="0" applyAlignment="0" applyProtection="0"/>
    <xf numFmtId="0" fontId="33" fillId="0" borderId="0"/>
    <xf numFmtId="164" fontId="1" fillId="0" borderId="0" applyFont="0" applyFill="0" applyBorder="0" applyAlignment="0" applyProtection="0"/>
    <xf numFmtId="0" fontId="1" fillId="0" borderId="0"/>
    <xf numFmtId="170" fontId="1" fillId="0" borderId="0"/>
    <xf numFmtId="180" fontId="26" fillId="0" borderId="49" applyNumberFormat="0" applyFill="0" applyAlignment="0" applyProtection="0"/>
    <xf numFmtId="170" fontId="1" fillId="0" borderId="0"/>
    <xf numFmtId="180" fontId="30" fillId="34" borderId="0" applyNumberFormat="0" applyBorder="0" applyAlignment="0" applyProtection="0"/>
    <xf numFmtId="180" fontId="1" fillId="0" borderId="0"/>
    <xf numFmtId="170" fontId="1" fillId="0" borderId="0"/>
    <xf numFmtId="180" fontId="1" fillId="0" borderId="0"/>
    <xf numFmtId="180" fontId="1" fillId="0" borderId="0"/>
    <xf numFmtId="180" fontId="1" fillId="0" borderId="0"/>
    <xf numFmtId="180" fontId="1" fillId="0" borderId="0"/>
    <xf numFmtId="180" fontId="1" fillId="0" borderId="0"/>
    <xf numFmtId="180" fontId="23" fillId="22" borderId="47" applyNumberFormat="0" applyAlignment="0" applyProtection="0"/>
    <xf numFmtId="170" fontId="1" fillId="0" borderId="0"/>
    <xf numFmtId="180" fontId="1" fillId="0" borderId="0"/>
    <xf numFmtId="180" fontId="30" fillId="30" borderId="0" applyNumberFormat="0" applyBorder="0" applyAlignment="0" applyProtection="0"/>
    <xf numFmtId="180" fontId="1" fillId="0" borderId="0"/>
    <xf numFmtId="180" fontId="1" fillId="0" borderId="0"/>
    <xf numFmtId="180" fontId="1" fillId="0" borderId="0"/>
    <xf numFmtId="180" fontId="30" fillId="38" borderId="0" applyNumberFormat="0" applyBorder="0" applyAlignment="0" applyProtection="0"/>
    <xf numFmtId="180" fontId="1" fillId="0" borderId="0"/>
    <xf numFmtId="180" fontId="20" fillId="0" borderId="46" applyNumberFormat="0" applyFill="0" applyAlignment="0" applyProtection="0"/>
    <xf numFmtId="170" fontId="1" fillId="0" borderId="0"/>
    <xf numFmtId="180" fontId="31" fillId="0" borderId="0" applyNumberFormat="0" applyFill="0" applyBorder="0" applyAlignment="0" applyProtection="0"/>
    <xf numFmtId="180" fontId="1" fillId="0" borderId="0"/>
    <xf numFmtId="180" fontId="1" fillId="0" borderId="0"/>
    <xf numFmtId="170" fontId="1" fillId="0" borderId="0"/>
    <xf numFmtId="180" fontId="1" fillId="28" borderId="0" applyNumberFormat="0" applyBorder="0" applyAlignment="0" applyProtection="0"/>
    <xf numFmtId="180" fontId="33" fillId="0" borderId="0"/>
    <xf numFmtId="180" fontId="1" fillId="0" borderId="0"/>
    <xf numFmtId="170" fontId="1" fillId="0" borderId="0"/>
    <xf numFmtId="180" fontId="1" fillId="0" borderId="0"/>
    <xf numFmtId="180" fontId="20" fillId="0" borderId="0" applyNumberFormat="0" applyFill="0" applyBorder="0" applyAlignment="0" applyProtection="0"/>
    <xf numFmtId="180" fontId="1" fillId="0" borderId="0"/>
    <xf numFmtId="180" fontId="1" fillId="25" borderId="51" applyNumberFormat="0" applyFont="0" applyAlignment="0" applyProtection="0"/>
    <xf numFmtId="180" fontId="1" fillId="0" borderId="0"/>
    <xf numFmtId="180" fontId="24" fillId="23" borderId="48" applyNumberFormat="0" applyAlignment="0" applyProtection="0"/>
    <xf numFmtId="170" fontId="1" fillId="0" borderId="0"/>
    <xf numFmtId="170" fontId="1" fillId="0" borderId="0"/>
    <xf numFmtId="180" fontId="1" fillId="0" borderId="0"/>
    <xf numFmtId="180" fontId="1" fillId="0" borderId="0"/>
    <xf numFmtId="180" fontId="1" fillId="0" borderId="0"/>
    <xf numFmtId="170" fontId="1" fillId="0" borderId="0"/>
    <xf numFmtId="180" fontId="8" fillId="0" borderId="0"/>
    <xf numFmtId="180" fontId="30" fillId="29" borderId="0" applyNumberFormat="0" applyBorder="0" applyAlignment="0" applyProtection="0"/>
    <xf numFmtId="170" fontId="1" fillId="0" borderId="0"/>
    <xf numFmtId="180" fontId="1" fillId="47" borderId="0" applyNumberFormat="0" applyBorder="0" applyAlignment="0" applyProtection="0"/>
    <xf numFmtId="180" fontId="1" fillId="0" borderId="0"/>
    <xf numFmtId="180" fontId="1" fillId="0" borderId="0"/>
    <xf numFmtId="180" fontId="1" fillId="40" borderId="0" applyNumberFormat="0" applyBorder="0" applyAlignment="0" applyProtection="0"/>
    <xf numFmtId="170" fontId="1" fillId="0" borderId="0"/>
    <xf numFmtId="180" fontId="29" fillId="0" borderId="52" applyNumberFormat="0" applyFill="0" applyAlignment="0" applyProtection="0"/>
    <xf numFmtId="180" fontId="8" fillId="0" borderId="0"/>
    <xf numFmtId="180" fontId="1" fillId="0" borderId="0"/>
    <xf numFmtId="180" fontId="1" fillId="43" borderId="0" applyNumberFormat="0" applyBorder="0" applyAlignment="0" applyProtection="0"/>
    <xf numFmtId="180" fontId="30" fillId="26" borderId="0" applyNumberFormat="0" applyBorder="0" applyAlignment="0" applyProtection="0"/>
    <xf numFmtId="180" fontId="1" fillId="0" borderId="0"/>
    <xf numFmtId="170" fontId="1" fillId="0" borderId="0"/>
    <xf numFmtId="180" fontId="1" fillId="0" borderId="0"/>
    <xf numFmtId="170" fontId="1" fillId="0" borderId="0"/>
    <xf numFmtId="170" fontId="1" fillId="0" borderId="0"/>
    <xf numFmtId="180" fontId="8" fillId="0" borderId="0"/>
    <xf numFmtId="180" fontId="32" fillId="0" borderId="0" applyNumberFormat="0" applyFill="0" applyBorder="0" applyAlignment="0" applyProtection="0"/>
    <xf numFmtId="180" fontId="1" fillId="0" borderId="0"/>
    <xf numFmtId="180" fontId="1" fillId="27" borderId="0" applyNumberFormat="0" applyBorder="0" applyAlignment="0" applyProtection="0"/>
    <xf numFmtId="180" fontId="1" fillId="0" borderId="0"/>
    <xf numFmtId="180" fontId="30" fillId="45" borderId="0" applyNumberFormat="0" applyBorder="0" applyAlignment="0" applyProtection="0"/>
    <xf numFmtId="180" fontId="1" fillId="0" borderId="0"/>
    <xf numFmtId="180" fontId="30" fillId="41" borderId="0" applyNumberFormat="0" applyBorder="0" applyAlignment="0" applyProtection="0"/>
    <xf numFmtId="180" fontId="1" fillId="0" borderId="0"/>
    <xf numFmtId="180" fontId="1" fillId="0" borderId="0"/>
    <xf numFmtId="180" fontId="1" fillId="0" borderId="0"/>
    <xf numFmtId="180" fontId="1" fillId="0" borderId="0"/>
    <xf numFmtId="180" fontId="30" fillId="33" borderId="0" applyNumberFormat="0" applyBorder="0" applyAlignment="0" applyProtection="0"/>
    <xf numFmtId="180" fontId="1" fillId="0" borderId="0"/>
    <xf numFmtId="180" fontId="8" fillId="0" borderId="0"/>
    <xf numFmtId="180" fontId="1" fillId="0" borderId="0"/>
    <xf numFmtId="180" fontId="11" fillId="0" borderId="0"/>
    <xf numFmtId="180" fontId="1" fillId="0" borderId="0"/>
    <xf numFmtId="180" fontId="30" fillId="46" borderId="0" applyNumberFormat="0" applyBorder="0" applyAlignment="0" applyProtection="0"/>
    <xf numFmtId="180" fontId="27" fillId="0" borderId="0" applyNumberFormat="0" applyFill="0" applyBorder="0" applyAlignment="0" applyProtection="0"/>
    <xf numFmtId="180" fontId="1" fillId="44" borderId="0" applyNumberFormat="0" applyBorder="0" applyAlignment="0" applyProtection="0"/>
    <xf numFmtId="180" fontId="1" fillId="32" borderId="0" applyNumberFormat="0" applyBorder="0" applyAlignment="0" applyProtection="0"/>
    <xf numFmtId="180" fontId="28" fillId="0" borderId="0" applyNumberFormat="0" applyFill="0" applyBorder="0" applyAlignment="0" applyProtection="0"/>
    <xf numFmtId="180" fontId="1" fillId="31" borderId="0" applyNumberFormat="0" applyBorder="0" applyAlignment="0" applyProtection="0"/>
    <xf numFmtId="180" fontId="21" fillId="20" borderId="0" applyNumberFormat="0" applyBorder="0" applyAlignment="0" applyProtection="0"/>
    <xf numFmtId="170" fontId="1" fillId="0" borderId="0"/>
    <xf numFmtId="170" fontId="1" fillId="0" borderId="0"/>
    <xf numFmtId="180" fontId="1" fillId="39" borderId="0" applyNumberFormat="0" applyBorder="0" applyAlignment="0" applyProtection="0"/>
    <xf numFmtId="180" fontId="1" fillId="0" borderId="0"/>
    <xf numFmtId="180" fontId="1" fillId="0" borderId="0"/>
    <xf numFmtId="180" fontId="1" fillId="36" borderId="0" applyNumberFormat="0" applyBorder="0" applyAlignment="0" applyProtection="0"/>
    <xf numFmtId="180" fontId="7" fillId="8" borderId="10">
      <alignment horizontal="center" vertical="center" wrapText="1"/>
    </xf>
    <xf numFmtId="180" fontId="1" fillId="0" borderId="0"/>
    <xf numFmtId="180" fontId="7" fillId="8" borderId="10">
      <alignment horizontal="center" vertical="center" wrapText="1"/>
    </xf>
    <xf numFmtId="180" fontId="1" fillId="0" borderId="0"/>
    <xf numFmtId="180" fontId="30" fillId="42" borderId="0" applyNumberFormat="0" applyBorder="0" applyAlignment="0" applyProtection="0"/>
    <xf numFmtId="170" fontId="1" fillId="0" borderId="0"/>
    <xf numFmtId="180" fontId="1" fillId="0" borderId="0"/>
    <xf numFmtId="180" fontId="1" fillId="0" borderId="0"/>
    <xf numFmtId="180" fontId="18" fillId="0" borderId="44" applyNumberFormat="0" applyFill="0" applyAlignment="0" applyProtection="0"/>
    <xf numFmtId="180" fontId="33" fillId="0" borderId="0"/>
    <xf numFmtId="180" fontId="1" fillId="0" borderId="0"/>
    <xf numFmtId="180" fontId="1" fillId="0" borderId="0"/>
    <xf numFmtId="180" fontId="1" fillId="0" borderId="0"/>
    <xf numFmtId="170" fontId="1" fillId="0" borderId="0"/>
    <xf numFmtId="180" fontId="1" fillId="0" borderId="0"/>
    <xf numFmtId="180" fontId="1" fillId="0" borderId="0"/>
    <xf numFmtId="0" fontId="8" fillId="0" borderId="0"/>
    <xf numFmtId="180" fontId="1" fillId="0" borderId="0"/>
    <xf numFmtId="180" fontId="1" fillId="0" borderId="0"/>
    <xf numFmtId="180" fontId="1" fillId="0" borderId="0"/>
    <xf numFmtId="170" fontId="1" fillId="0" borderId="0"/>
    <xf numFmtId="9" fontId="1" fillId="0" borderId="0" applyFont="0" applyFill="0" applyBorder="0" applyAlignment="0" applyProtection="0"/>
    <xf numFmtId="0" fontId="1" fillId="0" borderId="0"/>
    <xf numFmtId="0" fontId="8" fillId="0" borderId="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35" fillId="62"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63" borderId="0" applyNumberFormat="0" applyBorder="0" applyAlignment="0" applyProtection="0"/>
    <xf numFmtId="0" fontId="35" fillId="64" borderId="0" applyNumberFormat="0" applyBorder="0" applyAlignment="0" applyProtection="0"/>
    <xf numFmtId="0" fontId="35" fillId="65" borderId="0" applyNumberFormat="0" applyBorder="0" applyAlignment="0" applyProtection="0"/>
    <xf numFmtId="0" fontId="36" fillId="54" borderId="0" applyNumberFormat="0" applyBorder="0" applyAlignment="0" applyProtection="0"/>
    <xf numFmtId="0" fontId="37" fillId="66" borderId="53" applyNumberFormat="0" applyAlignment="0" applyProtection="0"/>
    <xf numFmtId="0" fontId="38" fillId="67" borderId="54" applyNumberFormat="0" applyAlignment="0" applyProtection="0"/>
    <xf numFmtId="0" fontId="39" fillId="0" borderId="55" applyNumberFormat="0" applyFill="0" applyAlignment="0" applyProtection="0"/>
    <xf numFmtId="0" fontId="40" fillId="0" borderId="0" applyNumberFormat="0" applyFill="0" applyBorder="0" applyAlignment="0" applyProtection="0"/>
    <xf numFmtId="0" fontId="35" fillId="68"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63" borderId="0" applyNumberFormat="0" applyBorder="0" applyAlignment="0" applyProtection="0"/>
    <xf numFmtId="0" fontId="35" fillId="64" borderId="0" applyNumberFormat="0" applyBorder="0" applyAlignment="0" applyProtection="0"/>
    <xf numFmtId="0" fontId="35" fillId="71" borderId="0" applyNumberFormat="0" applyBorder="0" applyAlignment="0" applyProtection="0"/>
    <xf numFmtId="0" fontId="41" fillId="57" borderId="53" applyNumberFormat="0" applyAlignment="0" applyProtection="0"/>
    <xf numFmtId="180" fontId="8" fillId="0" borderId="0" applyFont="0" applyFill="0" applyBorder="0" applyAlignment="0" applyProtection="0"/>
    <xf numFmtId="180" fontId="8" fillId="0" borderId="0" applyFont="0" applyFill="0" applyBorder="0" applyAlignment="0" applyProtection="0"/>
    <xf numFmtId="182" fontId="42" fillId="0" borderId="0">
      <protection locked="0"/>
    </xf>
    <xf numFmtId="182" fontId="42" fillId="0" borderId="0">
      <protection locked="0"/>
    </xf>
    <xf numFmtId="182" fontId="42" fillId="0" borderId="0">
      <protection locked="0"/>
    </xf>
    <xf numFmtId="182" fontId="43" fillId="0" borderId="0">
      <protection locked="0"/>
    </xf>
    <xf numFmtId="182" fontId="44" fillId="0" borderId="0">
      <protection locked="0"/>
    </xf>
    <xf numFmtId="182" fontId="43" fillId="0" borderId="0">
      <protection locked="0"/>
    </xf>
    <xf numFmtId="182" fontId="44" fillId="0" borderId="0">
      <protection locked="0"/>
    </xf>
    <xf numFmtId="0" fontId="45" fillId="53" borderId="0" applyNumberFormat="0" applyBorder="0" applyAlignment="0" applyProtection="0"/>
    <xf numFmtId="183" fontId="8" fillId="0" borderId="0" applyFont="0" applyFill="0" applyBorder="0" applyAlignment="0" applyProtection="0"/>
    <xf numFmtId="0" fontId="46" fillId="72" borderId="0" applyNumberFormat="0" applyBorder="0" applyAlignment="0" applyProtection="0"/>
    <xf numFmtId="0" fontId="8" fillId="0" borderId="0"/>
    <xf numFmtId="180" fontId="5" fillId="0" borderId="0"/>
    <xf numFmtId="0" fontId="8" fillId="0" borderId="0"/>
    <xf numFmtId="180" fontId="5" fillId="0" borderId="0"/>
    <xf numFmtId="0" fontId="8" fillId="0" borderId="0"/>
    <xf numFmtId="180" fontId="5" fillId="0" borderId="0"/>
    <xf numFmtId="0" fontId="8" fillId="0" borderId="0"/>
    <xf numFmtId="0" fontId="8" fillId="0" borderId="0"/>
    <xf numFmtId="180" fontId="5" fillId="0" borderId="0"/>
    <xf numFmtId="180" fontId="5" fillId="0" borderId="0"/>
    <xf numFmtId="0" fontId="8" fillId="0" borderId="0"/>
    <xf numFmtId="0" fontId="8" fillId="0" borderId="0"/>
    <xf numFmtId="0" fontId="8" fillId="0" borderId="0"/>
    <xf numFmtId="180" fontId="5" fillId="0" borderId="0"/>
    <xf numFmtId="180" fontId="5" fillId="0" borderId="0"/>
    <xf numFmtId="180" fontId="5" fillId="0" borderId="0"/>
    <xf numFmtId="0" fontId="8" fillId="0" borderId="0"/>
    <xf numFmtId="0" fontId="1" fillId="0" borderId="0"/>
    <xf numFmtId="180" fontId="5" fillId="0" borderId="0"/>
    <xf numFmtId="180" fontId="5" fillId="0" borderId="0"/>
    <xf numFmtId="0" fontId="8" fillId="0" borderId="0"/>
    <xf numFmtId="0" fontId="8" fillId="0" borderId="0"/>
    <xf numFmtId="0" fontId="8" fillId="0" borderId="0"/>
    <xf numFmtId="0" fontId="54" fillId="0" borderId="0"/>
    <xf numFmtId="0" fontId="8" fillId="0" borderId="0"/>
    <xf numFmtId="0" fontId="8" fillId="0" borderId="0"/>
    <xf numFmtId="0" fontId="8" fillId="73" borderId="57" applyNumberFormat="0" applyFont="0" applyAlignment="0" applyProtection="0"/>
    <xf numFmtId="0" fontId="8" fillId="73" borderId="57" applyNumberFormat="0" applyFont="0" applyAlignment="0" applyProtection="0"/>
    <xf numFmtId="0" fontId="47" fillId="66" borderId="58" applyNumberFormat="0" applyAlignment="0" applyProtection="0"/>
    <xf numFmtId="0" fontId="55" fillId="74" borderId="0"/>
    <xf numFmtId="0" fontId="48" fillId="0" borderId="0" applyNumberFormat="0" applyFill="0" applyBorder="0" applyAlignment="0" applyProtection="0"/>
    <xf numFmtId="0" fontId="49" fillId="0" borderId="0" applyNumberFormat="0" applyFill="0" applyBorder="0" applyAlignment="0" applyProtection="0"/>
    <xf numFmtId="0" fontId="50" fillId="0" borderId="56" applyNumberFormat="0" applyFill="0" applyAlignment="0" applyProtection="0"/>
    <xf numFmtId="0" fontId="51" fillId="0" borderId="59" applyNumberFormat="0" applyFill="0" applyAlignment="0" applyProtection="0"/>
    <xf numFmtId="0" fontId="40" fillId="0" borderId="60" applyNumberFormat="0" applyFill="0" applyAlignment="0" applyProtection="0"/>
    <xf numFmtId="0" fontId="52" fillId="0" borderId="0" applyNumberFormat="0" applyFill="0" applyBorder="0" applyAlignment="0" applyProtection="0"/>
    <xf numFmtId="0" fontId="53" fillId="0" borderId="61" applyNumberFormat="0" applyFill="0" applyAlignment="0" applyProtection="0"/>
    <xf numFmtId="0" fontId="8" fillId="0" borderId="0"/>
  </cellStyleXfs>
  <cellXfs count="788">
    <xf numFmtId="170" fontId="0" fillId="0" borderId="0" xfId="0"/>
    <xf numFmtId="170" fontId="2" fillId="0" borderId="0" xfId="0" applyFont="1"/>
    <xf numFmtId="170" fontId="2" fillId="0" borderId="2" xfId="0" applyFont="1" applyBorder="1"/>
    <xf numFmtId="170" fontId="3" fillId="0" borderId="3" xfId="0" applyFont="1" applyBorder="1" applyAlignment="1">
      <alignment vertical="center"/>
    </xf>
    <xf numFmtId="170" fontId="2" fillId="2" borderId="0" xfId="0" applyFont="1" applyFill="1"/>
    <xf numFmtId="170" fontId="3" fillId="0" borderId="3" xfId="0" applyFont="1" applyBorder="1" applyAlignment="1">
      <alignment horizontal="left" vertical="center"/>
    </xf>
    <xf numFmtId="170" fontId="4" fillId="2" borderId="0" xfId="0" applyFont="1" applyFill="1" applyAlignment="1">
      <alignment horizontal="center" vertical="center"/>
    </xf>
    <xf numFmtId="170" fontId="4" fillId="0" borderId="0" xfId="0" applyFont="1" applyAlignment="1">
      <alignment horizontal="center" vertical="center"/>
    </xf>
    <xf numFmtId="170" fontId="3" fillId="2" borderId="0" xfId="0" applyFont="1" applyFill="1" applyAlignment="1">
      <alignment vertical="center"/>
    </xf>
    <xf numFmtId="170" fontId="3" fillId="0" borderId="0" xfId="0" applyFont="1" applyAlignment="1">
      <alignment vertical="center"/>
    </xf>
    <xf numFmtId="0" fontId="3" fillId="0" borderId="6" xfId="0" applyNumberFormat="1" applyFont="1" applyBorder="1" applyAlignment="1">
      <alignment horizontal="center" vertical="center" wrapText="1"/>
    </xf>
    <xf numFmtId="170" fontId="6" fillId="0" borderId="0" xfId="0" applyFont="1"/>
    <xf numFmtId="0" fontId="2" fillId="0" borderId="0" xfId="0" applyNumberFormat="1" applyFont="1" applyAlignment="1">
      <alignment horizontal="left" vertical="center"/>
    </xf>
    <xf numFmtId="0" fontId="2" fillId="0" borderId="0" xfId="0" applyNumberFormat="1" applyFont="1" applyAlignment="1">
      <alignment horizontal="center" vertical="center"/>
    </xf>
    <xf numFmtId="170" fontId="2" fillId="0" borderId="0" xfId="0" applyFont="1" applyAlignment="1">
      <alignment horizontal="center"/>
    </xf>
    <xf numFmtId="0" fontId="2" fillId="0" borderId="0" xfId="0" applyNumberFormat="1" applyFont="1" applyAlignment="1">
      <alignment horizontal="justify" vertical="center" wrapText="1"/>
    </xf>
    <xf numFmtId="0" fontId="2" fillId="0" borderId="0" xfId="0" applyNumberFormat="1" applyFont="1" applyAlignment="1">
      <alignment horizontal="center" vertical="center" wrapText="1"/>
    </xf>
    <xf numFmtId="170" fontId="2" fillId="0" borderId="0" xfId="0" applyFont="1" applyAlignment="1">
      <alignment horizontal="justify" vertical="center" wrapText="1"/>
    </xf>
    <xf numFmtId="170" fontId="6" fillId="2" borderId="0" xfId="0" applyFont="1" applyFill="1"/>
    <xf numFmtId="0" fontId="3" fillId="0" borderId="0" xfId="0" applyNumberFormat="1" applyFont="1" applyAlignment="1">
      <alignment horizontal="center" vertical="center" wrapText="1"/>
    </xf>
    <xf numFmtId="173" fontId="2" fillId="0" borderId="0" xfId="8" applyNumberFormat="1" applyFont="1" applyAlignment="1">
      <alignment horizontal="center"/>
    </xf>
    <xf numFmtId="170" fontId="2" fillId="2" borderId="0" xfId="0" applyFont="1" applyFill="1" applyAlignment="1">
      <alignment vertical="center"/>
    </xf>
    <xf numFmtId="170" fontId="2" fillId="0" borderId="0" xfId="0" applyFont="1" applyAlignment="1">
      <alignment vertical="center"/>
    </xf>
    <xf numFmtId="43" fontId="3" fillId="2" borderId="0" xfId="0" applyNumberFormat="1" applyFont="1" applyFill="1" applyAlignment="1">
      <alignment vertical="center"/>
    </xf>
    <xf numFmtId="175" fontId="2" fillId="2" borderId="0" xfId="4" applyNumberFormat="1" applyFont="1" applyFill="1" applyBorder="1"/>
    <xf numFmtId="175" fontId="2" fillId="0" borderId="0" xfId="4" applyNumberFormat="1" applyFont="1" applyFill="1" applyBorder="1"/>
    <xf numFmtId="43" fontId="2" fillId="2" borderId="0" xfId="5" applyFont="1" applyFill="1" applyBorder="1" applyAlignment="1">
      <alignment horizontal="justify" vertical="center"/>
    </xf>
    <xf numFmtId="170" fontId="2" fillId="0" borderId="0" xfId="0" applyFont="1" applyAlignment="1">
      <alignment horizontal="left" vertical="center" wrapText="1"/>
    </xf>
    <xf numFmtId="170" fontId="3" fillId="2" borderId="0" xfId="0" applyFont="1" applyFill="1"/>
    <xf numFmtId="170" fontId="3" fillId="0" borderId="0" xfId="0" applyFont="1"/>
    <xf numFmtId="170" fontId="3" fillId="10" borderId="0" xfId="0" applyFont="1" applyFill="1"/>
    <xf numFmtId="167" fontId="3" fillId="11" borderId="3" xfId="0" applyNumberFormat="1" applyFont="1" applyFill="1" applyBorder="1"/>
    <xf numFmtId="170" fontId="2" fillId="11" borderId="0" xfId="0" applyFont="1" applyFill="1"/>
    <xf numFmtId="170" fontId="3" fillId="0" borderId="2" xfId="0" applyFont="1" applyBorder="1" applyAlignment="1">
      <alignment horizontal="center" vertical="center" wrapText="1"/>
    </xf>
    <xf numFmtId="170" fontId="3" fillId="0" borderId="4" xfId="0" applyFont="1" applyBorder="1" applyAlignment="1">
      <alignment horizontal="center" vertical="center" wrapText="1"/>
    </xf>
    <xf numFmtId="170" fontId="3" fillId="0" borderId="5" xfId="0" applyFont="1" applyBorder="1" applyAlignment="1">
      <alignment horizontal="center" vertical="center" wrapText="1"/>
    </xf>
    <xf numFmtId="170" fontId="3" fillId="0" borderId="6" xfId="0" applyFont="1" applyBorder="1" applyAlignment="1">
      <alignment horizontal="center" vertical="center" wrapText="1"/>
    </xf>
    <xf numFmtId="0" fontId="3" fillId="0" borderId="0" xfId="0" applyNumberFormat="1" applyFont="1" applyFill="1" applyAlignment="1">
      <alignment horizontal="left" vertical="center"/>
    </xf>
    <xf numFmtId="0" fontId="3" fillId="0" borderId="0" xfId="0" applyNumberFormat="1" applyFont="1" applyFill="1" applyAlignment="1">
      <alignment horizontal="center" vertical="center"/>
    </xf>
    <xf numFmtId="170" fontId="3" fillId="0" borderId="0" xfId="0" applyFont="1" applyFill="1" applyAlignment="1">
      <alignment horizontal="center"/>
    </xf>
    <xf numFmtId="167" fontId="3" fillId="0" borderId="0" xfId="0" applyNumberFormat="1" applyFont="1" applyFill="1" applyBorder="1"/>
    <xf numFmtId="170" fontId="3" fillId="0" borderId="0" xfId="0" applyFont="1" applyFill="1"/>
    <xf numFmtId="170" fontId="2" fillId="0" borderId="0" xfId="0" applyFont="1" applyAlignment="1">
      <alignment horizontal="justify" vertical="justify"/>
    </xf>
    <xf numFmtId="0" fontId="2" fillId="0" borderId="2" xfId="0" applyNumberFormat="1" applyFont="1" applyBorder="1" applyAlignment="1">
      <alignment horizontal="justify" vertical="center" wrapText="1"/>
    </xf>
    <xf numFmtId="0" fontId="3" fillId="0" borderId="2" xfId="0" applyNumberFormat="1" applyFont="1" applyBorder="1" applyAlignment="1">
      <alignment horizontal="center" vertical="center" wrapText="1"/>
    </xf>
    <xf numFmtId="0" fontId="2" fillId="0" borderId="2" xfId="0" applyNumberFormat="1" applyFont="1" applyBorder="1" applyAlignment="1">
      <alignment horizontal="center" vertical="center" wrapText="1"/>
    </xf>
    <xf numFmtId="170" fontId="3" fillId="0" borderId="1" xfId="0" applyFont="1" applyBorder="1" applyAlignment="1">
      <alignment vertical="center"/>
    </xf>
    <xf numFmtId="170" fontId="3" fillId="0" borderId="2" xfId="0" applyFont="1" applyBorder="1" applyAlignment="1">
      <alignment vertical="center"/>
    </xf>
    <xf numFmtId="0" fontId="15" fillId="4" borderId="7" xfId="0" applyNumberFormat="1" applyFont="1" applyFill="1" applyBorder="1" applyAlignment="1">
      <alignment horizontal="center" vertical="center" wrapText="1"/>
    </xf>
    <xf numFmtId="172" fontId="15" fillId="4" borderId="3" xfId="5" applyNumberFormat="1" applyFont="1" applyFill="1" applyBorder="1" applyAlignment="1">
      <alignment horizontal="center" vertical="center" wrapText="1"/>
    </xf>
    <xf numFmtId="0" fontId="3" fillId="0" borderId="2" xfId="0" applyNumberFormat="1" applyFont="1" applyBorder="1" applyAlignment="1">
      <alignment horizontal="left" vertical="center" wrapText="1"/>
    </xf>
    <xf numFmtId="170" fontId="2" fillId="0" borderId="2" xfId="0" applyFont="1" applyBorder="1" applyAlignment="1">
      <alignment horizontal="justify" vertical="center" wrapText="1"/>
    </xf>
    <xf numFmtId="170" fontId="2" fillId="0" borderId="2" xfId="0" applyFont="1" applyBorder="1" applyAlignment="1">
      <alignment horizontal="center" vertical="center" wrapText="1"/>
    </xf>
    <xf numFmtId="43" fontId="2" fillId="0" borderId="2" xfId="5" applyFont="1" applyFill="1" applyBorder="1" applyAlignment="1">
      <alignment horizontal="justify" vertical="center"/>
    </xf>
    <xf numFmtId="167" fontId="3" fillId="0" borderId="12" xfId="0" applyNumberFormat="1" applyFont="1" applyFill="1" applyBorder="1"/>
    <xf numFmtId="0" fontId="16" fillId="5" borderId="13" xfId="0" applyNumberFormat="1" applyFont="1" applyFill="1" applyBorder="1" applyAlignment="1">
      <alignment vertical="center"/>
    </xf>
    <xf numFmtId="0" fontId="16" fillId="5" borderId="13" xfId="0" applyNumberFormat="1" applyFont="1" applyFill="1" applyBorder="1" applyAlignment="1">
      <alignment horizontal="left" vertical="center"/>
    </xf>
    <xf numFmtId="0" fontId="16" fillId="5" borderId="13" xfId="0" applyNumberFormat="1" applyFont="1" applyFill="1" applyBorder="1" applyAlignment="1">
      <alignment horizontal="center" vertical="center"/>
    </xf>
    <xf numFmtId="170" fontId="16" fillId="5" borderId="13" xfId="0" applyFont="1" applyFill="1" applyBorder="1" applyAlignment="1">
      <alignment horizontal="center" vertical="center"/>
    </xf>
    <xf numFmtId="170" fontId="14" fillId="0" borderId="13" xfId="0" applyFont="1" applyBorder="1" applyAlignment="1">
      <alignment vertical="center"/>
    </xf>
    <xf numFmtId="0" fontId="14" fillId="6" borderId="13" xfId="0" applyNumberFormat="1" applyFont="1" applyFill="1" applyBorder="1" applyAlignment="1">
      <alignment horizontal="center" vertical="center" wrapText="1"/>
    </xf>
    <xf numFmtId="170" fontId="13" fillId="0" borderId="13" xfId="0" applyFont="1" applyBorder="1"/>
    <xf numFmtId="0" fontId="14" fillId="0" borderId="13" xfId="0" applyNumberFormat="1" applyFont="1" applyBorder="1" applyAlignment="1">
      <alignment horizontal="center" vertical="center" wrapText="1"/>
    </xf>
    <xf numFmtId="170" fontId="12" fillId="0" borderId="13" xfId="0" applyFont="1" applyBorder="1"/>
    <xf numFmtId="170" fontId="13" fillId="0" borderId="13" xfId="0" applyFont="1" applyBorder="1" applyAlignment="1">
      <alignment horizontal="justify" vertical="center" wrapText="1"/>
    </xf>
    <xf numFmtId="0" fontId="14" fillId="0" borderId="13" xfId="0" applyNumberFormat="1" applyFont="1" applyBorder="1" applyAlignment="1">
      <alignment horizontal="center" vertical="center"/>
    </xf>
    <xf numFmtId="170" fontId="14" fillId="0" borderId="13" xfId="0" applyFont="1" applyBorder="1" applyAlignment="1">
      <alignment horizontal="left" vertical="center"/>
    </xf>
    <xf numFmtId="0" fontId="14" fillId="9" borderId="13" xfId="0" applyNumberFormat="1" applyFont="1" applyFill="1" applyBorder="1" applyAlignment="1">
      <alignment horizontal="left" vertical="center" wrapText="1"/>
    </xf>
    <xf numFmtId="167" fontId="3" fillId="0" borderId="13" xfId="0" applyNumberFormat="1" applyFont="1" applyFill="1" applyBorder="1"/>
    <xf numFmtId="167" fontId="3" fillId="11" borderId="13" xfId="0" applyNumberFormat="1" applyFont="1" applyFill="1" applyBorder="1"/>
    <xf numFmtId="167" fontId="3" fillId="0" borderId="5" xfId="0" applyNumberFormat="1" applyFont="1" applyFill="1" applyBorder="1"/>
    <xf numFmtId="167" fontId="3" fillId="11" borderId="7" xfId="0" applyNumberFormat="1" applyFont="1" applyFill="1" applyBorder="1"/>
    <xf numFmtId="167" fontId="3" fillId="0" borderId="11" xfId="0" applyNumberFormat="1" applyFont="1" applyFill="1" applyBorder="1"/>
    <xf numFmtId="167" fontId="3" fillId="11" borderId="9" xfId="0" applyNumberFormat="1" applyFont="1" applyFill="1" applyBorder="1"/>
    <xf numFmtId="0" fontId="14" fillId="6" borderId="13" xfId="0" applyNumberFormat="1" applyFont="1" applyFill="1" applyBorder="1" applyAlignment="1">
      <alignment vertical="center"/>
    </xf>
    <xf numFmtId="170" fontId="14" fillId="6" borderId="13" xfId="0" applyNumberFormat="1" applyFont="1" applyFill="1" applyBorder="1" applyAlignment="1">
      <alignment vertical="center"/>
    </xf>
    <xf numFmtId="0" fontId="14" fillId="0" borderId="13" xfId="0" applyNumberFormat="1" applyFont="1" applyFill="1" applyBorder="1" applyAlignment="1">
      <alignment horizontal="center" vertical="center"/>
    </xf>
    <xf numFmtId="170" fontId="14" fillId="0" borderId="13" xfId="0" applyFont="1" applyFill="1" applyBorder="1" applyAlignment="1">
      <alignment horizontal="left" vertical="center"/>
    </xf>
    <xf numFmtId="170" fontId="14" fillId="0" borderId="13" xfId="0" applyFont="1" applyFill="1" applyBorder="1" applyAlignment="1">
      <alignment vertical="center"/>
    </xf>
    <xf numFmtId="177" fontId="14" fillId="6" borderId="13" xfId="0" applyNumberFormat="1" applyFont="1" applyFill="1" applyBorder="1" applyAlignment="1">
      <alignment vertical="center"/>
    </xf>
    <xf numFmtId="170" fontId="13" fillId="0" borderId="13" xfId="0" applyFont="1" applyFill="1" applyBorder="1"/>
    <xf numFmtId="0" fontId="14" fillId="0" borderId="13" xfId="0" applyNumberFormat="1" applyFont="1" applyFill="1" applyBorder="1" applyAlignment="1">
      <alignment horizontal="center" vertical="center" wrapText="1"/>
    </xf>
    <xf numFmtId="170" fontId="2" fillId="0" borderId="0" xfId="0" applyFont="1" applyFill="1"/>
    <xf numFmtId="0" fontId="16" fillId="5" borderId="19" xfId="0" applyNumberFormat="1" applyFont="1" applyFill="1" applyBorder="1" applyAlignment="1">
      <alignment horizontal="left" vertical="center"/>
    </xf>
    <xf numFmtId="0" fontId="16" fillId="5" borderId="19" xfId="0" applyNumberFormat="1" applyFont="1" applyFill="1" applyBorder="1" applyAlignment="1">
      <alignment horizontal="center" vertical="center"/>
    </xf>
    <xf numFmtId="170" fontId="16" fillId="5" borderId="19" xfId="0" applyFont="1" applyFill="1" applyBorder="1" applyAlignment="1">
      <alignment horizontal="center" vertical="center"/>
    </xf>
    <xf numFmtId="170" fontId="13" fillId="0" borderId="0" xfId="0" applyFont="1" applyBorder="1"/>
    <xf numFmtId="0" fontId="13" fillId="0" borderId="0" xfId="0" applyNumberFormat="1" applyFont="1" applyBorder="1" applyAlignment="1">
      <alignment horizontal="center" vertical="center"/>
    </xf>
    <xf numFmtId="170" fontId="13" fillId="0" borderId="0" xfId="0" applyFont="1" applyBorder="1" applyAlignment="1">
      <alignment horizontal="center"/>
    </xf>
    <xf numFmtId="43" fontId="3" fillId="0" borderId="0" xfId="0" applyNumberFormat="1" applyFont="1" applyFill="1" applyAlignment="1">
      <alignment vertical="center"/>
    </xf>
    <xf numFmtId="0" fontId="13" fillId="0" borderId="13" xfId="0" applyNumberFormat="1" applyFont="1" applyFill="1" applyBorder="1" applyAlignment="1">
      <alignment horizontal="center" vertical="center" wrapText="1"/>
    </xf>
    <xf numFmtId="0" fontId="14" fillId="6" borderId="13" xfId="0" applyNumberFormat="1" applyFont="1" applyFill="1" applyBorder="1" applyAlignment="1">
      <alignment horizontal="center" vertical="center"/>
    </xf>
    <xf numFmtId="170" fontId="3" fillId="0" borderId="0" xfId="0" applyFont="1" applyFill="1" applyAlignment="1">
      <alignment vertical="center"/>
    </xf>
    <xf numFmtId="170" fontId="12" fillId="0" borderId="13" xfId="0" applyFont="1" applyFill="1" applyBorder="1"/>
    <xf numFmtId="0" fontId="14" fillId="0" borderId="13" xfId="7" applyFont="1" applyFill="1" applyBorder="1" applyAlignment="1">
      <alignment horizontal="left" vertical="center"/>
    </xf>
    <xf numFmtId="170" fontId="6" fillId="0" borderId="0" xfId="0" applyFont="1" applyFill="1"/>
    <xf numFmtId="170" fontId="14" fillId="9" borderId="13" xfId="0" applyNumberFormat="1" applyFont="1" applyFill="1" applyBorder="1" applyAlignment="1">
      <alignment horizontal="left" vertical="center" wrapText="1"/>
    </xf>
    <xf numFmtId="170" fontId="2" fillId="0" borderId="0" xfId="0" applyFont="1" applyFill="1" applyAlignment="1">
      <alignment vertical="center"/>
    </xf>
    <xf numFmtId="170" fontId="6" fillId="2" borderId="0" xfId="0" applyFont="1" applyFill="1" applyAlignment="1">
      <alignment vertical="center"/>
    </xf>
    <xf numFmtId="170" fontId="6" fillId="0" borderId="0" xfId="0" applyFont="1" applyFill="1" applyAlignment="1">
      <alignment vertical="center"/>
    </xf>
    <xf numFmtId="0" fontId="14" fillId="9" borderId="13" xfId="0" applyNumberFormat="1" applyFont="1" applyFill="1" applyBorder="1" applyAlignment="1">
      <alignment horizontal="left" vertical="center"/>
    </xf>
    <xf numFmtId="0" fontId="14" fillId="9" borderId="13" xfId="0" applyNumberFormat="1" applyFont="1" applyFill="1" applyBorder="1" applyAlignment="1">
      <alignment horizontal="center" vertical="center"/>
    </xf>
    <xf numFmtId="0" fontId="14" fillId="0" borderId="13" xfId="0" applyNumberFormat="1" applyFont="1" applyFill="1" applyBorder="1" applyAlignment="1">
      <alignment horizontal="left" vertical="center"/>
    </xf>
    <xf numFmtId="170" fontId="12" fillId="0" borderId="0" xfId="0" applyFont="1"/>
    <xf numFmtId="170" fontId="13" fillId="0" borderId="0" xfId="0" applyFont="1"/>
    <xf numFmtId="0" fontId="13" fillId="0" borderId="0" xfId="0" applyNumberFormat="1" applyFont="1" applyAlignment="1">
      <alignment horizontal="center" vertical="center"/>
    </xf>
    <xf numFmtId="170" fontId="13" fillId="0" borderId="0" xfId="0" applyFont="1" applyAlignment="1">
      <alignment horizontal="center"/>
    </xf>
    <xf numFmtId="170" fontId="12" fillId="2" borderId="0" xfId="0" applyFont="1" applyFill="1" applyAlignment="1">
      <alignment vertical="center"/>
    </xf>
    <xf numFmtId="170" fontId="12" fillId="2" borderId="0" xfId="0" applyFont="1" applyFill="1"/>
    <xf numFmtId="170" fontId="14" fillId="9" borderId="13" xfId="0" applyNumberFormat="1" applyFont="1" applyFill="1" applyBorder="1" applyAlignment="1">
      <alignment horizontal="left" vertical="center"/>
    </xf>
    <xf numFmtId="170" fontId="14" fillId="9" borderId="13" xfId="0" applyFont="1" applyFill="1" applyBorder="1" applyAlignment="1">
      <alignment horizontal="left" vertical="center"/>
    </xf>
    <xf numFmtId="0" fontId="15" fillId="4" borderId="20" xfId="0" applyNumberFormat="1" applyFont="1" applyFill="1" applyBorder="1" applyAlignment="1">
      <alignment horizontal="center" vertical="center" wrapText="1"/>
    </xf>
    <xf numFmtId="0" fontId="15" fillId="4" borderId="21" xfId="0" applyNumberFormat="1" applyFont="1" applyFill="1" applyBorder="1" applyAlignment="1">
      <alignment horizontal="center" vertical="center" wrapText="1"/>
    </xf>
    <xf numFmtId="172" fontId="15" fillId="4" borderId="21" xfId="5" applyNumberFormat="1" applyFont="1" applyFill="1" applyBorder="1" applyAlignment="1">
      <alignment horizontal="center" vertical="center" wrapText="1"/>
    </xf>
    <xf numFmtId="172" fontId="15" fillId="4" borderId="22" xfId="5" applyNumberFormat="1" applyFont="1" applyFill="1" applyBorder="1" applyAlignment="1">
      <alignment horizontal="center" vertical="center" wrapText="1"/>
    </xf>
    <xf numFmtId="172" fontId="15" fillId="4" borderId="13" xfId="5" applyNumberFormat="1" applyFont="1" applyFill="1" applyBorder="1" applyAlignment="1">
      <alignment horizontal="center" vertical="center" wrapText="1"/>
    </xf>
    <xf numFmtId="170" fontId="14" fillId="0" borderId="0" xfId="0" applyFont="1" applyFill="1" applyBorder="1" applyAlignment="1">
      <alignment vertical="center"/>
    </xf>
    <xf numFmtId="170" fontId="2" fillId="2" borderId="0" xfId="0" applyFont="1" applyFill="1" applyBorder="1"/>
    <xf numFmtId="170" fontId="4" fillId="2" borderId="0" xfId="0" applyFont="1" applyFill="1" applyBorder="1" applyAlignment="1">
      <alignment horizontal="center" vertical="center"/>
    </xf>
    <xf numFmtId="170" fontId="3" fillId="2" borderId="0" xfId="0" applyFont="1" applyFill="1" applyBorder="1" applyAlignment="1">
      <alignment vertical="center"/>
    </xf>
    <xf numFmtId="170" fontId="2" fillId="0" borderId="0" xfId="0" applyFont="1" applyFill="1" applyBorder="1"/>
    <xf numFmtId="170" fontId="6" fillId="2" borderId="0" xfId="0" applyFont="1" applyFill="1" applyBorder="1"/>
    <xf numFmtId="170" fontId="2" fillId="0" borderId="0" xfId="0" applyFont="1" applyBorder="1"/>
    <xf numFmtId="170" fontId="3" fillId="0" borderId="0" xfId="0" applyFont="1" applyFill="1" applyBorder="1" applyAlignment="1">
      <alignment vertical="center"/>
    </xf>
    <xf numFmtId="170" fontId="6" fillId="0" borderId="0" xfId="0" applyFont="1" applyFill="1" applyBorder="1"/>
    <xf numFmtId="170" fontId="3" fillId="2" borderId="0" xfId="0" applyFont="1" applyFill="1" applyBorder="1"/>
    <xf numFmtId="170" fontId="12" fillId="2" borderId="0" xfId="0" applyFont="1" applyFill="1" applyBorder="1"/>
    <xf numFmtId="170" fontId="3" fillId="0" borderId="0" xfId="0" applyFont="1" applyFill="1" applyBorder="1"/>
    <xf numFmtId="172" fontId="15" fillId="4" borderId="23" xfId="5" applyNumberFormat="1" applyFont="1" applyFill="1" applyBorder="1" applyAlignment="1">
      <alignment horizontal="center" vertical="center" wrapText="1"/>
    </xf>
    <xf numFmtId="170" fontId="16" fillId="5" borderId="15" xfId="0" applyFont="1" applyFill="1" applyBorder="1" applyAlignment="1">
      <alignment horizontal="center" vertical="center"/>
    </xf>
    <xf numFmtId="170" fontId="14" fillId="0" borderId="15" xfId="0" applyFont="1" applyFill="1" applyBorder="1" applyAlignment="1">
      <alignment vertical="center"/>
    </xf>
    <xf numFmtId="172" fontId="15" fillId="4" borderId="17" xfId="5" applyNumberFormat="1" applyFont="1" applyFill="1" applyBorder="1" applyAlignment="1">
      <alignment horizontal="center" vertical="center" wrapText="1"/>
    </xf>
    <xf numFmtId="170" fontId="15" fillId="4" borderId="21" xfId="0" applyFont="1" applyFill="1" applyBorder="1" applyAlignment="1">
      <alignment horizontal="center" vertical="center" wrapText="1"/>
    </xf>
    <xf numFmtId="170" fontId="3" fillId="0" borderId="2" xfId="0" applyFont="1" applyBorder="1" applyAlignment="1">
      <alignment horizontal="justify" vertical="center" wrapText="1"/>
    </xf>
    <xf numFmtId="170" fontId="3" fillId="0" borderId="0" xfId="0" applyFont="1" applyAlignment="1">
      <alignment horizontal="justify" vertical="center" wrapText="1"/>
    </xf>
    <xf numFmtId="170" fontId="3" fillId="0" borderId="6" xfId="0" applyFont="1" applyBorder="1" applyAlignment="1">
      <alignment horizontal="justify" vertical="center" wrapText="1"/>
    </xf>
    <xf numFmtId="0" fontId="14" fillId="9" borderId="13" xfId="0" applyNumberFormat="1" applyFont="1" applyFill="1" applyBorder="1" applyAlignment="1">
      <alignment horizontal="justify" vertical="center" wrapText="1"/>
    </xf>
    <xf numFmtId="0" fontId="3" fillId="0" borderId="2" xfId="0" applyNumberFormat="1" applyFont="1" applyBorder="1" applyAlignment="1">
      <alignment horizontal="justify" vertical="center" wrapText="1"/>
    </xf>
    <xf numFmtId="0" fontId="3" fillId="0" borderId="0" xfId="0" applyNumberFormat="1" applyFont="1" applyAlignment="1">
      <alignment horizontal="justify" vertical="center" wrapText="1"/>
    </xf>
    <xf numFmtId="0" fontId="3" fillId="0" borderId="6" xfId="0" applyNumberFormat="1" applyFont="1" applyBorder="1" applyAlignment="1">
      <alignment horizontal="justify" vertical="center" wrapText="1"/>
    </xf>
    <xf numFmtId="170" fontId="2" fillId="2" borderId="13" xfId="0" applyFont="1" applyFill="1" applyBorder="1"/>
    <xf numFmtId="170" fontId="2" fillId="2" borderId="0" xfId="0" applyFont="1" applyFill="1" applyAlignment="1">
      <alignment horizontal="left" vertical="center" wrapText="1"/>
    </xf>
    <xf numFmtId="170" fontId="3" fillId="0" borderId="3" xfId="0" applyFont="1" applyBorder="1" applyAlignment="1">
      <alignment horizontal="center"/>
    </xf>
    <xf numFmtId="171" fontId="3" fillId="0" borderId="3" xfId="0" applyNumberFormat="1" applyFont="1" applyBorder="1" applyAlignment="1">
      <alignment horizontal="center"/>
    </xf>
    <xf numFmtId="17" fontId="3" fillId="0" borderId="3" xfId="0" applyNumberFormat="1" applyFont="1" applyBorder="1" applyAlignment="1">
      <alignment horizontal="center"/>
    </xf>
    <xf numFmtId="3" fontId="3" fillId="3" borderId="3" xfId="0" applyNumberFormat="1" applyFont="1" applyFill="1" applyBorder="1" applyAlignment="1">
      <alignment horizontal="center" wrapText="1"/>
    </xf>
    <xf numFmtId="4" fontId="2" fillId="0" borderId="13" xfId="0" applyNumberFormat="1" applyFont="1" applyBorder="1" applyAlignment="1">
      <alignment horizontal="center" vertical="center"/>
    </xf>
    <xf numFmtId="167" fontId="3" fillId="0" borderId="0" xfId="0" applyNumberFormat="1" applyFont="1" applyFill="1" applyBorder="1" applyAlignment="1">
      <alignment horizontal="center"/>
    </xf>
    <xf numFmtId="170" fontId="2" fillId="2" borderId="0" xfId="0" applyFont="1" applyFill="1" applyAlignment="1">
      <alignment horizontal="center"/>
    </xf>
    <xf numFmtId="43" fontId="2" fillId="0" borderId="13" xfId="0" applyNumberFormat="1" applyFont="1" applyBorder="1" applyAlignment="1">
      <alignment horizontal="center" vertical="center"/>
    </xf>
    <xf numFmtId="172" fontId="4" fillId="4" borderId="13" xfId="5" applyNumberFormat="1" applyFont="1" applyFill="1" applyBorder="1" applyAlignment="1">
      <alignment horizontal="center" vertical="center" wrapText="1"/>
    </xf>
    <xf numFmtId="170" fontId="13" fillId="0" borderId="13" xfId="0" applyFont="1" applyBorder="1" applyAlignment="1">
      <alignment horizontal="justify" vertical="center" wrapText="1"/>
    </xf>
    <xf numFmtId="0" fontId="4" fillId="4" borderId="7" xfId="0" applyNumberFormat="1" applyFont="1" applyFill="1" applyBorder="1" applyAlignment="1">
      <alignment horizontal="center" vertical="center" wrapText="1"/>
    </xf>
    <xf numFmtId="0" fontId="14" fillId="17" borderId="13" xfId="0" applyNumberFormat="1" applyFont="1" applyFill="1" applyBorder="1" applyAlignment="1">
      <alignment horizontal="left" vertical="center"/>
    </xf>
    <xf numFmtId="170" fontId="14" fillId="17" borderId="13" xfId="0" applyFont="1" applyFill="1" applyBorder="1" applyAlignment="1">
      <alignment horizontal="justify" vertical="center" wrapText="1"/>
    </xf>
    <xf numFmtId="0" fontId="3" fillId="6" borderId="13" xfId="0" applyNumberFormat="1" applyFont="1" applyFill="1" applyBorder="1" applyAlignment="1">
      <alignment vertical="center"/>
    </xf>
    <xf numFmtId="0" fontId="3" fillId="17" borderId="13" xfId="0" applyNumberFormat="1" applyFont="1" applyFill="1" applyBorder="1" applyAlignment="1">
      <alignment horizontal="left" vertical="center"/>
    </xf>
    <xf numFmtId="0" fontId="14" fillId="17" borderId="13" xfId="0" applyNumberFormat="1" applyFont="1" applyFill="1" applyBorder="1" applyAlignment="1">
      <alignment horizontal="center" vertical="center" wrapText="1"/>
    </xf>
    <xf numFmtId="0" fontId="3" fillId="6" borderId="13" xfId="0" applyNumberFormat="1" applyFont="1" applyFill="1" applyBorder="1" applyAlignment="1">
      <alignment horizontal="left" vertical="center"/>
    </xf>
    <xf numFmtId="0" fontId="3" fillId="17" borderId="13" xfId="0" applyNumberFormat="1" applyFont="1" applyFill="1" applyBorder="1" applyAlignment="1">
      <alignment horizontal="center" vertical="center" wrapText="1"/>
    </xf>
    <xf numFmtId="0" fontId="14" fillId="17" borderId="13" xfId="0" applyNumberFormat="1" applyFont="1" applyFill="1" applyBorder="1" applyAlignment="1">
      <alignment vertical="center"/>
    </xf>
    <xf numFmtId="177" fontId="14" fillId="17" borderId="13" xfId="0" applyNumberFormat="1" applyFont="1" applyFill="1" applyBorder="1" applyAlignment="1">
      <alignment vertical="center"/>
    </xf>
    <xf numFmtId="170" fontId="14" fillId="0" borderId="13" xfId="0" applyFont="1" applyFill="1" applyBorder="1" applyAlignment="1">
      <alignment horizontal="justify" vertical="center" wrapText="1"/>
    </xf>
    <xf numFmtId="170" fontId="14" fillId="17" borderId="13" xfId="0" applyNumberFormat="1" applyFont="1" applyFill="1" applyBorder="1" applyAlignment="1">
      <alignment vertical="center"/>
    </xf>
    <xf numFmtId="0" fontId="14" fillId="17" borderId="15" xfId="0" applyNumberFormat="1" applyFont="1" applyFill="1" applyBorder="1" applyAlignment="1">
      <alignment vertical="center"/>
    </xf>
    <xf numFmtId="0" fontId="14" fillId="17" borderId="16" xfId="0" applyNumberFormat="1" applyFont="1" applyFill="1" applyBorder="1" applyAlignment="1">
      <alignment vertical="center"/>
    </xf>
    <xf numFmtId="0" fontId="14" fillId="17" borderId="15" xfId="0" applyNumberFormat="1" applyFont="1" applyFill="1" applyBorder="1" applyAlignment="1">
      <alignment horizontal="center" vertical="center" wrapText="1"/>
    </xf>
    <xf numFmtId="0" fontId="14" fillId="0" borderId="13" xfId="0" applyNumberFormat="1" applyFont="1" applyFill="1" applyBorder="1" applyAlignment="1">
      <alignment horizontal="justify" vertical="center" wrapText="1"/>
    </xf>
    <xf numFmtId="0" fontId="14" fillId="0" borderId="13" xfId="0" applyNumberFormat="1" applyFont="1" applyFill="1" applyBorder="1" applyAlignment="1">
      <alignment horizontal="justify" vertical="center"/>
    </xf>
    <xf numFmtId="0" fontId="14" fillId="17" borderId="16" xfId="0" applyNumberFormat="1" applyFont="1" applyFill="1" applyBorder="1" applyAlignment="1">
      <alignment horizontal="center" vertical="center" wrapText="1"/>
    </xf>
    <xf numFmtId="0" fontId="14" fillId="17" borderId="25" xfId="0" applyNumberFormat="1" applyFont="1" applyFill="1" applyBorder="1" applyAlignment="1">
      <alignment horizontal="center" vertical="center" wrapText="1"/>
    </xf>
    <xf numFmtId="170" fontId="14" fillId="0" borderId="13" xfId="0" applyFont="1" applyFill="1" applyBorder="1" applyAlignment="1">
      <alignment horizontal="justify" vertical="center"/>
    </xf>
    <xf numFmtId="0" fontId="14" fillId="0" borderId="13" xfId="7" applyFont="1" applyFill="1" applyBorder="1" applyAlignment="1">
      <alignment horizontal="justify" vertical="center" wrapText="1"/>
    </xf>
    <xf numFmtId="0" fontId="14" fillId="6" borderId="13" xfId="0" applyNumberFormat="1" applyFont="1" applyFill="1" applyBorder="1" applyAlignment="1">
      <alignment horizontal="justify" vertical="center"/>
    </xf>
    <xf numFmtId="0" fontId="14" fillId="17" borderId="13" xfId="0" applyNumberFormat="1" applyFont="1" applyFill="1" applyBorder="1" applyAlignment="1">
      <alignment horizontal="justify" vertical="center"/>
    </xf>
    <xf numFmtId="170" fontId="16" fillId="5" borderId="13" xfId="0" applyFont="1" applyFill="1" applyBorder="1" applyAlignment="1">
      <alignment horizontal="justify" vertical="center"/>
    </xf>
    <xf numFmtId="170" fontId="2" fillId="2" borderId="0" xfId="0" applyFont="1" applyFill="1" applyAlignment="1">
      <alignment horizontal="justify" vertical="center"/>
    </xf>
    <xf numFmtId="170" fontId="16" fillId="5" borderId="19" xfId="0" applyFont="1" applyFill="1" applyBorder="1" applyAlignment="1">
      <alignment horizontal="justify" vertical="center"/>
    </xf>
    <xf numFmtId="170" fontId="13" fillId="0" borderId="0" xfId="0" applyFont="1" applyBorder="1" applyAlignment="1">
      <alignment horizontal="justify"/>
    </xf>
    <xf numFmtId="170" fontId="14" fillId="17" borderId="13" xfId="0" applyNumberFormat="1" applyFont="1" applyFill="1" applyBorder="1" applyAlignment="1">
      <alignment horizontal="left" vertical="center"/>
    </xf>
    <xf numFmtId="170" fontId="14" fillId="17" borderId="16" xfId="0" applyNumberFormat="1" applyFont="1" applyFill="1" applyBorder="1" applyAlignment="1">
      <alignment vertical="center"/>
    </xf>
    <xf numFmtId="170" fontId="14" fillId="17" borderId="13" xfId="0" applyFont="1" applyFill="1" applyBorder="1" applyAlignment="1">
      <alignment horizontal="left" vertical="center"/>
    </xf>
    <xf numFmtId="0" fontId="14" fillId="17" borderId="29" xfId="0" applyNumberFormat="1" applyFont="1" applyFill="1" applyBorder="1" applyAlignment="1">
      <alignment horizontal="center" vertical="center" wrapText="1"/>
    </xf>
    <xf numFmtId="0" fontId="14" fillId="17" borderId="18" xfId="0" applyNumberFormat="1" applyFont="1" applyFill="1" applyBorder="1" applyAlignment="1">
      <alignment horizontal="left" vertical="center" wrapText="1"/>
    </xf>
    <xf numFmtId="170" fontId="14" fillId="18" borderId="13" xfId="0" applyFont="1" applyFill="1" applyBorder="1" applyAlignment="1">
      <alignment horizontal="left" vertical="center"/>
    </xf>
    <xf numFmtId="172" fontId="15" fillId="4" borderId="30" xfId="5" applyNumberFormat="1" applyFont="1" applyFill="1" applyBorder="1" applyAlignment="1">
      <alignment horizontal="center" vertical="center" wrapText="1"/>
    </xf>
    <xf numFmtId="0" fontId="2" fillId="2" borderId="13" xfId="0" applyNumberFormat="1" applyFont="1" applyFill="1" applyBorder="1" applyAlignment="1">
      <alignment horizontal="justify" vertical="center" wrapText="1"/>
    </xf>
    <xf numFmtId="170" fontId="2" fillId="0" borderId="13" xfId="0" applyFont="1" applyBorder="1" applyAlignment="1">
      <alignment horizontal="justify" vertical="center" wrapText="1"/>
    </xf>
    <xf numFmtId="170" fontId="3" fillId="7" borderId="15" xfId="0" applyFont="1" applyFill="1" applyBorder="1" applyAlignment="1">
      <alignment vertical="center"/>
    </xf>
    <xf numFmtId="0" fontId="3" fillId="2" borderId="0" xfId="0" applyNumberFormat="1" applyFont="1" applyFill="1" applyBorder="1" applyAlignment="1">
      <alignment horizontal="center" vertical="center"/>
    </xf>
    <xf numFmtId="0" fontId="2" fillId="0" borderId="13" xfId="0" applyNumberFormat="1" applyFont="1" applyFill="1" applyBorder="1" applyAlignment="1">
      <alignment horizontal="center" vertical="center" wrapText="1"/>
    </xf>
    <xf numFmtId="170" fontId="2" fillId="0" borderId="13" xfId="0" applyFont="1" applyFill="1" applyBorder="1" applyAlignment="1">
      <alignment horizontal="justify" vertical="center" wrapText="1"/>
    </xf>
    <xf numFmtId="0" fontId="2" fillId="0" borderId="13" xfId="0" applyNumberFormat="1" applyFont="1" applyFill="1" applyBorder="1" applyAlignment="1">
      <alignment horizontal="justify" vertical="center" wrapText="1"/>
    </xf>
    <xf numFmtId="0" fontId="2" fillId="0" borderId="13" xfId="6" applyNumberFormat="1" applyFont="1" applyFill="1" applyBorder="1" applyAlignment="1">
      <alignment horizontal="justify" vertical="center" wrapText="1"/>
    </xf>
    <xf numFmtId="0" fontId="3" fillId="0" borderId="13" xfId="0" applyNumberFormat="1" applyFont="1" applyFill="1" applyBorder="1" applyAlignment="1">
      <alignment horizontal="left" vertical="center" wrapText="1"/>
    </xf>
    <xf numFmtId="0" fontId="2" fillId="0" borderId="13" xfId="0" applyNumberFormat="1" applyFont="1" applyBorder="1" applyAlignment="1">
      <alignment horizontal="justify" vertical="center" wrapText="1"/>
    </xf>
    <xf numFmtId="0" fontId="2" fillId="2" borderId="13" xfId="0" applyNumberFormat="1" applyFont="1" applyFill="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3" xfId="6" applyNumberFormat="1" applyFont="1" applyFill="1" applyBorder="1" applyAlignment="1">
      <alignment horizontal="center" vertical="center" wrapText="1"/>
    </xf>
    <xf numFmtId="0" fontId="2" fillId="0" borderId="13" xfId="8" applyNumberFormat="1" applyFont="1" applyFill="1" applyBorder="1" applyAlignment="1">
      <alignment horizontal="center" vertical="center" wrapText="1"/>
    </xf>
    <xf numFmtId="0" fontId="3" fillId="0" borderId="13" xfId="0" applyNumberFormat="1" applyFont="1" applyBorder="1" applyAlignment="1">
      <alignment horizontal="center" vertical="center" wrapText="1"/>
    </xf>
    <xf numFmtId="170" fontId="2" fillId="2" borderId="13" xfId="0" applyFont="1" applyFill="1" applyBorder="1" applyAlignment="1">
      <alignment horizontal="justify" vertical="center"/>
    </xf>
    <xf numFmtId="0" fontId="2" fillId="0" borderId="13" xfId="0" applyNumberFormat="1" applyFont="1" applyBorder="1" applyAlignment="1">
      <alignment horizontal="center" vertical="center"/>
    </xf>
    <xf numFmtId="0" fontId="2" fillId="2" borderId="13" xfId="6" applyNumberFormat="1" applyFont="1" applyFill="1" applyBorder="1" applyAlignment="1">
      <alignment horizontal="center" vertical="center" wrapText="1"/>
    </xf>
    <xf numFmtId="0" fontId="3" fillId="0" borderId="13" xfId="0" applyNumberFormat="1" applyFont="1" applyBorder="1" applyAlignment="1">
      <alignment horizontal="left" vertical="center" wrapText="1"/>
    </xf>
    <xf numFmtId="0" fontId="2" fillId="0" borderId="13" xfId="6" applyNumberFormat="1" applyFont="1" applyFill="1" applyBorder="1" applyAlignment="1">
      <alignment horizontal="center" vertical="center"/>
    </xf>
    <xf numFmtId="0" fontId="2" fillId="0" borderId="13" xfId="7" applyFont="1" applyFill="1" applyBorder="1" applyAlignment="1">
      <alignment horizontal="justify" vertical="center" wrapText="1"/>
    </xf>
    <xf numFmtId="170" fontId="2" fillId="2" borderId="13" xfId="0" applyFont="1" applyFill="1" applyBorder="1" applyAlignment="1">
      <alignment vertical="center" wrapText="1"/>
    </xf>
    <xf numFmtId="170" fontId="2" fillId="0" borderId="13" xfId="0" applyFont="1" applyFill="1" applyBorder="1" applyAlignment="1">
      <alignment vertical="center" wrapText="1"/>
    </xf>
    <xf numFmtId="170" fontId="2" fillId="0" borderId="13" xfId="0" applyFont="1" applyBorder="1" applyAlignment="1">
      <alignment horizontal="center" vertical="center" wrapText="1"/>
    </xf>
    <xf numFmtId="0" fontId="2" fillId="0" borderId="13" xfId="0" applyNumberFormat="1" applyFont="1" applyBorder="1" applyAlignment="1">
      <alignment horizontal="left" vertical="center"/>
    </xf>
    <xf numFmtId="170" fontId="2" fillId="0" borderId="13" xfId="0" applyFont="1" applyBorder="1" applyAlignment="1">
      <alignment horizontal="justify" vertical="center"/>
    </xf>
    <xf numFmtId="0" fontId="2" fillId="0" borderId="13" xfId="0" applyNumberFormat="1" applyFont="1" applyBorder="1" applyAlignment="1">
      <alignment horizontal="justify" vertical="center"/>
    </xf>
    <xf numFmtId="0" fontId="2" fillId="0" borderId="13" xfId="8" applyNumberFormat="1" applyFont="1" applyFill="1" applyBorder="1" applyAlignment="1">
      <alignment horizontal="justify" vertical="center" wrapText="1"/>
    </xf>
    <xf numFmtId="0" fontId="2" fillId="0" borderId="13" xfId="0" applyNumberFormat="1" applyFont="1" applyBorder="1" applyAlignment="1">
      <alignment horizontal="left" vertical="center" wrapText="1"/>
    </xf>
    <xf numFmtId="0" fontId="2" fillId="0" borderId="13" xfId="0" applyNumberFormat="1" applyFont="1" applyBorder="1" applyAlignment="1" applyProtection="1">
      <alignment horizontal="center" vertical="center" wrapText="1"/>
      <protection locked="0"/>
    </xf>
    <xf numFmtId="170" fontId="2" fillId="0" borderId="13" xfId="0" applyFont="1" applyFill="1" applyBorder="1" applyAlignment="1" applyProtection="1">
      <alignment horizontal="justify" vertical="center" wrapText="1"/>
      <protection locked="0"/>
    </xf>
    <xf numFmtId="0" fontId="2" fillId="12" borderId="13" xfId="6" applyNumberFormat="1" applyFont="1" applyFill="1" applyBorder="1" applyAlignment="1">
      <alignment horizontal="center" vertical="center" wrapText="1"/>
    </xf>
    <xf numFmtId="0" fontId="2" fillId="0" borderId="13" xfId="0" applyNumberFormat="1" applyFont="1" applyFill="1" applyBorder="1" applyAlignment="1" applyProtection="1">
      <alignment horizontal="justify" vertical="center" wrapText="1"/>
      <protection locked="0"/>
    </xf>
    <xf numFmtId="0" fontId="2" fillId="0" borderId="13" xfId="7" applyNumberFormat="1" applyFont="1" applyBorder="1" applyAlignment="1">
      <alignment horizontal="center" vertical="center" wrapText="1"/>
    </xf>
    <xf numFmtId="0" fontId="2" fillId="2" borderId="17" xfId="0" applyNumberFormat="1" applyFont="1" applyFill="1" applyBorder="1" applyAlignment="1">
      <alignment horizontal="center" vertical="center" wrapText="1"/>
    </xf>
    <xf numFmtId="0" fontId="2" fillId="2" borderId="13" xfId="8" applyNumberFormat="1" applyFont="1" applyFill="1" applyBorder="1" applyAlignment="1">
      <alignment horizontal="center" vertical="center" wrapText="1"/>
    </xf>
    <xf numFmtId="170" fontId="2" fillId="2" borderId="13" xfId="0" applyFont="1" applyFill="1" applyBorder="1" applyAlignment="1">
      <alignment horizontal="center" vertical="center" wrapText="1"/>
    </xf>
    <xf numFmtId="0" fontId="3" fillId="2" borderId="13" xfId="0" applyNumberFormat="1" applyFont="1" applyFill="1" applyBorder="1" applyAlignment="1">
      <alignment horizontal="left" vertical="center" wrapText="1"/>
    </xf>
    <xf numFmtId="170" fontId="2" fillId="2" borderId="13" xfId="6" applyFont="1" applyFill="1" applyBorder="1" applyAlignment="1">
      <alignment horizontal="justify" vertical="center" wrapText="1"/>
    </xf>
    <xf numFmtId="0" fontId="2" fillId="2" borderId="13" xfId="6" applyNumberFormat="1" applyFont="1" applyFill="1" applyBorder="1" applyAlignment="1">
      <alignment horizontal="justify" vertical="center" wrapText="1"/>
    </xf>
    <xf numFmtId="0" fontId="3" fillId="2" borderId="13" xfId="0" applyNumberFormat="1" applyFont="1" applyFill="1" applyBorder="1" applyAlignment="1">
      <alignment horizontal="center" vertical="center" wrapText="1"/>
    </xf>
    <xf numFmtId="0" fontId="2" fillId="2" borderId="13" xfId="7" applyNumberFormat="1" applyFont="1" applyFill="1" applyBorder="1" applyAlignment="1">
      <alignment horizontal="center" vertical="center" wrapText="1"/>
    </xf>
    <xf numFmtId="0" fontId="2" fillId="2" borderId="16" xfId="0" applyNumberFormat="1" applyFont="1" applyFill="1" applyBorder="1" applyAlignment="1">
      <alignment horizontal="center" vertical="center" wrapText="1"/>
    </xf>
    <xf numFmtId="0" fontId="3" fillId="2" borderId="0" xfId="0" applyNumberFormat="1" applyFont="1" applyFill="1" applyBorder="1" applyAlignment="1">
      <alignment horizontal="center" vertical="center" wrapText="1"/>
    </xf>
    <xf numFmtId="0" fontId="2" fillId="2" borderId="13" xfId="0" applyNumberFormat="1" applyFont="1" applyFill="1" applyBorder="1" applyAlignment="1">
      <alignment horizontal="center" vertical="center"/>
    </xf>
    <xf numFmtId="0" fontId="2" fillId="2" borderId="18" xfId="0" applyNumberFormat="1" applyFont="1" applyFill="1" applyBorder="1" applyAlignment="1">
      <alignment horizontal="center" vertical="center" wrapText="1"/>
    </xf>
    <xf numFmtId="170" fontId="2" fillId="2" borderId="13" xfId="0" applyFont="1" applyFill="1" applyBorder="1" applyAlignment="1">
      <alignment horizontal="center" vertical="center"/>
    </xf>
    <xf numFmtId="0" fontId="2" fillId="2" borderId="19" xfId="0" applyNumberFormat="1" applyFont="1" applyFill="1" applyBorder="1" applyAlignment="1">
      <alignment horizontal="justify" vertical="center" wrapText="1"/>
    </xf>
    <xf numFmtId="170" fontId="2" fillId="0" borderId="15" xfId="0" applyFont="1" applyBorder="1" applyAlignment="1">
      <alignment horizontal="center" vertical="center" wrapText="1"/>
    </xf>
    <xf numFmtId="0" fontId="2" fillId="0" borderId="19" xfId="6" applyNumberFormat="1" applyFont="1" applyFill="1" applyBorder="1" applyAlignment="1">
      <alignment horizontal="center" vertical="center" wrapText="1"/>
    </xf>
    <xf numFmtId="0" fontId="2" fillId="2" borderId="13" xfId="0" applyNumberFormat="1" applyFont="1" applyFill="1" applyBorder="1" applyAlignment="1" applyProtection="1">
      <alignment horizontal="center" vertical="center" wrapText="1"/>
      <protection locked="0"/>
    </xf>
    <xf numFmtId="170" fontId="2" fillId="2" borderId="13" xfId="0" applyFont="1" applyFill="1" applyBorder="1" applyAlignment="1" applyProtection="1">
      <alignment horizontal="justify" vertical="center" wrapText="1"/>
      <protection locked="0"/>
    </xf>
    <xf numFmtId="170" fontId="2" fillId="0" borderId="13" xfId="0" applyFont="1" applyBorder="1" applyAlignment="1">
      <alignment horizontal="left" vertical="center" wrapText="1"/>
    </xf>
    <xf numFmtId="170" fontId="3" fillId="7" borderId="31" xfId="0" applyFont="1" applyFill="1" applyBorder="1" applyAlignment="1">
      <alignment vertical="center"/>
    </xf>
    <xf numFmtId="0" fontId="14" fillId="0" borderId="17" xfId="0" applyNumberFormat="1" applyFont="1" applyFill="1" applyBorder="1" applyAlignment="1">
      <alignment horizontal="center" vertical="center" wrapText="1"/>
    </xf>
    <xf numFmtId="170" fontId="14" fillId="2" borderId="3" xfId="0" applyNumberFormat="1" applyFont="1" applyFill="1" applyBorder="1" applyAlignment="1">
      <alignment vertical="center"/>
    </xf>
    <xf numFmtId="170" fontId="14" fillId="17" borderId="17" xfId="0" applyNumberFormat="1" applyFont="1" applyFill="1" applyBorder="1" applyAlignment="1">
      <alignment vertical="center"/>
    </xf>
    <xf numFmtId="170" fontId="17" fillId="2" borderId="0" xfId="0" applyFont="1" applyFill="1" applyAlignment="1">
      <alignment horizontal="center" vertical="center"/>
    </xf>
    <xf numFmtId="0" fontId="2" fillId="0" borderId="19" xfId="0" applyNumberFormat="1" applyFont="1" applyBorder="1" applyAlignment="1">
      <alignment horizontal="center" vertical="center" wrapText="1"/>
    </xf>
    <xf numFmtId="0" fontId="2" fillId="0" borderId="13" xfId="0" applyNumberFormat="1" applyFont="1" applyBorder="1" applyAlignment="1" applyProtection="1">
      <alignment horizontal="justify" vertical="center" wrapText="1"/>
      <protection locked="0"/>
    </xf>
    <xf numFmtId="0" fontId="2" fillId="0" borderId="13" xfId="7" applyFont="1" applyBorder="1" applyAlignment="1">
      <alignment horizontal="justify" vertical="center" wrapText="1"/>
    </xf>
    <xf numFmtId="170" fontId="13" fillId="0" borderId="17" xfId="0" applyFont="1" applyBorder="1"/>
    <xf numFmtId="0" fontId="14" fillId="17" borderId="17" xfId="0" applyNumberFormat="1" applyFont="1" applyFill="1" applyBorder="1" applyAlignment="1">
      <alignment horizontal="center" vertical="center" wrapText="1"/>
    </xf>
    <xf numFmtId="0" fontId="14" fillId="17" borderId="17" xfId="0" applyNumberFormat="1" applyFont="1" applyFill="1" applyBorder="1" applyAlignment="1">
      <alignment horizontal="left" vertical="center"/>
    </xf>
    <xf numFmtId="0" fontId="14" fillId="17" borderId="17" xfId="0" applyNumberFormat="1" applyFont="1" applyFill="1" applyBorder="1" applyAlignment="1">
      <alignment vertical="center"/>
    </xf>
    <xf numFmtId="177" fontId="14" fillId="17" borderId="17" xfId="0" applyNumberFormat="1" applyFont="1" applyFill="1" applyBorder="1" applyAlignment="1">
      <alignment vertical="center"/>
    </xf>
    <xf numFmtId="170" fontId="13" fillId="0" borderId="3" xfId="0" applyFont="1" applyBorder="1"/>
    <xf numFmtId="0" fontId="14" fillId="0" borderId="3" xfId="0" applyNumberFormat="1" applyFont="1" applyFill="1" applyBorder="1" applyAlignment="1">
      <alignment horizontal="center" vertical="center" wrapText="1"/>
    </xf>
    <xf numFmtId="0" fontId="14" fillId="2" borderId="3" xfId="0" applyNumberFormat="1" applyFont="1" applyFill="1" applyBorder="1" applyAlignment="1">
      <alignment horizontal="center" vertical="center" wrapText="1"/>
    </xf>
    <xf numFmtId="170" fontId="14" fillId="0" borderId="3" xfId="0" applyFont="1" applyFill="1" applyBorder="1" applyAlignment="1">
      <alignment horizontal="justify" vertical="center" wrapText="1"/>
    </xf>
    <xf numFmtId="170" fontId="14" fillId="0" borderId="3" xfId="0" applyFont="1" applyFill="1" applyBorder="1" applyAlignment="1">
      <alignment horizontal="left" vertical="center"/>
    </xf>
    <xf numFmtId="177" fontId="14" fillId="2" borderId="3" xfId="0" applyNumberFormat="1" applyFont="1" applyFill="1" applyBorder="1" applyAlignment="1">
      <alignment vertical="center"/>
    </xf>
    <xf numFmtId="0" fontId="14" fillId="2" borderId="3" xfId="0" applyNumberFormat="1" applyFont="1" applyFill="1" applyBorder="1" applyAlignment="1">
      <alignment vertical="center"/>
    </xf>
    <xf numFmtId="0" fontId="14" fillId="0" borderId="3" xfId="0" applyNumberFormat="1" applyFont="1" applyFill="1" applyBorder="1" applyAlignment="1">
      <alignment horizontal="justify" vertical="center" wrapText="1"/>
    </xf>
    <xf numFmtId="0" fontId="2" fillId="2" borderId="13" xfId="0" applyNumberFormat="1" applyFont="1" applyFill="1" applyBorder="1" applyAlignment="1" applyProtection="1">
      <alignment horizontal="justify" vertical="center" wrapText="1"/>
      <protection locked="0"/>
    </xf>
    <xf numFmtId="0" fontId="2" fillId="2" borderId="13" xfId="7" applyFont="1" applyFill="1" applyBorder="1" applyAlignment="1">
      <alignment horizontal="center" vertical="center" wrapText="1"/>
    </xf>
    <xf numFmtId="172" fontId="2" fillId="0" borderId="13" xfId="0" applyNumberFormat="1" applyFont="1" applyFill="1" applyBorder="1" applyAlignment="1">
      <alignment horizontal="justify" vertical="center" wrapText="1"/>
    </xf>
    <xf numFmtId="43" fontId="2" fillId="0" borderId="15" xfId="0" applyNumberFormat="1" applyFont="1" applyBorder="1" applyAlignment="1">
      <alignment horizontal="center" vertical="center"/>
    </xf>
    <xf numFmtId="43" fontId="2" fillId="2" borderId="13" xfId="5" applyFont="1" applyFill="1" applyBorder="1" applyAlignment="1">
      <alignment horizontal="justify" vertical="center"/>
    </xf>
    <xf numFmtId="170" fontId="2" fillId="0" borderId="19" xfId="0" applyFont="1" applyFill="1" applyBorder="1" applyAlignment="1">
      <alignment horizontal="center" vertical="center" wrapText="1"/>
    </xf>
    <xf numFmtId="170" fontId="2" fillId="0" borderId="13" xfId="0" applyFont="1" applyFill="1" applyBorder="1" applyAlignment="1">
      <alignment horizontal="center" vertical="center" wrapText="1"/>
    </xf>
    <xf numFmtId="170" fontId="2" fillId="2" borderId="13" xfId="0" applyFont="1" applyFill="1" applyBorder="1" applyAlignment="1">
      <alignment horizontal="justify" vertical="center" wrapText="1"/>
    </xf>
    <xf numFmtId="170" fontId="2" fillId="12" borderId="13" xfId="0" applyFont="1" applyFill="1" applyBorder="1" applyAlignment="1">
      <alignment horizontal="center" vertical="center" wrapText="1"/>
    </xf>
    <xf numFmtId="0" fontId="2" fillId="0" borderId="19" xfId="0" applyNumberFormat="1" applyFont="1" applyBorder="1" applyAlignment="1">
      <alignment horizontal="justify" vertical="center" wrapText="1"/>
    </xf>
    <xf numFmtId="170" fontId="3" fillId="0" borderId="0" xfId="0" applyFont="1" applyAlignment="1">
      <alignment horizontal="center" vertical="center" wrapText="1"/>
    </xf>
    <xf numFmtId="170" fontId="3" fillId="0" borderId="0" xfId="0" applyFont="1" applyBorder="1" applyAlignment="1">
      <alignment horizontal="center" vertical="center" wrapText="1"/>
    </xf>
    <xf numFmtId="43" fontId="2" fillId="0" borderId="3" xfId="0" applyNumberFormat="1" applyFont="1" applyBorder="1" applyAlignment="1">
      <alignment horizontal="center" vertical="center"/>
    </xf>
    <xf numFmtId="170" fontId="4" fillId="4" borderId="3" xfId="0" applyFont="1" applyFill="1" applyBorder="1" applyAlignment="1">
      <alignment horizontal="center" vertical="center" wrapText="1"/>
    </xf>
    <xf numFmtId="0" fontId="4" fillId="4" borderId="3" xfId="0" applyNumberFormat="1" applyFont="1" applyFill="1" applyBorder="1" applyAlignment="1">
      <alignment horizontal="center" vertical="center" wrapText="1"/>
    </xf>
    <xf numFmtId="0" fontId="4" fillId="4" borderId="3" xfId="0" applyNumberFormat="1" applyFont="1" applyFill="1" applyBorder="1" applyAlignment="1">
      <alignment horizontal="center" vertical="center"/>
    </xf>
    <xf numFmtId="172" fontId="4" fillId="4" borderId="3" xfId="5" applyNumberFormat="1" applyFont="1" applyFill="1" applyBorder="1" applyAlignment="1">
      <alignment horizontal="center" vertical="center" wrapText="1"/>
    </xf>
    <xf numFmtId="170" fontId="2" fillId="0" borderId="2" xfId="0" applyFont="1" applyBorder="1" applyAlignment="1">
      <alignment vertical="center"/>
    </xf>
    <xf numFmtId="170" fontId="2" fillId="0" borderId="2" xfId="0" applyFont="1" applyBorder="1" applyAlignment="1">
      <alignment horizontal="center" vertical="center"/>
    </xf>
    <xf numFmtId="170" fontId="3" fillId="0" borderId="13" xfId="0" applyFont="1" applyBorder="1" applyAlignment="1">
      <alignment vertical="center"/>
    </xf>
    <xf numFmtId="0" fontId="3" fillId="6" borderId="13"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xf>
    <xf numFmtId="0" fontId="3" fillId="6" borderId="13" xfId="0" applyNumberFormat="1" applyFont="1" applyFill="1" applyBorder="1" applyAlignment="1">
      <alignment horizontal="justify" vertical="center" wrapText="1"/>
    </xf>
    <xf numFmtId="170" fontId="3" fillId="6" borderId="13" xfId="0" applyFont="1" applyFill="1" applyBorder="1" applyAlignment="1">
      <alignment horizontal="justify" vertical="center" wrapText="1"/>
    </xf>
    <xf numFmtId="170" fontId="2" fillId="6" borderId="13" xfId="0" applyFont="1" applyFill="1" applyBorder="1" applyAlignment="1">
      <alignment vertical="center"/>
    </xf>
    <xf numFmtId="170" fontId="3" fillId="6" borderId="13" xfId="0" applyFont="1" applyFill="1" applyBorder="1" applyAlignment="1">
      <alignment horizontal="center" vertical="center"/>
    </xf>
    <xf numFmtId="43" fontId="3" fillId="6" borderId="13" xfId="0" applyNumberFormat="1" applyFont="1" applyFill="1" applyBorder="1" applyAlignment="1">
      <alignment vertical="center"/>
    </xf>
    <xf numFmtId="0" fontId="3" fillId="17" borderId="15" xfId="0" applyNumberFormat="1" applyFont="1" applyFill="1" applyBorder="1" applyAlignment="1">
      <alignment horizontal="left" vertical="center"/>
    </xf>
    <xf numFmtId="0" fontId="3" fillId="17" borderId="18" xfId="0" applyNumberFormat="1" applyFont="1" applyFill="1" applyBorder="1" applyAlignment="1">
      <alignment horizontal="left" vertical="center"/>
    </xf>
    <xf numFmtId="0" fontId="2" fillId="17" borderId="18" xfId="0" applyNumberFormat="1" applyFont="1" applyFill="1" applyBorder="1" applyAlignment="1">
      <alignment horizontal="center" vertical="center"/>
    </xf>
    <xf numFmtId="0" fontId="3" fillId="17" borderId="18" xfId="0" applyNumberFormat="1" applyFont="1" applyFill="1" applyBorder="1" applyAlignment="1">
      <alignment horizontal="justify" vertical="center" wrapText="1"/>
    </xf>
    <xf numFmtId="0" fontId="3" fillId="17" borderId="18" xfId="0" applyNumberFormat="1" applyFont="1" applyFill="1" applyBorder="1" applyAlignment="1">
      <alignment horizontal="center" vertical="center" wrapText="1"/>
    </xf>
    <xf numFmtId="170" fontId="3" fillId="17" borderId="18" xfId="0" applyFont="1" applyFill="1" applyBorder="1" applyAlignment="1">
      <alignment horizontal="justify" vertical="center" wrapText="1"/>
    </xf>
    <xf numFmtId="170" fontId="2" fillId="17" borderId="18" xfId="0" applyFont="1" applyFill="1" applyBorder="1" applyAlignment="1">
      <alignment vertical="center"/>
    </xf>
    <xf numFmtId="170" fontId="3" fillId="17" borderId="18" xfId="0" applyFont="1" applyFill="1" applyBorder="1" applyAlignment="1">
      <alignment horizontal="center" vertical="center"/>
    </xf>
    <xf numFmtId="170" fontId="3" fillId="17" borderId="13" xfId="0" applyFont="1" applyFill="1" applyBorder="1" applyAlignment="1">
      <alignment horizontal="justify" vertical="center" wrapText="1"/>
    </xf>
    <xf numFmtId="43" fontId="3" fillId="17" borderId="13" xfId="0" applyNumberFormat="1" applyFont="1" applyFill="1" applyBorder="1" applyAlignment="1">
      <alignment vertical="center"/>
    </xf>
    <xf numFmtId="170" fontId="2" fillId="0" borderId="13" xfId="0" applyFont="1" applyBorder="1"/>
    <xf numFmtId="0" fontId="3" fillId="7" borderId="13" xfId="0" applyNumberFormat="1" applyFont="1" applyFill="1" applyBorder="1" applyAlignment="1">
      <alignment horizontal="center" vertical="center"/>
    </xf>
    <xf numFmtId="170" fontId="3" fillId="7" borderId="13" xfId="0" applyFont="1" applyFill="1" applyBorder="1" applyAlignment="1">
      <alignment horizontal="justify" vertical="center" wrapText="1"/>
    </xf>
    <xf numFmtId="43" fontId="3" fillId="7" borderId="13" xfId="0" applyNumberFormat="1" applyFont="1" applyFill="1" applyBorder="1" applyAlignment="1">
      <alignment vertical="center"/>
    </xf>
    <xf numFmtId="0" fontId="2" fillId="0" borderId="13" xfId="6" applyNumberFormat="1" applyFont="1" applyFill="1" applyBorder="1">
      <alignment horizontal="center" vertical="center" wrapText="1"/>
    </xf>
    <xf numFmtId="170" fontId="2" fillId="14" borderId="13" xfId="0" applyFont="1" applyFill="1" applyBorder="1" applyAlignment="1">
      <alignment horizontal="center" vertical="center" wrapText="1"/>
    </xf>
    <xf numFmtId="43" fontId="2" fillId="0" borderId="13" xfId="5" applyFont="1" applyFill="1" applyBorder="1" applyAlignment="1">
      <alignment horizontal="justify" vertical="center"/>
    </xf>
    <xf numFmtId="170" fontId="2" fillId="0" borderId="13" xfId="3" applyNumberFormat="1" applyFont="1" applyFill="1" applyBorder="1" applyAlignment="1">
      <alignment horizontal="center" vertical="center"/>
    </xf>
    <xf numFmtId="43" fontId="2" fillId="0" borderId="13" xfId="0" applyNumberFormat="1" applyFont="1" applyBorder="1" applyAlignment="1">
      <alignment vertical="center"/>
    </xf>
    <xf numFmtId="170" fontId="2" fillId="0" borderId="13" xfId="3" applyNumberFormat="1" applyFont="1" applyFill="1" applyBorder="1" applyAlignment="1">
      <alignment vertical="center"/>
    </xf>
    <xf numFmtId="0" fontId="2" fillId="7" borderId="13" xfId="0" applyNumberFormat="1" applyFont="1" applyFill="1" applyBorder="1" applyAlignment="1">
      <alignment horizontal="center" vertical="center"/>
    </xf>
    <xf numFmtId="0" fontId="3" fillId="7" borderId="13" xfId="0" applyNumberFormat="1" applyFont="1" applyFill="1" applyBorder="1" applyAlignment="1">
      <alignment horizontal="justify" vertical="center" wrapText="1"/>
    </xf>
    <xf numFmtId="0" fontId="3" fillId="7" borderId="13" xfId="0" applyNumberFormat="1" applyFont="1" applyFill="1" applyBorder="1" applyAlignment="1">
      <alignment horizontal="center" vertical="center" wrapText="1"/>
    </xf>
    <xf numFmtId="170" fontId="2" fillId="7" borderId="13" xfId="0" applyFont="1" applyFill="1" applyBorder="1" applyAlignment="1">
      <alignment vertical="center"/>
    </xf>
    <xf numFmtId="170" fontId="3" fillId="7" borderId="13" xfId="0" applyFont="1" applyFill="1" applyBorder="1" applyAlignment="1">
      <alignment horizontal="center" vertical="center"/>
    </xf>
    <xf numFmtId="43" fontId="3" fillId="7" borderId="13" xfId="0" applyNumberFormat="1" applyFont="1" applyFill="1" applyBorder="1" applyAlignment="1">
      <alignment horizontal="center" vertical="center"/>
    </xf>
    <xf numFmtId="0" fontId="2" fillId="0" borderId="13" xfId="7" applyFont="1" applyBorder="1" applyAlignment="1">
      <alignment horizontal="justify" vertical="center"/>
    </xf>
    <xf numFmtId="170" fontId="2" fillId="0" borderId="13" xfId="3" applyNumberFormat="1" applyFont="1" applyFill="1" applyBorder="1" applyAlignment="1">
      <alignment horizontal="right" vertical="center"/>
    </xf>
    <xf numFmtId="170" fontId="2" fillId="0" borderId="18" xfId="0" applyFont="1" applyBorder="1"/>
    <xf numFmtId="0" fontId="3" fillId="0" borderId="18" xfId="0" applyNumberFormat="1" applyFont="1" applyBorder="1" applyAlignment="1">
      <alignment horizontal="left" vertical="center" wrapText="1"/>
    </xf>
    <xf numFmtId="0" fontId="3" fillId="0" borderId="18" xfId="0" applyNumberFormat="1" applyFont="1" applyBorder="1" applyAlignment="1">
      <alignment horizontal="center" vertical="center" wrapText="1"/>
    </xf>
    <xf numFmtId="170" fontId="2" fillId="0" borderId="18" xfId="0" applyFont="1" applyBorder="1" applyAlignment="1">
      <alignment horizontal="justify" vertical="center" wrapText="1"/>
    </xf>
    <xf numFmtId="0" fontId="2" fillId="0" borderId="18" xfId="0" applyNumberFormat="1" applyFont="1" applyBorder="1" applyAlignment="1">
      <alignment horizontal="justify" vertical="center" wrapText="1"/>
    </xf>
    <xf numFmtId="0" fontId="2" fillId="0" borderId="18" xfId="0" applyNumberFormat="1" applyFont="1" applyBorder="1" applyAlignment="1">
      <alignment horizontal="center" vertical="center" wrapText="1"/>
    </xf>
    <xf numFmtId="170" fontId="2" fillId="0" borderId="18" xfId="0" applyFont="1" applyBorder="1" applyAlignment="1">
      <alignment horizontal="center" vertical="center" wrapText="1"/>
    </xf>
    <xf numFmtId="43" fontId="2" fillId="0" borderId="18" xfId="5" applyFont="1" applyFill="1" applyBorder="1" applyAlignment="1">
      <alignment horizontal="justify" vertical="center"/>
    </xf>
    <xf numFmtId="170" fontId="2" fillId="0" borderId="18" xfId="0" applyFont="1" applyBorder="1" applyAlignment="1">
      <alignment vertical="center"/>
    </xf>
    <xf numFmtId="170" fontId="2" fillId="0" borderId="18" xfId="0" applyFont="1" applyBorder="1" applyAlignment="1">
      <alignment horizontal="center" vertical="center"/>
    </xf>
    <xf numFmtId="43" fontId="3" fillId="6" borderId="13" xfId="8" applyFont="1" applyFill="1" applyBorder="1" applyAlignment="1">
      <alignment horizontal="center" vertical="center"/>
    </xf>
    <xf numFmtId="170" fontId="3" fillId="7" borderId="18" xfId="0" applyFont="1" applyFill="1" applyBorder="1" applyAlignment="1">
      <alignment vertical="justify"/>
    </xf>
    <xf numFmtId="170" fontId="3" fillId="7" borderId="16" xfId="0" applyFont="1" applyFill="1" applyBorder="1" applyAlignment="1">
      <alignment vertical="justify"/>
    </xf>
    <xf numFmtId="43" fontId="3" fillId="7" borderId="13" xfId="8" applyFont="1" applyFill="1" applyBorder="1" applyAlignment="1">
      <alignment horizontal="center" vertical="center"/>
    </xf>
    <xf numFmtId="43" fontId="2" fillId="0" borderId="13" xfId="8" applyFont="1" applyFill="1" applyBorder="1" applyAlignment="1">
      <alignment horizontal="right" vertical="center" wrapText="1"/>
    </xf>
    <xf numFmtId="0" fontId="2" fillId="2" borderId="13" xfId="7" applyNumberFormat="1" applyFont="1" applyFill="1" applyBorder="1" applyAlignment="1">
      <alignment horizontal="justify" vertical="center"/>
    </xf>
    <xf numFmtId="172" fontId="2" fillId="0" borderId="13" xfId="5" applyNumberFormat="1" applyFont="1" applyFill="1" applyBorder="1" applyAlignment="1">
      <alignment horizontal="center" vertical="center" wrapText="1"/>
    </xf>
    <xf numFmtId="43" fontId="2" fillId="2" borderId="13" xfId="8" applyFont="1" applyFill="1" applyBorder="1" applyAlignment="1">
      <alignment horizontal="right" vertical="center" wrapText="1"/>
    </xf>
    <xf numFmtId="43" fontId="2" fillId="2" borderId="13" xfId="8" applyNumberFormat="1" applyFont="1" applyFill="1" applyBorder="1" applyAlignment="1">
      <alignment horizontal="right" vertical="center" wrapText="1"/>
    </xf>
    <xf numFmtId="172" fontId="2" fillId="2" borderId="13" xfId="5" applyNumberFormat="1" applyFont="1" applyFill="1" applyBorder="1" applyAlignment="1">
      <alignment horizontal="center" vertical="center" wrapText="1"/>
    </xf>
    <xf numFmtId="172" fontId="2" fillId="2" borderId="15" xfId="5" applyNumberFormat="1" applyFont="1" applyFill="1" applyBorder="1" applyAlignment="1">
      <alignment horizontal="center" vertical="center" wrapText="1"/>
    </xf>
    <xf numFmtId="0" fontId="2" fillId="0" borderId="18" xfId="0" applyNumberFormat="1" applyFont="1" applyBorder="1" applyAlignment="1">
      <alignment horizontal="left" vertical="center"/>
    </xf>
    <xf numFmtId="0" fontId="2" fillId="0" borderId="18" xfId="0" applyNumberFormat="1" applyFont="1" applyBorder="1" applyAlignment="1">
      <alignment horizontal="center" vertical="center"/>
    </xf>
    <xf numFmtId="170" fontId="2" fillId="0" borderId="18" xfId="0" applyFont="1" applyBorder="1" applyAlignment="1">
      <alignment horizontal="center"/>
    </xf>
    <xf numFmtId="173" fontId="2" fillId="0" borderId="18" xfId="8" applyNumberFormat="1" applyFont="1" applyFill="1" applyBorder="1" applyAlignment="1">
      <alignment horizontal="center"/>
    </xf>
    <xf numFmtId="43" fontId="3" fillId="6" borderId="13" xfId="0" applyNumberFormat="1" applyFont="1" applyFill="1" applyBorder="1" applyAlignment="1">
      <alignment horizontal="center" vertical="center"/>
    </xf>
    <xf numFmtId="43" fontId="3" fillId="17" borderId="13" xfId="0" applyNumberFormat="1" applyFont="1" applyFill="1" applyBorder="1" applyAlignment="1">
      <alignment horizontal="center" vertical="center"/>
    </xf>
    <xf numFmtId="0" fontId="3" fillId="7" borderId="13" xfId="0" applyNumberFormat="1" applyFont="1" applyFill="1" applyBorder="1" applyAlignment="1">
      <alignment vertical="center" wrapText="1"/>
    </xf>
    <xf numFmtId="170" fontId="3" fillId="7" borderId="13" xfId="0" applyFont="1" applyFill="1" applyBorder="1" applyAlignment="1">
      <alignment vertical="center" wrapText="1"/>
    </xf>
    <xf numFmtId="43" fontId="3" fillId="0" borderId="13" xfId="0" applyNumberFormat="1" applyFont="1" applyBorder="1" applyAlignment="1">
      <alignment horizontal="left" vertical="center"/>
    </xf>
    <xf numFmtId="43" fontId="2" fillId="2" borderId="13" xfId="0" applyNumberFormat="1" applyFont="1" applyFill="1" applyBorder="1" applyAlignment="1">
      <alignment horizontal="left" vertical="center"/>
    </xf>
    <xf numFmtId="4" fontId="2" fillId="0" borderId="13" xfId="0" applyNumberFormat="1" applyFont="1" applyBorder="1" applyAlignment="1">
      <alignment horizontal="right" vertical="center" wrapText="1"/>
    </xf>
    <xf numFmtId="170" fontId="2" fillId="0" borderId="18" xfId="0" applyFont="1" applyFill="1" applyBorder="1" applyAlignment="1">
      <alignment horizontal="center"/>
    </xf>
    <xf numFmtId="0" fontId="3" fillId="6" borderId="13" xfId="0" applyNumberFormat="1" applyFont="1" applyFill="1" applyBorder="1" applyAlignment="1">
      <alignment horizontal="left" vertical="center" wrapText="1"/>
    </xf>
    <xf numFmtId="170" fontId="2" fillId="12" borderId="13" xfId="0" applyFont="1" applyFill="1" applyBorder="1" applyAlignment="1">
      <alignment horizontal="justify" vertical="center" wrapText="1"/>
    </xf>
    <xf numFmtId="174" fontId="2" fillId="0" borderId="13" xfId="2" applyNumberFormat="1" applyFont="1" applyFill="1" applyBorder="1" applyAlignment="1">
      <alignment horizontal="right" vertical="center"/>
    </xf>
    <xf numFmtId="43" fontId="2" fillId="0" borderId="13" xfId="5" applyFont="1" applyFill="1" applyBorder="1"/>
    <xf numFmtId="43" fontId="2" fillId="0" borderId="13" xfId="0" applyNumberFormat="1" applyFont="1" applyBorder="1" applyAlignment="1">
      <alignment horizontal="justify" vertical="center"/>
    </xf>
    <xf numFmtId="0" fontId="2" fillId="0" borderId="13" xfId="9" applyFont="1" applyFill="1" applyBorder="1" applyAlignment="1">
      <alignment horizontal="justify" vertical="center" wrapText="1"/>
    </xf>
    <xf numFmtId="174" fontId="2" fillId="2" borderId="13" xfId="2" applyNumberFormat="1" applyFont="1" applyFill="1" applyBorder="1" applyAlignment="1">
      <alignment horizontal="right" vertical="center"/>
    </xf>
    <xf numFmtId="170" fontId="2" fillId="0" borderId="13" xfId="3" applyNumberFormat="1" applyFont="1" applyFill="1" applyBorder="1" applyAlignment="1">
      <alignment horizontal="center" vertical="center" wrapText="1"/>
    </xf>
    <xf numFmtId="167" fontId="2" fillId="2" borderId="13" xfId="0" applyNumberFormat="1" applyFont="1" applyFill="1" applyBorder="1" applyAlignment="1">
      <alignment vertical="center"/>
    </xf>
    <xf numFmtId="0" fontId="3" fillId="6" borderId="15" xfId="0" applyNumberFormat="1" applyFont="1" applyFill="1" applyBorder="1" applyAlignment="1">
      <alignment vertical="center"/>
    </xf>
    <xf numFmtId="0" fontId="2" fillId="6" borderId="18" xfId="0" applyNumberFormat="1" applyFont="1" applyFill="1" applyBorder="1" applyAlignment="1">
      <alignment horizontal="center" vertical="center"/>
    </xf>
    <xf numFmtId="0" fontId="3" fillId="6" borderId="18" xfId="0" applyNumberFormat="1" applyFont="1" applyFill="1" applyBorder="1" applyAlignment="1">
      <alignment horizontal="justify" vertical="center" wrapText="1"/>
    </xf>
    <xf numFmtId="0" fontId="3" fillId="6" borderId="18" xfId="0" applyNumberFormat="1" applyFont="1" applyFill="1" applyBorder="1" applyAlignment="1">
      <alignment horizontal="center" vertical="center" wrapText="1"/>
    </xf>
    <xf numFmtId="170" fontId="3" fillId="6" borderId="18" xfId="0" applyFont="1" applyFill="1" applyBorder="1" applyAlignment="1">
      <alignment horizontal="justify" vertical="center" wrapText="1"/>
    </xf>
    <xf numFmtId="170" fontId="2" fillId="6" borderId="18" xfId="0" applyFont="1" applyFill="1" applyBorder="1" applyAlignment="1">
      <alignment vertical="center"/>
    </xf>
    <xf numFmtId="170" fontId="3" fillId="6" borderId="18" xfId="0" applyFont="1" applyFill="1" applyBorder="1" applyAlignment="1">
      <alignment horizontal="center" vertical="center"/>
    </xf>
    <xf numFmtId="170" fontId="3" fillId="6" borderId="16" xfId="0" applyFont="1" applyFill="1" applyBorder="1" applyAlignment="1">
      <alignment horizontal="justify" vertical="center" wrapText="1"/>
    </xf>
    <xf numFmtId="43" fontId="3" fillId="17" borderId="16" xfId="0" applyNumberFormat="1" applyFont="1" applyFill="1" applyBorder="1" applyAlignment="1">
      <alignment vertical="center"/>
    </xf>
    <xf numFmtId="170" fontId="3" fillId="7" borderId="16" xfId="0" applyFont="1" applyFill="1" applyBorder="1" applyAlignment="1">
      <alignment vertical="center"/>
    </xf>
    <xf numFmtId="0" fontId="2" fillId="7" borderId="26" xfId="0" applyNumberFormat="1" applyFont="1" applyFill="1" applyBorder="1" applyAlignment="1">
      <alignment horizontal="center" vertical="center"/>
    </xf>
    <xf numFmtId="0" fontId="3" fillId="7" borderId="26" xfId="0" applyNumberFormat="1" applyFont="1" applyFill="1" applyBorder="1" applyAlignment="1">
      <alignment horizontal="justify" vertical="center" wrapText="1"/>
    </xf>
    <xf numFmtId="0" fontId="3" fillId="7" borderId="27" xfId="0" applyNumberFormat="1" applyFont="1" applyFill="1" applyBorder="1" applyAlignment="1">
      <alignment horizontal="center" vertical="center" wrapText="1"/>
    </xf>
    <xf numFmtId="170" fontId="3" fillId="7" borderId="27" xfId="0" applyFont="1" applyFill="1" applyBorder="1" applyAlignment="1">
      <alignment horizontal="justify" vertical="center" wrapText="1"/>
    </xf>
    <xf numFmtId="170" fontId="2" fillId="7" borderId="27" xfId="0" applyFont="1" applyFill="1" applyBorder="1" applyAlignment="1">
      <alignment vertical="center"/>
    </xf>
    <xf numFmtId="170" fontId="3" fillId="7" borderId="27" xfId="0" applyFont="1" applyFill="1" applyBorder="1" applyAlignment="1">
      <alignment horizontal="center" vertical="center"/>
    </xf>
    <xf numFmtId="170" fontId="3" fillId="7" borderId="28" xfId="0" applyFont="1" applyFill="1" applyBorder="1" applyAlignment="1">
      <alignment horizontal="justify" vertical="center" wrapText="1"/>
    </xf>
    <xf numFmtId="0" fontId="2" fillId="2" borderId="13" xfId="9" applyFont="1" applyFill="1" applyBorder="1">
      <alignment horizontal="center" vertical="center" wrapText="1"/>
    </xf>
    <xf numFmtId="43" fontId="2" fillId="0" borderId="13" xfId="8" applyFont="1" applyFill="1" applyBorder="1" applyAlignment="1">
      <alignment horizontal="center" vertical="center" wrapText="1"/>
    </xf>
    <xf numFmtId="174" fontId="2" fillId="0" borderId="13" xfId="2" applyNumberFormat="1" applyFont="1" applyFill="1" applyBorder="1" applyAlignment="1">
      <alignment horizontal="right" vertical="center" wrapText="1"/>
    </xf>
    <xf numFmtId="170" fontId="3" fillId="7" borderId="18" xfId="0" applyFont="1" applyFill="1" applyBorder="1" applyAlignment="1">
      <alignment vertical="center"/>
    </xf>
    <xf numFmtId="0" fontId="2" fillId="0" borderId="13" xfId="7" applyFont="1" applyBorder="1" applyAlignment="1">
      <alignment horizontal="center" vertical="center" wrapText="1"/>
    </xf>
    <xf numFmtId="165" fontId="2" fillId="0" borderId="13" xfId="2" applyFont="1" applyFill="1" applyBorder="1" applyAlignment="1">
      <alignment horizontal="right" vertical="center" wrapText="1"/>
    </xf>
    <xf numFmtId="43" fontId="2" fillId="2" borderId="13" xfId="8" applyFont="1" applyFill="1" applyBorder="1" applyAlignment="1">
      <alignment horizontal="center" vertical="center" wrapText="1"/>
    </xf>
    <xf numFmtId="170" fontId="2" fillId="0" borderId="13" xfId="0" applyFont="1" applyBorder="1" applyAlignment="1">
      <alignment vertical="center" wrapText="1"/>
    </xf>
    <xf numFmtId="0" fontId="2" fillId="2" borderId="13" xfId="9" applyFont="1" applyFill="1" applyBorder="1" applyAlignment="1">
      <alignment horizontal="center" vertical="center" wrapText="1"/>
    </xf>
    <xf numFmtId="0" fontId="2" fillId="0" borderId="13" xfId="9" applyNumberFormat="1" applyFont="1" applyFill="1" applyBorder="1" applyAlignment="1">
      <alignment horizontal="center" vertical="center" wrapText="1"/>
    </xf>
    <xf numFmtId="0" fontId="2" fillId="2" borderId="13" xfId="9" applyFont="1" applyFill="1" applyBorder="1" applyAlignment="1">
      <alignment horizontal="justify" vertical="center" wrapText="1"/>
    </xf>
    <xf numFmtId="0" fontId="2" fillId="0" borderId="13" xfId="9" applyFont="1" applyFill="1" applyBorder="1">
      <alignment horizontal="center" vertical="center" wrapText="1"/>
    </xf>
    <xf numFmtId="0" fontId="3" fillId="17" borderId="13" xfId="0" applyNumberFormat="1" applyFont="1" applyFill="1" applyBorder="1" applyAlignment="1">
      <alignment horizontal="left" vertical="center" wrapText="1"/>
    </xf>
    <xf numFmtId="0" fontId="2" fillId="7" borderId="13" xfId="0" applyNumberFormat="1" applyFont="1" applyFill="1" applyBorder="1" applyAlignment="1">
      <alignment horizontal="justify" vertical="justify"/>
    </xf>
    <xf numFmtId="167" fontId="2" fillId="0" borderId="13" xfId="0" applyNumberFormat="1" applyFont="1" applyBorder="1" applyAlignment="1">
      <alignment vertical="center"/>
    </xf>
    <xf numFmtId="165" fontId="2" fillId="0" borderId="13" xfId="2" applyFont="1" applyFill="1" applyBorder="1" applyAlignment="1">
      <alignment vertical="center"/>
    </xf>
    <xf numFmtId="0" fontId="2" fillId="0" borderId="18" xfId="6" applyNumberFormat="1" applyFont="1" applyFill="1" applyBorder="1" applyAlignment="1">
      <alignment horizontal="center" vertical="center" wrapText="1"/>
    </xf>
    <xf numFmtId="170" fontId="2" fillId="6" borderId="13" xfId="0" applyFont="1" applyFill="1" applyBorder="1" applyAlignment="1">
      <alignment horizontal="center" vertical="center"/>
    </xf>
    <xf numFmtId="170" fontId="3" fillId="17" borderId="16" xfId="0" applyFont="1" applyFill="1" applyBorder="1" applyAlignment="1">
      <alignment horizontal="center" vertical="center"/>
    </xf>
    <xf numFmtId="170" fontId="2" fillId="7" borderId="13" xfId="0" applyFont="1" applyFill="1" applyBorder="1" applyAlignment="1">
      <alignment horizontal="center" vertical="center"/>
    </xf>
    <xf numFmtId="167" fontId="3" fillId="7" borderId="13" xfId="1" applyFont="1" applyFill="1" applyBorder="1" applyAlignment="1">
      <alignment horizontal="left" vertical="center"/>
    </xf>
    <xf numFmtId="43" fontId="3" fillId="7" borderId="13" xfId="0" applyNumberFormat="1" applyFont="1" applyFill="1" applyBorder="1" applyAlignment="1">
      <alignment horizontal="left" vertical="center"/>
    </xf>
    <xf numFmtId="43" fontId="2" fillId="0" borderId="13" xfId="8" applyFont="1" applyFill="1" applyBorder="1" applyAlignment="1">
      <alignment horizontal="center" vertical="center"/>
    </xf>
    <xf numFmtId="43" fontId="3" fillId="7" borderId="19" xfId="0" applyNumberFormat="1" applyFont="1" applyFill="1" applyBorder="1" applyAlignment="1">
      <alignment vertical="center"/>
    </xf>
    <xf numFmtId="3" fontId="2" fillId="0" borderId="13" xfId="0" applyNumberFormat="1" applyFont="1" applyBorder="1" applyAlignment="1">
      <alignment horizontal="center" vertical="center" wrapText="1"/>
    </xf>
    <xf numFmtId="43" fontId="2" fillId="0" borderId="13" xfId="5" applyFont="1" applyFill="1" applyBorder="1" applyAlignment="1">
      <alignment vertical="center"/>
    </xf>
    <xf numFmtId="167" fontId="3" fillId="7" borderId="13" xfId="1" applyFont="1" applyFill="1" applyBorder="1" applyAlignment="1">
      <alignment vertical="center"/>
    </xf>
    <xf numFmtId="170" fontId="2" fillId="12" borderId="13" xfId="0" applyFont="1" applyFill="1" applyBorder="1" applyAlignment="1">
      <alignment horizontal="justify" vertical="center"/>
    </xf>
    <xf numFmtId="43" fontId="2" fillId="0" borderId="13" xfId="8" applyFont="1" applyFill="1" applyBorder="1" applyAlignment="1">
      <alignment vertical="center"/>
    </xf>
    <xf numFmtId="43" fontId="3" fillId="7" borderId="13" xfId="0" applyNumberFormat="1" applyFont="1" applyFill="1" applyBorder="1" applyAlignment="1">
      <alignment horizontal="justify" vertical="center" wrapText="1"/>
    </xf>
    <xf numFmtId="43" fontId="3" fillId="7" borderId="13" xfId="0" applyNumberFormat="1" applyFont="1" applyFill="1" applyBorder="1" applyAlignment="1">
      <alignment horizontal="center" vertical="center" wrapText="1"/>
    </xf>
    <xf numFmtId="170" fontId="2" fillId="0" borderId="13" xfId="0" applyFont="1" applyBorder="1" applyAlignment="1">
      <alignment horizontal="center" vertical="center"/>
    </xf>
    <xf numFmtId="172" fontId="2" fillId="0" borderId="13" xfId="8" applyNumberFormat="1" applyFont="1" applyFill="1" applyBorder="1" applyAlignment="1">
      <alignment horizontal="right" vertical="center" wrapText="1"/>
    </xf>
    <xf numFmtId="43" fontId="2" fillId="0" borderId="13" xfId="8" applyFont="1" applyFill="1" applyBorder="1" applyAlignment="1">
      <alignment horizontal="left" vertical="center" wrapText="1"/>
    </xf>
    <xf numFmtId="0" fontId="3" fillId="7" borderId="17" xfId="0" applyNumberFormat="1" applyFont="1" applyFill="1" applyBorder="1" applyAlignment="1">
      <alignment horizontal="center" vertical="center" wrapText="1"/>
    </xf>
    <xf numFmtId="0" fontId="2" fillId="2" borderId="19" xfId="7" applyFont="1" applyFill="1" applyBorder="1" applyAlignment="1">
      <alignment horizontal="center" vertical="center" wrapText="1"/>
    </xf>
    <xf numFmtId="0" fontId="2" fillId="2" borderId="13" xfId="7" applyFont="1" applyFill="1" applyBorder="1" applyAlignment="1">
      <alignment horizontal="justify" vertical="center" wrapText="1"/>
    </xf>
    <xf numFmtId="43" fontId="2" fillId="2" borderId="13" xfId="0" applyNumberFormat="1" applyFont="1" applyFill="1" applyBorder="1" applyAlignment="1">
      <alignment vertical="center"/>
    </xf>
    <xf numFmtId="43" fontId="2" fillId="2" borderId="13" xfId="0" applyNumberFormat="1" applyFont="1" applyFill="1" applyBorder="1" applyAlignment="1">
      <alignment horizontal="center" vertical="center"/>
    </xf>
    <xf numFmtId="1" fontId="2" fillId="2" borderId="13" xfId="13" applyNumberFormat="1" applyFont="1" applyFill="1" applyBorder="1" applyAlignment="1">
      <alignment horizontal="center" vertical="center"/>
    </xf>
    <xf numFmtId="167" fontId="2" fillId="0" borderId="13" xfId="1" applyFont="1" applyFill="1" applyBorder="1" applyAlignment="1">
      <alignment horizontal="center" vertical="center" wrapText="1"/>
    </xf>
    <xf numFmtId="167" fontId="2" fillId="0" borderId="13" xfId="1" applyFont="1" applyFill="1" applyBorder="1" applyAlignment="1">
      <alignment horizontal="right" vertical="center" wrapText="1"/>
    </xf>
    <xf numFmtId="0" fontId="2" fillId="0" borderId="13" xfId="1" applyNumberFormat="1" applyFont="1" applyBorder="1" applyAlignment="1">
      <alignment horizontal="center" vertical="center" wrapText="1"/>
    </xf>
    <xf numFmtId="0" fontId="2" fillId="0" borderId="13" xfId="1" applyNumberFormat="1" applyFont="1" applyFill="1" applyBorder="1" applyAlignment="1">
      <alignment horizontal="center" vertical="center" wrapText="1"/>
    </xf>
    <xf numFmtId="167" fontId="2" fillId="0" borderId="13" xfId="1" applyFont="1" applyFill="1" applyBorder="1" applyAlignment="1">
      <alignment horizontal="justify" vertical="center"/>
    </xf>
    <xf numFmtId="167" fontId="2" fillId="0" borderId="13" xfId="1" applyFont="1" applyFill="1" applyBorder="1" applyAlignment="1">
      <alignment horizontal="left" vertical="center" wrapText="1"/>
    </xf>
    <xf numFmtId="170" fontId="2" fillId="2" borderId="18" xfId="0" applyFont="1" applyFill="1" applyBorder="1"/>
    <xf numFmtId="173" fontId="2" fillId="0" borderId="18" xfId="8" applyNumberFormat="1" applyFont="1" applyBorder="1" applyAlignment="1">
      <alignment horizontal="center"/>
    </xf>
    <xf numFmtId="0" fontId="3" fillId="6" borderId="13" xfId="0" applyNumberFormat="1" applyFont="1" applyFill="1" applyBorder="1" applyAlignment="1">
      <alignment horizontal="center" vertical="center"/>
    </xf>
    <xf numFmtId="43" fontId="2" fillId="0" borderId="13" xfId="5" applyFont="1" applyBorder="1" applyAlignment="1">
      <alignment horizontal="justify" vertical="center"/>
    </xf>
    <xf numFmtId="43" fontId="2" fillId="0" borderId="13" xfId="8" applyFont="1" applyBorder="1" applyAlignment="1">
      <alignment horizontal="right" vertical="center" wrapText="1"/>
    </xf>
    <xf numFmtId="0" fontId="2" fillId="2" borderId="13" xfId="9" applyNumberFormat="1" applyFont="1" applyFill="1" applyBorder="1" applyAlignment="1">
      <alignment horizontal="center" vertical="center" wrapText="1"/>
    </xf>
    <xf numFmtId="170" fontId="2" fillId="0" borderId="13" xfId="0" applyFont="1" applyBorder="1" applyAlignment="1">
      <alignment vertical="center"/>
    </xf>
    <xf numFmtId="170" fontId="2" fillId="0" borderId="17" xfId="0" applyFont="1" applyFill="1" applyBorder="1" applyAlignment="1">
      <alignment vertical="center" wrapText="1"/>
    </xf>
    <xf numFmtId="43" fontId="2" fillId="2" borderId="13" xfId="8" applyFont="1" applyFill="1" applyBorder="1" applyAlignment="1">
      <alignment horizontal="center" vertical="center"/>
    </xf>
    <xf numFmtId="3" fontId="2" fillId="2" borderId="13" xfId="0" applyNumberFormat="1" applyFont="1" applyFill="1" applyBorder="1" applyAlignment="1">
      <alignment horizontal="center" vertical="center" wrapText="1"/>
    </xf>
    <xf numFmtId="170" fontId="2" fillId="2" borderId="18" xfId="0" applyFont="1" applyFill="1" applyBorder="1" applyAlignment="1">
      <alignment horizontal="center"/>
    </xf>
    <xf numFmtId="175" fontId="2" fillId="0" borderId="13" xfId="4" applyNumberFormat="1" applyFont="1" applyFill="1" applyBorder="1" applyAlignment="1">
      <alignment horizontal="center" vertical="center" wrapText="1"/>
    </xf>
    <xf numFmtId="175" fontId="2" fillId="0" borderId="13" xfId="4" applyNumberFormat="1" applyFont="1" applyFill="1" applyBorder="1" applyAlignment="1">
      <alignment horizontal="center" vertical="center"/>
    </xf>
    <xf numFmtId="175" fontId="2" fillId="0" borderId="13" xfId="4" applyNumberFormat="1" applyFont="1" applyFill="1" applyBorder="1" applyAlignment="1">
      <alignment horizontal="justify" vertical="center"/>
    </xf>
    <xf numFmtId="0" fontId="2" fillId="2" borderId="17" xfId="7" applyFont="1" applyFill="1" applyBorder="1" applyAlignment="1">
      <alignment horizontal="center" vertical="center" wrapText="1"/>
    </xf>
    <xf numFmtId="170" fontId="2" fillId="0" borderId="15" xfId="0" applyFont="1" applyBorder="1" applyAlignment="1">
      <alignment horizontal="center" vertical="center"/>
    </xf>
    <xf numFmtId="175" fontId="2" fillId="2" borderId="13" xfId="4" applyNumberFormat="1" applyFont="1" applyFill="1" applyBorder="1" applyAlignment="1">
      <alignment horizontal="center" vertical="center" wrapText="1"/>
    </xf>
    <xf numFmtId="170" fontId="2" fillId="7" borderId="13" xfId="0" applyFont="1" applyFill="1" applyBorder="1" applyAlignment="1">
      <alignment horizontal="center" vertical="center" wrapText="1"/>
    </xf>
    <xf numFmtId="170" fontId="2" fillId="7" borderId="13" xfId="0" applyFont="1" applyFill="1" applyBorder="1" applyAlignment="1">
      <alignment horizontal="justify" vertical="center" wrapText="1"/>
    </xf>
    <xf numFmtId="43" fontId="2" fillId="7" borderId="13" xfId="5" applyFont="1" applyFill="1" applyBorder="1" applyAlignment="1">
      <alignment horizontal="justify" vertical="center"/>
    </xf>
    <xf numFmtId="43" fontId="3" fillId="7" borderId="13" xfId="5" applyFont="1" applyFill="1" applyBorder="1" applyAlignment="1">
      <alignment horizontal="justify" vertical="center"/>
    </xf>
    <xf numFmtId="43" fontId="3" fillId="7" borderId="13" xfId="5" applyFont="1" applyFill="1" applyBorder="1" applyAlignment="1">
      <alignment horizontal="center" vertical="center"/>
    </xf>
    <xf numFmtId="170" fontId="2" fillId="0" borderId="13" xfId="0" applyFont="1" applyBorder="1" applyAlignment="1">
      <alignment horizontal="center"/>
    </xf>
    <xf numFmtId="0" fontId="3" fillId="0" borderId="13" xfId="0" applyNumberFormat="1" applyFont="1" applyBorder="1" applyAlignment="1">
      <alignment horizontal="center" vertical="center"/>
    </xf>
    <xf numFmtId="170" fontId="3" fillId="0" borderId="13" xfId="0" applyFont="1" applyBorder="1" applyAlignment="1">
      <alignment horizontal="center" vertical="center"/>
    </xf>
    <xf numFmtId="0" fontId="2" fillId="0" borderId="13" xfId="7" applyFont="1" applyFill="1" applyBorder="1" applyAlignment="1">
      <alignment horizontal="center" vertical="center" wrapText="1"/>
    </xf>
    <xf numFmtId="43" fontId="3" fillId="0" borderId="13" xfId="0" applyNumberFormat="1" applyFont="1" applyBorder="1" applyAlignment="1">
      <alignment vertical="center"/>
    </xf>
    <xf numFmtId="175" fontId="2" fillId="2" borderId="13" xfId="4" applyNumberFormat="1" applyFont="1" applyFill="1" applyBorder="1" applyAlignment="1">
      <alignment horizontal="center" vertical="center"/>
    </xf>
    <xf numFmtId="0" fontId="2" fillId="2" borderId="13" xfId="7" applyFont="1" applyFill="1" applyBorder="1" applyAlignment="1">
      <alignment horizontal="center" vertical="center"/>
    </xf>
    <xf numFmtId="0" fontId="3" fillId="7" borderId="13" xfId="0" applyNumberFormat="1" applyFont="1" applyFill="1" applyBorder="1" applyAlignment="1">
      <alignment horizontal="left" vertical="center"/>
    </xf>
    <xf numFmtId="0" fontId="3" fillId="7" borderId="13" xfId="0" applyNumberFormat="1" applyFont="1" applyFill="1" applyBorder="1" applyAlignment="1">
      <alignment horizontal="justify" vertical="center"/>
    </xf>
    <xf numFmtId="170" fontId="3" fillId="7" borderId="13" xfId="0" applyFont="1" applyFill="1" applyBorder="1" applyAlignment="1">
      <alignment horizontal="left" vertical="center"/>
    </xf>
    <xf numFmtId="0" fontId="2" fillId="0" borderId="13" xfId="7" applyFont="1" applyBorder="1" applyAlignment="1">
      <alignment horizontal="center" vertical="center"/>
    </xf>
    <xf numFmtId="170" fontId="3" fillId="0" borderId="13" xfId="0" applyFont="1" applyBorder="1" applyAlignment="1">
      <alignment horizontal="left" vertical="center"/>
    </xf>
    <xf numFmtId="170" fontId="2" fillId="12" borderId="13" xfId="0" applyFont="1" applyFill="1" applyBorder="1" applyAlignment="1">
      <alignment horizontal="center" vertical="center"/>
    </xf>
    <xf numFmtId="176" fontId="2" fillId="0" borderId="13" xfId="3" applyNumberFormat="1" applyFont="1" applyFill="1" applyBorder="1" applyAlignment="1">
      <alignment vertical="center" wrapText="1"/>
    </xf>
    <xf numFmtId="170" fontId="2" fillId="2" borderId="23" xfId="0" applyFont="1" applyFill="1" applyBorder="1"/>
    <xf numFmtId="0" fontId="2" fillId="2" borderId="13" xfId="1" applyNumberFormat="1" applyFont="1" applyFill="1" applyBorder="1" applyAlignment="1">
      <alignment horizontal="center" vertical="center" wrapText="1"/>
    </xf>
    <xf numFmtId="43" fontId="2" fillId="2" borderId="15" xfId="5" applyFont="1" applyFill="1" applyBorder="1" applyAlignment="1">
      <alignment horizontal="justify" vertical="center"/>
    </xf>
    <xf numFmtId="43" fontId="2" fillId="2" borderId="16" xfId="5" applyFont="1" applyFill="1" applyBorder="1" applyAlignment="1">
      <alignment horizontal="justify" vertical="center"/>
    </xf>
    <xf numFmtId="43" fontId="2" fillId="0" borderId="15" xfId="5" applyFont="1" applyFill="1" applyBorder="1" applyAlignment="1">
      <alignment horizontal="justify" vertical="center"/>
    </xf>
    <xf numFmtId="43" fontId="2" fillId="0" borderId="16" xfId="5" applyFont="1" applyFill="1" applyBorder="1" applyAlignment="1">
      <alignment horizontal="justify" vertical="center"/>
    </xf>
    <xf numFmtId="167" fontId="2" fillId="2" borderId="13" xfId="8" applyNumberFormat="1" applyFont="1" applyFill="1" applyBorder="1" applyAlignment="1">
      <alignment vertical="center"/>
    </xf>
    <xf numFmtId="43" fontId="2" fillId="2" borderId="13" xfId="8" applyFont="1" applyFill="1" applyBorder="1" applyAlignment="1">
      <alignment vertical="center"/>
    </xf>
    <xf numFmtId="0" fontId="2" fillId="0" borderId="15" xfId="7" applyFont="1" applyBorder="1" applyAlignment="1">
      <alignment horizontal="center" vertical="center" wrapText="1"/>
    </xf>
    <xf numFmtId="43" fontId="2" fillId="2" borderId="13" xfId="5" applyFont="1" applyFill="1" applyBorder="1" applyAlignment="1">
      <alignment horizontal="justify" vertical="center" wrapText="1"/>
    </xf>
    <xf numFmtId="1" fontId="2" fillId="0" borderId="13" xfId="0" applyNumberFormat="1" applyFont="1" applyFill="1" applyBorder="1" applyAlignment="1">
      <alignment horizontal="center" vertical="center" wrapText="1"/>
    </xf>
    <xf numFmtId="0" fontId="3" fillId="7" borderId="15" xfId="7" applyFont="1" applyFill="1" applyBorder="1" applyAlignment="1">
      <alignment vertical="center"/>
    </xf>
    <xf numFmtId="0" fontId="3" fillId="7" borderId="16" xfId="7" applyFont="1" applyFill="1" applyBorder="1" applyAlignment="1">
      <alignment vertical="center"/>
    </xf>
    <xf numFmtId="170" fontId="2" fillId="7" borderId="13" xfId="0" applyFont="1" applyFill="1" applyBorder="1" applyAlignment="1">
      <alignment horizontal="right" vertical="center"/>
    </xf>
    <xf numFmtId="49" fontId="2" fillId="2" borderId="34" xfId="0" applyNumberFormat="1" applyFont="1" applyFill="1" applyBorder="1" applyAlignment="1">
      <alignment horizontal="center" vertical="center" wrapText="1"/>
    </xf>
    <xf numFmtId="170" fontId="2" fillId="0" borderId="13" xfId="0" applyFont="1" applyBorder="1" applyAlignment="1" applyProtection="1">
      <alignment horizontal="justify" vertical="center" wrapText="1"/>
      <protection locked="0"/>
    </xf>
    <xf numFmtId="43" fontId="3" fillId="7" borderId="15" xfId="8" applyFont="1" applyFill="1" applyBorder="1" applyAlignment="1">
      <alignment horizontal="center" vertical="center"/>
    </xf>
    <xf numFmtId="43" fontId="3" fillId="7" borderId="16" xfId="8" applyFont="1" applyFill="1" applyBorder="1" applyAlignment="1">
      <alignment horizontal="center" vertical="center"/>
    </xf>
    <xf numFmtId="43" fontId="2" fillId="7" borderId="13" xfId="8" applyFont="1" applyFill="1" applyBorder="1" applyAlignment="1">
      <alignment horizontal="center" vertical="center"/>
    </xf>
    <xf numFmtId="49" fontId="2" fillId="0" borderId="13" xfId="7" applyNumberFormat="1" applyFont="1" applyBorder="1" applyAlignment="1">
      <alignment horizontal="justify" vertical="center" wrapText="1"/>
    </xf>
    <xf numFmtId="4" fontId="2" fillId="0" borderId="13" xfId="0" applyNumberFormat="1" applyFont="1" applyBorder="1" applyAlignment="1">
      <alignment vertical="center" wrapText="1"/>
    </xf>
    <xf numFmtId="170" fontId="2" fillId="0" borderId="17" xfId="0" applyFont="1" applyBorder="1"/>
    <xf numFmtId="0" fontId="3" fillId="0" borderId="17" xfId="0" applyNumberFormat="1" applyFont="1" applyBorder="1" applyAlignment="1">
      <alignment horizontal="left" vertical="center" wrapText="1"/>
    </xf>
    <xf numFmtId="170" fontId="3" fillId="7" borderId="22" xfId="0" applyFont="1" applyFill="1" applyBorder="1" applyAlignment="1">
      <alignment vertical="center"/>
    </xf>
    <xf numFmtId="0" fontId="2" fillId="7" borderId="17" xfId="0" applyNumberFormat="1" applyFont="1" applyFill="1" applyBorder="1" applyAlignment="1">
      <alignment horizontal="center" vertical="center"/>
    </xf>
    <xf numFmtId="0" fontId="3" fillId="7" borderId="17" xfId="0" applyNumberFormat="1" applyFont="1" applyFill="1" applyBorder="1" applyAlignment="1">
      <alignment horizontal="justify" vertical="center" wrapText="1"/>
    </xf>
    <xf numFmtId="170" fontId="3" fillId="7" borderId="17" xfId="0" applyFont="1" applyFill="1" applyBorder="1" applyAlignment="1">
      <alignment horizontal="justify" vertical="center" wrapText="1"/>
    </xf>
    <xf numFmtId="170" fontId="2" fillId="7" borderId="17" xfId="0" applyFont="1" applyFill="1" applyBorder="1" applyAlignment="1">
      <alignment vertical="center"/>
    </xf>
    <xf numFmtId="170" fontId="3" fillId="7" borderId="17" xfId="0" applyFont="1" applyFill="1" applyBorder="1" applyAlignment="1">
      <alignment horizontal="center" vertical="center"/>
    </xf>
    <xf numFmtId="43" fontId="3" fillId="7" borderId="17" xfId="8" applyFont="1" applyFill="1" applyBorder="1" applyAlignment="1">
      <alignment horizontal="center" vertical="center"/>
    </xf>
    <xf numFmtId="170" fontId="2" fillId="0" borderId="19" xfId="0" applyFont="1" applyBorder="1"/>
    <xf numFmtId="0" fontId="3" fillId="0" borderId="19" xfId="0" applyNumberFormat="1" applyFont="1" applyBorder="1" applyAlignment="1">
      <alignment horizontal="left" vertical="center" wrapText="1"/>
    </xf>
    <xf numFmtId="170" fontId="2" fillId="0" borderId="19" xfId="0" applyFont="1" applyBorder="1" applyAlignment="1">
      <alignment horizontal="center" vertical="center"/>
    </xf>
    <xf numFmtId="0" fontId="2" fillId="2" borderId="19" xfId="6" applyNumberFormat="1" applyFont="1" applyFill="1" applyBorder="1" applyAlignment="1">
      <alignment horizontal="center" vertical="center" wrapText="1"/>
    </xf>
    <xf numFmtId="0" fontId="2" fillId="0" borderId="19" xfId="7" applyFont="1" applyBorder="1" applyAlignment="1">
      <alignment horizontal="justify" vertical="center" wrapText="1"/>
    </xf>
    <xf numFmtId="0" fontId="2" fillId="0" borderId="19" xfId="7" applyFont="1" applyBorder="1" applyAlignment="1">
      <alignment horizontal="center" vertical="center" wrapText="1"/>
    </xf>
    <xf numFmtId="43" fontId="2" fillId="0" borderId="19" xfId="5" applyFont="1" applyFill="1" applyBorder="1" applyAlignment="1">
      <alignment horizontal="justify" vertical="center"/>
    </xf>
    <xf numFmtId="43" fontId="2" fillId="0" borderId="26" xfId="5" applyFont="1" applyFill="1" applyBorder="1" applyAlignment="1">
      <alignment horizontal="justify" vertical="center"/>
    </xf>
    <xf numFmtId="43" fontId="2" fillId="0" borderId="28" xfId="5" applyFont="1" applyFill="1" applyBorder="1" applyAlignment="1">
      <alignment horizontal="justify" vertical="center"/>
    </xf>
    <xf numFmtId="43" fontId="2" fillId="0" borderId="19" xfId="8" applyFont="1" applyFill="1" applyBorder="1" applyAlignment="1">
      <alignment horizontal="right" vertical="center" wrapText="1"/>
    </xf>
    <xf numFmtId="43" fontId="2" fillId="0" borderId="19" xfId="0" applyNumberFormat="1" applyFont="1" applyBorder="1" applyAlignment="1">
      <alignment vertical="center"/>
    </xf>
    <xf numFmtId="43" fontId="2" fillId="0" borderId="19" xfId="0" applyNumberFormat="1" applyFont="1" applyBorder="1" applyAlignment="1">
      <alignment horizontal="center" vertical="center"/>
    </xf>
    <xf numFmtId="0" fontId="3" fillId="7" borderId="33" xfId="0" applyNumberFormat="1" applyFont="1" applyFill="1" applyBorder="1" applyAlignment="1">
      <alignment horizontal="justify" vertical="center" wrapText="1"/>
    </xf>
    <xf numFmtId="49" fontId="2" fillId="2" borderId="34" xfId="0" applyNumberFormat="1" applyFont="1" applyFill="1" applyBorder="1" applyAlignment="1">
      <alignment horizontal="center" vertical="center"/>
    </xf>
    <xf numFmtId="49" fontId="2" fillId="2" borderId="13" xfId="7" applyNumberFormat="1" applyFont="1" applyFill="1" applyBorder="1" applyAlignment="1">
      <alignment horizontal="justify" vertical="center" wrapText="1"/>
    </xf>
    <xf numFmtId="0" fontId="2" fillId="2" borderId="18" xfId="0" applyNumberFormat="1" applyFont="1" applyFill="1" applyBorder="1" applyAlignment="1">
      <alignment horizontal="left" vertical="center"/>
    </xf>
    <xf numFmtId="0" fontId="2" fillId="2" borderId="18" xfId="0" applyNumberFormat="1" applyFont="1" applyFill="1" applyBorder="1" applyAlignment="1">
      <alignment horizontal="center" vertical="center"/>
    </xf>
    <xf numFmtId="0" fontId="2" fillId="2" borderId="18" xfId="0" applyNumberFormat="1" applyFont="1" applyFill="1" applyBorder="1" applyAlignment="1">
      <alignment horizontal="justify" vertical="center" wrapText="1"/>
    </xf>
    <xf numFmtId="170" fontId="2" fillId="2" borderId="18" xfId="0" applyFont="1" applyFill="1" applyBorder="1" applyAlignment="1">
      <alignment horizontal="justify" vertical="center" wrapText="1"/>
    </xf>
    <xf numFmtId="170" fontId="3" fillId="2" borderId="18" xfId="0" applyFont="1" applyFill="1" applyBorder="1" applyAlignment="1">
      <alignment horizontal="center" vertical="center"/>
    </xf>
    <xf numFmtId="173" fontId="2" fillId="2" borderId="18" xfId="8" applyNumberFormat="1" applyFont="1" applyFill="1" applyBorder="1" applyAlignment="1">
      <alignment horizontal="center"/>
    </xf>
    <xf numFmtId="169" fontId="2" fillId="0" borderId="15" xfId="3" applyFont="1" applyFill="1" applyBorder="1" applyAlignment="1">
      <alignment horizontal="center" vertical="center"/>
    </xf>
    <xf numFmtId="167" fontId="2" fillId="2" borderId="13" xfId="1" applyFont="1" applyFill="1" applyBorder="1" applyAlignment="1">
      <alignment vertical="center"/>
    </xf>
    <xf numFmtId="170" fontId="2" fillId="2" borderId="13" xfId="0" applyFont="1" applyFill="1" applyBorder="1" applyAlignment="1">
      <alignment vertical="center"/>
    </xf>
    <xf numFmtId="43" fontId="2" fillId="0" borderId="15" xfId="8" applyFont="1" applyFill="1" applyBorder="1" applyAlignment="1">
      <alignment horizontal="center" vertical="center"/>
    </xf>
    <xf numFmtId="0" fontId="2" fillId="0" borderId="13" xfId="7" applyNumberFormat="1" applyFont="1" applyBorder="1" applyAlignment="1">
      <alignment horizontal="justify" vertical="center" wrapText="1"/>
    </xf>
    <xf numFmtId="167" fontId="3" fillId="7" borderId="13" xfId="0" applyNumberFormat="1" applyFont="1" applyFill="1" applyBorder="1" applyAlignment="1">
      <alignment vertical="center"/>
    </xf>
    <xf numFmtId="167" fontId="3" fillId="7" borderId="15" xfId="0" applyNumberFormat="1" applyFont="1" applyFill="1" applyBorder="1" applyAlignment="1">
      <alignment vertical="center"/>
    </xf>
    <xf numFmtId="167" fontId="3" fillId="7" borderId="16" xfId="0" applyNumberFormat="1" applyFont="1" applyFill="1" applyBorder="1" applyAlignment="1">
      <alignment vertical="center"/>
    </xf>
    <xf numFmtId="167" fontId="3" fillId="7" borderId="13" xfId="0" applyNumberFormat="1" applyFont="1" applyFill="1" applyBorder="1" applyAlignment="1">
      <alignment horizontal="center" vertical="center"/>
    </xf>
    <xf numFmtId="43" fontId="2" fillId="2" borderId="13" xfId="5" applyFont="1" applyFill="1" applyBorder="1" applyAlignment="1">
      <alignment horizontal="right" vertical="center"/>
    </xf>
    <xf numFmtId="43" fontId="2" fillId="2" borderId="13" xfId="0" applyNumberFormat="1" applyFont="1" applyFill="1" applyBorder="1" applyAlignment="1">
      <alignment horizontal="right" vertical="center" wrapText="1"/>
    </xf>
    <xf numFmtId="170" fontId="2" fillId="0" borderId="15" xfId="0" applyFont="1" applyBorder="1"/>
    <xf numFmtId="43" fontId="2" fillId="0" borderId="25" xfId="0" applyNumberFormat="1" applyFont="1" applyBorder="1" applyAlignment="1">
      <alignment horizontal="center" vertical="center"/>
    </xf>
    <xf numFmtId="4" fontId="2" fillId="0" borderId="15" xfId="0" applyNumberFormat="1" applyFont="1" applyBorder="1" applyAlignment="1">
      <alignment vertical="center"/>
    </xf>
    <xf numFmtId="43" fontId="2" fillId="0" borderId="15" xfId="5" applyFont="1" applyFill="1" applyBorder="1" applyAlignment="1">
      <alignment horizontal="right" vertical="center"/>
    </xf>
    <xf numFmtId="43" fontId="3" fillId="7" borderId="15" xfId="0" applyNumberFormat="1" applyFont="1" applyFill="1" applyBorder="1" applyAlignment="1">
      <alignment vertical="center"/>
    </xf>
    <xf numFmtId="43" fontId="3" fillId="7" borderId="16" xfId="0" applyNumberFormat="1" applyFont="1" applyFill="1" applyBorder="1" applyAlignment="1">
      <alignment vertical="center"/>
    </xf>
    <xf numFmtId="43" fontId="2" fillId="2" borderId="15" xfId="8" applyFont="1" applyFill="1" applyBorder="1" applyAlignment="1">
      <alignment horizontal="center" vertical="center"/>
    </xf>
    <xf numFmtId="43" fontId="2" fillId="0" borderId="15" xfId="8" applyFont="1" applyFill="1" applyBorder="1" applyAlignment="1">
      <alignment vertical="center"/>
    </xf>
    <xf numFmtId="43" fontId="2" fillId="2" borderId="18" xfId="0" applyNumberFormat="1" applyFont="1" applyFill="1" applyBorder="1"/>
    <xf numFmtId="167" fontId="3" fillId="6" borderId="13" xfId="0" applyNumberFormat="1" applyFont="1" applyFill="1" applyBorder="1" applyAlignment="1">
      <alignment vertical="center"/>
    </xf>
    <xf numFmtId="167" fontId="3" fillId="6" borderId="13" xfId="0" applyNumberFormat="1" applyFont="1" applyFill="1" applyBorder="1" applyAlignment="1">
      <alignment horizontal="center" vertical="center"/>
    </xf>
    <xf numFmtId="170" fontId="3" fillId="7" borderId="13" xfId="0" applyFont="1" applyFill="1" applyBorder="1" applyAlignment="1">
      <alignment horizontal="justify" vertical="center"/>
    </xf>
    <xf numFmtId="43" fontId="2" fillId="0" borderId="15" xfId="0" applyNumberFormat="1" applyFont="1" applyBorder="1" applyAlignment="1">
      <alignment vertical="center"/>
    </xf>
    <xf numFmtId="43" fontId="2" fillId="0" borderId="16" xfId="0" applyNumberFormat="1" applyFont="1" applyBorder="1" applyAlignment="1">
      <alignment vertical="center"/>
    </xf>
    <xf numFmtId="43" fontId="2" fillId="2" borderId="15" xfId="0" applyNumberFormat="1" applyFont="1" applyFill="1" applyBorder="1" applyAlignment="1">
      <alignment vertical="center"/>
    </xf>
    <xf numFmtId="43" fontId="2" fillId="2" borderId="16" xfId="0" applyNumberFormat="1" applyFont="1" applyFill="1" applyBorder="1" applyAlignment="1">
      <alignment vertical="center"/>
    </xf>
    <xf numFmtId="0" fontId="2" fillId="7" borderId="13" xfId="0" applyNumberFormat="1" applyFont="1" applyFill="1" applyBorder="1" applyAlignment="1">
      <alignment horizontal="center" vertical="center" wrapText="1"/>
    </xf>
    <xf numFmtId="0" fontId="2" fillId="7" borderId="13" xfId="0" applyNumberFormat="1" applyFont="1" applyFill="1" applyBorder="1" applyAlignment="1">
      <alignment horizontal="justify" vertical="center" wrapText="1"/>
    </xf>
    <xf numFmtId="43" fontId="2" fillId="0" borderId="15" xfId="8" applyFont="1" applyFill="1" applyBorder="1" applyAlignment="1">
      <alignment horizontal="right" vertical="center"/>
    </xf>
    <xf numFmtId="43" fontId="2" fillId="0" borderId="13" xfId="5" applyFont="1" applyFill="1" applyBorder="1" applyAlignment="1">
      <alignment horizontal="center" vertical="center" wrapText="1"/>
    </xf>
    <xf numFmtId="43" fontId="2" fillId="2" borderId="13" xfId="5" applyFont="1" applyFill="1" applyBorder="1" applyAlignment="1">
      <alignment horizontal="center" vertical="center" wrapText="1"/>
    </xf>
    <xf numFmtId="167" fontId="2" fillId="0" borderId="13" xfId="12" applyFont="1" applyFill="1" applyBorder="1" applyAlignment="1">
      <alignment horizontal="center" vertical="center"/>
    </xf>
    <xf numFmtId="167" fontId="2" fillId="0" borderId="13" xfId="12" applyFont="1" applyFill="1" applyBorder="1" applyAlignment="1">
      <alignment horizontal="right" vertical="center"/>
    </xf>
    <xf numFmtId="0" fontId="3" fillId="7" borderId="13" xfId="0" applyNumberFormat="1" applyFont="1" applyFill="1" applyBorder="1" applyAlignment="1">
      <alignment horizontal="left" vertical="center" wrapText="1"/>
    </xf>
    <xf numFmtId="43" fontId="3" fillId="7" borderId="3" xfId="0" applyNumberFormat="1" applyFont="1" applyFill="1" applyBorder="1" applyAlignment="1">
      <alignment horizontal="center" vertical="center"/>
    </xf>
    <xf numFmtId="0" fontId="2" fillId="0" borderId="13" xfId="12" applyNumberFormat="1" applyFont="1" applyFill="1" applyBorder="1" applyAlignment="1">
      <alignment horizontal="center" vertical="center" wrapText="1"/>
    </xf>
    <xf numFmtId="1" fontId="2" fillId="0" borderId="13" xfId="0" applyNumberFormat="1" applyFont="1" applyBorder="1" applyAlignment="1">
      <alignment horizontal="center" vertical="center"/>
    </xf>
    <xf numFmtId="3" fontId="2" fillId="0" borderId="13" xfId="0" applyNumberFormat="1" applyFont="1" applyBorder="1" applyAlignment="1">
      <alignment horizontal="justify" vertical="center" wrapText="1"/>
    </xf>
    <xf numFmtId="43" fontId="2" fillId="0" borderId="13" xfId="0" applyNumberFormat="1" applyFont="1" applyBorder="1" applyAlignment="1">
      <alignment vertical="center" wrapText="1"/>
    </xf>
    <xf numFmtId="0" fontId="2" fillId="2" borderId="13" xfId="12" applyNumberFormat="1" applyFont="1" applyFill="1" applyBorder="1" applyAlignment="1">
      <alignment horizontal="center" vertical="center" wrapText="1"/>
    </xf>
    <xf numFmtId="43" fontId="2" fillId="0" borderId="13" xfId="0" applyNumberFormat="1" applyFont="1" applyBorder="1" applyAlignment="1">
      <alignment horizontal="center" vertical="center" wrapText="1"/>
    </xf>
    <xf numFmtId="170" fontId="2" fillId="0" borderId="27" xfId="0" applyFont="1" applyBorder="1" applyAlignment="1">
      <alignment horizontal="center"/>
    </xf>
    <xf numFmtId="0" fontId="2" fillId="6" borderId="13" xfId="0" applyNumberFormat="1" applyFont="1" applyFill="1" applyBorder="1" applyAlignment="1">
      <alignment horizontal="center" vertical="center" wrapText="1"/>
    </xf>
    <xf numFmtId="170" fontId="2" fillId="6" borderId="13" xfId="0" applyFont="1" applyFill="1" applyBorder="1" applyAlignment="1">
      <alignment vertical="center" wrapText="1"/>
    </xf>
    <xf numFmtId="170" fontId="3" fillId="6" borderId="13" xfId="0" applyFont="1" applyFill="1" applyBorder="1" applyAlignment="1">
      <alignment horizontal="center" vertical="center" wrapText="1"/>
    </xf>
    <xf numFmtId="43" fontId="3" fillId="6" borderId="13" xfId="0" applyNumberFormat="1" applyFont="1" applyFill="1" applyBorder="1" applyAlignment="1">
      <alignment vertical="center" wrapText="1"/>
    </xf>
    <xf numFmtId="43" fontId="3" fillId="6" borderId="13" xfId="0" applyNumberFormat="1" applyFont="1" applyFill="1" applyBorder="1" applyAlignment="1">
      <alignment horizontal="center" vertical="center" wrapText="1"/>
    </xf>
    <xf numFmtId="0" fontId="3" fillId="0" borderId="13" xfId="0" applyNumberFormat="1" applyFont="1" applyBorder="1" applyAlignment="1">
      <alignment horizontal="left" vertical="center"/>
    </xf>
    <xf numFmtId="43" fontId="2" fillId="7" borderId="13" xfId="0" applyNumberFormat="1" applyFont="1" applyFill="1" applyBorder="1" applyAlignment="1">
      <alignment vertical="center" wrapText="1"/>
    </xf>
    <xf numFmtId="43" fontId="3" fillId="7" borderId="13" xfId="0" applyNumberFormat="1" applyFont="1" applyFill="1" applyBorder="1" applyAlignment="1">
      <alignment vertical="center" wrapText="1"/>
    </xf>
    <xf numFmtId="170" fontId="2" fillId="7" borderId="13" xfId="0" applyFont="1" applyFill="1" applyBorder="1" applyAlignment="1">
      <alignment vertical="center" wrapText="1"/>
    </xf>
    <xf numFmtId="170" fontId="3" fillId="7" borderId="13" xfId="0" applyFont="1" applyFill="1" applyBorder="1" applyAlignment="1">
      <alignment horizontal="center" vertical="center" wrapText="1"/>
    </xf>
    <xf numFmtId="0" fontId="3" fillId="7" borderId="15" xfId="0" applyNumberFormat="1" applyFont="1" applyFill="1" applyBorder="1" applyAlignment="1">
      <alignment vertical="center"/>
    </xf>
    <xf numFmtId="0" fontId="3" fillId="7" borderId="16" xfId="0" applyNumberFormat="1" applyFont="1" applyFill="1" applyBorder="1" applyAlignment="1">
      <alignment vertical="center"/>
    </xf>
    <xf numFmtId="0" fontId="2" fillId="0" borderId="13" xfId="0" applyNumberFormat="1" applyFont="1" applyBorder="1" applyAlignment="1" applyProtection="1">
      <alignment horizontal="center" vertical="center"/>
      <protection locked="0"/>
    </xf>
    <xf numFmtId="0" fontId="3" fillId="10" borderId="13" xfId="0" applyNumberFormat="1" applyFont="1" applyFill="1" applyBorder="1" applyAlignment="1">
      <alignment horizontal="left" vertical="center"/>
    </xf>
    <xf numFmtId="0" fontId="3" fillId="10" borderId="13" xfId="0" applyNumberFormat="1" applyFont="1" applyFill="1" applyBorder="1" applyAlignment="1">
      <alignment horizontal="center" vertical="center"/>
    </xf>
    <xf numFmtId="170" fontId="3" fillId="10" borderId="13" xfId="0" applyFont="1" applyFill="1" applyBorder="1" applyAlignment="1">
      <alignment horizontal="center"/>
    </xf>
    <xf numFmtId="0" fontId="3" fillId="10" borderId="13" xfId="0" applyNumberFormat="1" applyFont="1" applyFill="1" applyBorder="1" applyAlignment="1">
      <alignment horizontal="justify" vertical="center" wrapText="1"/>
    </xf>
    <xf numFmtId="0" fontId="3" fillId="10" borderId="13" xfId="0" applyNumberFormat="1" applyFont="1" applyFill="1" applyBorder="1" applyAlignment="1">
      <alignment horizontal="center" vertical="center" wrapText="1"/>
    </xf>
    <xf numFmtId="170" fontId="3" fillId="10" borderId="13" xfId="0" applyFont="1" applyFill="1" applyBorder="1" applyAlignment="1">
      <alignment horizontal="justify" vertical="center" wrapText="1"/>
    </xf>
    <xf numFmtId="167" fontId="3" fillId="10" borderId="13" xfId="0" applyNumberFormat="1" applyFont="1" applyFill="1" applyBorder="1"/>
    <xf numFmtId="167" fontId="3" fillId="10" borderId="13" xfId="0" applyNumberFormat="1" applyFont="1" applyFill="1" applyBorder="1" applyAlignment="1">
      <alignment horizontal="center"/>
    </xf>
    <xf numFmtId="43" fontId="3" fillId="0" borderId="13" xfId="5" applyFont="1" applyFill="1" applyBorder="1" applyAlignment="1">
      <alignment horizontal="justify" vertical="center"/>
    </xf>
    <xf numFmtId="43" fontId="2" fillId="0" borderId="16" xfId="8" applyFont="1" applyFill="1" applyBorder="1" applyAlignment="1">
      <alignment vertical="center"/>
    </xf>
    <xf numFmtId="170" fontId="2" fillId="0" borderId="13" xfId="0" applyFont="1" applyFill="1" applyBorder="1"/>
    <xf numFmtId="0" fontId="3" fillId="0" borderId="13" xfId="0" applyNumberFormat="1" applyFont="1" applyFill="1" applyBorder="1" applyAlignment="1">
      <alignment horizontal="center" vertical="center" wrapText="1"/>
    </xf>
    <xf numFmtId="43" fontId="2" fillId="0" borderId="13" xfId="0" applyNumberFormat="1" applyFont="1" applyFill="1" applyBorder="1" applyAlignment="1">
      <alignment vertical="center"/>
    </xf>
    <xf numFmtId="43" fontId="2" fillId="0" borderId="13" xfId="0" applyNumberFormat="1" applyFont="1" applyFill="1" applyBorder="1" applyAlignment="1">
      <alignment horizontal="justify" vertical="center"/>
    </xf>
    <xf numFmtId="43" fontId="2" fillId="0" borderId="13" xfId="0" applyNumberFormat="1" applyFont="1" applyFill="1" applyBorder="1" applyAlignment="1">
      <alignment horizontal="center" vertical="center"/>
    </xf>
    <xf numFmtId="0" fontId="2" fillId="0" borderId="13" xfId="0" applyNumberFormat="1" applyFont="1" applyFill="1" applyBorder="1" applyAlignment="1">
      <alignment horizontal="center" vertical="center"/>
    </xf>
    <xf numFmtId="0" fontId="2" fillId="0" borderId="13" xfId="7" applyFont="1" applyFill="1" applyBorder="1" applyAlignment="1">
      <alignment horizontal="center" vertical="center"/>
    </xf>
    <xf numFmtId="43" fontId="2" fillId="0" borderId="13" xfId="0" applyNumberFormat="1" applyFont="1" applyFill="1" applyBorder="1" applyAlignment="1">
      <alignment horizontal="justify" vertical="center" wrapText="1"/>
    </xf>
    <xf numFmtId="43" fontId="2" fillId="0" borderId="15" xfId="0" applyNumberFormat="1" applyFont="1" applyFill="1" applyBorder="1" applyAlignment="1">
      <alignment horizontal="justify" vertical="center" wrapText="1"/>
    </xf>
    <xf numFmtId="43" fontId="2" fillId="0" borderId="13" xfId="5" applyFont="1" applyFill="1" applyBorder="1" applyAlignment="1">
      <alignment horizontal="justify" vertical="center" wrapText="1"/>
    </xf>
    <xf numFmtId="43" fontId="2" fillId="0" borderId="13" xfId="0" applyNumberFormat="1" applyFont="1" applyFill="1" applyBorder="1" applyAlignment="1">
      <alignment horizontal="right" vertical="center"/>
    </xf>
    <xf numFmtId="43" fontId="2" fillId="0" borderId="16" xfId="0" applyNumberFormat="1" applyFont="1" applyFill="1" applyBorder="1" applyAlignment="1">
      <alignment horizontal="justify" vertical="center" wrapText="1"/>
    </xf>
    <xf numFmtId="170" fontId="2" fillId="0" borderId="13" xfId="0" applyFont="1" applyFill="1" applyBorder="1" applyAlignment="1">
      <alignment horizontal="left" vertical="center" wrapText="1"/>
    </xf>
    <xf numFmtId="170" fontId="2" fillId="0" borderId="0" xfId="0" applyFont="1" applyFill="1" applyAlignment="1">
      <alignment horizontal="left" vertical="center" wrapText="1"/>
    </xf>
    <xf numFmtId="170" fontId="2" fillId="0" borderId="13" xfId="0" applyFont="1" applyFill="1" applyBorder="1" applyAlignment="1">
      <alignment horizontal="center" vertical="center"/>
    </xf>
    <xf numFmtId="0" fontId="3" fillId="0" borderId="13" xfId="0" applyNumberFormat="1" applyFont="1" applyFill="1" applyBorder="1" applyAlignment="1">
      <alignment horizontal="left" vertical="center"/>
    </xf>
    <xf numFmtId="167" fontId="2" fillId="0" borderId="13" xfId="0" applyNumberFormat="1" applyFont="1" applyFill="1" applyBorder="1" applyAlignment="1">
      <alignment vertical="center"/>
    </xf>
    <xf numFmtId="0" fontId="3" fillId="0" borderId="13" xfId="0" applyNumberFormat="1" applyFont="1" applyFill="1" applyBorder="1" applyAlignment="1">
      <alignment horizontal="center" vertical="center"/>
    </xf>
    <xf numFmtId="167" fontId="3" fillId="11" borderId="3" xfId="0" applyNumberFormat="1" applyFont="1" applyFill="1" applyBorder="1" applyAlignment="1">
      <alignment horizontal="center"/>
    </xf>
    <xf numFmtId="0" fontId="3" fillId="0" borderId="3" xfId="0" applyNumberFormat="1" applyFont="1" applyFill="1" applyBorder="1" applyAlignment="1">
      <alignment horizontal="left" vertical="center"/>
    </xf>
    <xf numFmtId="0" fontId="3" fillId="0" borderId="3" xfId="0" applyNumberFormat="1" applyFont="1" applyFill="1" applyBorder="1" applyAlignment="1">
      <alignment horizontal="center" vertical="center"/>
    </xf>
    <xf numFmtId="170" fontId="3" fillId="0" borderId="3" xfId="0" applyFont="1" applyFill="1" applyBorder="1" applyAlignment="1">
      <alignment horizontal="center"/>
    </xf>
    <xf numFmtId="0" fontId="3" fillId="0" borderId="3" xfId="0" applyNumberFormat="1" applyFont="1" applyFill="1" applyBorder="1" applyAlignment="1">
      <alignment horizontal="justify" vertical="center" wrapText="1"/>
    </xf>
    <xf numFmtId="0" fontId="3" fillId="0" borderId="3" xfId="0" applyNumberFormat="1" applyFont="1" applyFill="1" applyBorder="1" applyAlignment="1">
      <alignment horizontal="center" vertical="center" wrapText="1"/>
    </xf>
    <xf numFmtId="170" fontId="3" fillId="0" borderId="3" xfId="0" applyFont="1" applyFill="1" applyBorder="1" applyAlignment="1">
      <alignment horizontal="justify" vertical="center" wrapText="1"/>
    </xf>
    <xf numFmtId="0" fontId="2" fillId="11" borderId="3" xfId="0" applyNumberFormat="1" applyFont="1" applyFill="1" applyBorder="1" applyAlignment="1">
      <alignment horizontal="left" vertical="center"/>
    </xf>
    <xf numFmtId="0" fontId="2" fillId="11" borderId="3" xfId="0" applyNumberFormat="1" applyFont="1" applyFill="1" applyBorder="1" applyAlignment="1">
      <alignment horizontal="center" vertical="center"/>
    </xf>
    <xf numFmtId="170" fontId="2" fillId="11" borderId="3" xfId="0" applyFont="1" applyFill="1" applyBorder="1" applyAlignment="1">
      <alignment horizontal="center"/>
    </xf>
    <xf numFmtId="0" fontId="2" fillId="11" borderId="3" xfId="0" applyNumberFormat="1" applyFont="1" applyFill="1" applyBorder="1" applyAlignment="1">
      <alignment horizontal="justify" vertical="center" wrapText="1"/>
    </xf>
    <xf numFmtId="0" fontId="2" fillId="11" borderId="3" xfId="0" applyNumberFormat="1" applyFont="1" applyFill="1" applyBorder="1" applyAlignment="1">
      <alignment horizontal="center" vertical="center" wrapText="1"/>
    </xf>
    <xf numFmtId="170" fontId="2" fillId="11" borderId="3" xfId="0" applyFont="1" applyFill="1" applyBorder="1" applyAlignment="1">
      <alignment horizontal="justify" vertical="center" wrapText="1"/>
    </xf>
    <xf numFmtId="170" fontId="3" fillId="0" borderId="13" xfId="0" applyFont="1" applyFill="1" applyBorder="1" applyAlignment="1">
      <alignment horizontal="justify" vertical="center" wrapText="1"/>
    </xf>
    <xf numFmtId="0" fontId="3" fillId="19" borderId="38" xfId="0" applyNumberFormat="1" applyFont="1" applyFill="1" applyBorder="1" applyAlignment="1">
      <alignment horizontal="left" vertical="center"/>
    </xf>
    <xf numFmtId="0" fontId="3" fillId="19" borderId="39" xfId="0" applyNumberFormat="1" applyFont="1" applyFill="1" applyBorder="1" applyAlignment="1">
      <alignment horizontal="center" vertical="center"/>
    </xf>
    <xf numFmtId="0" fontId="2" fillId="19" borderId="39" xfId="0" applyNumberFormat="1" applyFont="1" applyFill="1" applyBorder="1" applyAlignment="1">
      <alignment horizontal="center" vertical="center"/>
    </xf>
    <xf numFmtId="170" fontId="2" fillId="19" borderId="39" xfId="0" applyFont="1" applyFill="1" applyBorder="1" applyAlignment="1">
      <alignment horizontal="center"/>
    </xf>
    <xf numFmtId="170" fontId="3" fillId="19" borderId="40" xfId="0" applyFont="1" applyFill="1" applyBorder="1" applyAlignment="1">
      <alignment horizontal="center" vertical="center"/>
    </xf>
    <xf numFmtId="0" fontId="14" fillId="9" borderId="7" xfId="0" applyNumberFormat="1" applyFont="1" applyFill="1" applyBorder="1" applyAlignment="1">
      <alignment horizontal="left" vertical="center"/>
    </xf>
    <xf numFmtId="0" fontId="14" fillId="9" borderId="8" xfId="0" applyNumberFormat="1" applyFont="1" applyFill="1" applyBorder="1" applyAlignment="1">
      <alignment horizontal="left" vertical="center"/>
    </xf>
    <xf numFmtId="170" fontId="14" fillId="9" borderId="9" xfId="0" applyNumberFormat="1" applyFont="1" applyFill="1" applyBorder="1" applyAlignment="1">
      <alignment horizontal="left" vertical="center"/>
    </xf>
    <xf numFmtId="170" fontId="3" fillId="0" borderId="0" xfId="0" applyFont="1" applyBorder="1" applyAlignment="1">
      <alignment vertical="top"/>
    </xf>
    <xf numFmtId="170" fontId="3" fillId="0" borderId="13" xfId="0" applyFont="1" applyFill="1" applyBorder="1" applyAlignment="1">
      <alignment horizontal="justify" vertical="center"/>
    </xf>
    <xf numFmtId="0" fontId="3" fillId="2" borderId="0" xfId="0" applyNumberFormat="1" applyFont="1" applyFill="1" applyBorder="1" applyAlignment="1">
      <alignment horizontal="left" vertical="center"/>
    </xf>
    <xf numFmtId="170" fontId="3" fillId="2" borderId="0" xfId="0" applyFont="1" applyFill="1" applyBorder="1" applyAlignment="1">
      <alignment horizontal="center"/>
    </xf>
    <xf numFmtId="0" fontId="3" fillId="2" borderId="0" xfId="0" applyNumberFormat="1" applyFont="1" applyFill="1" applyBorder="1" applyAlignment="1">
      <alignment horizontal="justify" vertical="center" wrapText="1"/>
    </xf>
    <xf numFmtId="170" fontId="3" fillId="2" borderId="0" xfId="0" applyFont="1" applyFill="1" applyBorder="1" applyAlignment="1">
      <alignment horizontal="justify" vertical="center" wrapText="1"/>
    </xf>
    <xf numFmtId="170" fontId="3" fillId="15" borderId="0" xfId="0" applyFont="1" applyFill="1" applyBorder="1"/>
    <xf numFmtId="0" fontId="3" fillId="9" borderId="33" xfId="0" applyNumberFormat="1" applyFont="1" applyFill="1" applyBorder="1" applyAlignment="1">
      <alignment horizontal="left" vertical="center" wrapText="1"/>
    </xf>
    <xf numFmtId="0" fontId="3" fillId="9" borderId="33" xfId="0" applyNumberFormat="1" applyFont="1" applyFill="1" applyBorder="1" applyAlignment="1">
      <alignment horizontal="center" vertical="center" wrapText="1"/>
    </xf>
    <xf numFmtId="0" fontId="3" fillId="9" borderId="33" xfId="0" applyNumberFormat="1" applyFont="1" applyFill="1" applyBorder="1" applyAlignment="1">
      <alignment horizontal="justify" vertical="center" wrapText="1"/>
    </xf>
    <xf numFmtId="170" fontId="3" fillId="9" borderId="33" xfId="0" applyFont="1" applyFill="1" applyBorder="1" applyAlignment="1">
      <alignment horizontal="justify" vertical="center" wrapText="1"/>
    </xf>
    <xf numFmtId="170" fontId="3" fillId="9" borderId="33" xfId="0" applyFont="1" applyFill="1" applyBorder="1" applyAlignment="1">
      <alignment horizontal="center" vertical="center" wrapText="1"/>
    </xf>
    <xf numFmtId="170" fontId="3" fillId="9" borderId="33" xfId="0" applyFont="1" applyFill="1" applyBorder="1" applyAlignment="1">
      <alignment horizontal="center" vertical="center"/>
    </xf>
    <xf numFmtId="43" fontId="3" fillId="9" borderId="33" xfId="0" applyNumberFormat="1" applyFont="1" applyFill="1" applyBorder="1" applyAlignment="1">
      <alignment vertical="center"/>
    </xf>
    <xf numFmtId="43" fontId="3" fillId="9" borderId="20" xfId="0" applyNumberFormat="1" applyFont="1" applyFill="1" applyBorder="1" applyAlignment="1">
      <alignment vertical="center"/>
    </xf>
    <xf numFmtId="43" fontId="3" fillId="16" borderId="20" xfId="0" applyNumberFormat="1" applyFont="1" applyFill="1" applyBorder="1" applyAlignment="1">
      <alignment vertical="center"/>
    </xf>
    <xf numFmtId="43" fontId="3" fillId="16" borderId="41" xfId="0" applyNumberFormat="1" applyFont="1" applyFill="1" applyBorder="1" applyAlignment="1">
      <alignment horizontal="center" vertical="center"/>
    </xf>
    <xf numFmtId="43" fontId="3" fillId="7" borderId="41" xfId="8" applyFont="1" applyFill="1" applyBorder="1" applyAlignment="1">
      <alignment horizontal="center" vertical="center"/>
    </xf>
    <xf numFmtId="0" fontId="2" fillId="2" borderId="3" xfId="7" applyFont="1" applyFill="1" applyBorder="1" applyAlignment="1">
      <alignment horizontal="center" vertical="center" wrapText="1"/>
    </xf>
    <xf numFmtId="0" fontId="3" fillId="11" borderId="3" xfId="0" applyNumberFormat="1" applyFont="1" applyFill="1" applyBorder="1" applyAlignment="1">
      <alignment horizontal="left" vertical="center"/>
    </xf>
    <xf numFmtId="170" fontId="3" fillId="11" borderId="0" xfId="0" applyFont="1" applyFill="1"/>
    <xf numFmtId="0" fontId="3" fillId="4" borderId="38" xfId="0" applyNumberFormat="1" applyFont="1" applyFill="1" applyBorder="1" applyAlignment="1">
      <alignment horizontal="left" vertical="center"/>
    </xf>
    <xf numFmtId="0" fontId="3" fillId="4" borderId="39" xfId="0" applyNumberFormat="1" applyFont="1" applyFill="1" applyBorder="1" applyAlignment="1">
      <alignment horizontal="center" vertical="center"/>
    </xf>
    <xf numFmtId="170" fontId="3" fillId="4" borderId="39" xfId="0" applyFont="1" applyFill="1" applyBorder="1" applyAlignment="1">
      <alignment horizontal="center"/>
    </xf>
    <xf numFmtId="170" fontId="3" fillId="4" borderId="39" xfId="0" applyFont="1" applyFill="1" applyBorder="1" applyAlignment="1">
      <alignment horizontal="center" vertical="center"/>
    </xf>
    <xf numFmtId="170" fontId="3" fillId="4" borderId="40" xfId="0" applyFont="1" applyFill="1" applyBorder="1" applyAlignment="1">
      <alignment horizontal="center" vertical="center"/>
    </xf>
    <xf numFmtId="0" fontId="4" fillId="4" borderId="21" xfId="0" applyNumberFormat="1" applyFont="1" applyFill="1" applyBorder="1" applyAlignment="1">
      <alignment horizontal="center" vertical="center" wrapText="1"/>
    </xf>
    <xf numFmtId="3" fontId="0" fillId="0" borderId="0" xfId="0" applyNumberFormat="1" applyAlignment="1">
      <alignment horizontal="center"/>
    </xf>
    <xf numFmtId="178" fontId="0" fillId="0" borderId="0" xfId="0" applyNumberFormat="1"/>
    <xf numFmtId="170" fontId="2" fillId="0" borderId="0" xfId="0" applyFont="1" applyFill="1" applyAlignment="1">
      <alignment horizontal="center"/>
    </xf>
    <xf numFmtId="170" fontId="6" fillId="0" borderId="0" xfId="0" applyFont="1" applyAlignment="1">
      <alignment horizontal="center"/>
    </xf>
    <xf numFmtId="4" fontId="6" fillId="0" borderId="0" xfId="0" applyNumberFormat="1" applyFont="1" applyAlignment="1">
      <alignment horizontal="center"/>
    </xf>
    <xf numFmtId="170" fontId="6" fillId="0" borderId="0" xfId="0" applyFont="1" applyAlignment="1">
      <alignment wrapText="1"/>
    </xf>
    <xf numFmtId="170" fontId="6" fillId="0" borderId="0" xfId="0" applyFont="1" applyAlignment="1">
      <alignment horizontal="center" vertical="center"/>
    </xf>
    <xf numFmtId="0" fontId="16" fillId="5" borderId="43" xfId="0" applyNumberFormat="1" applyFont="1" applyFill="1" applyBorder="1" applyAlignment="1">
      <alignment horizontal="center" vertical="center"/>
    </xf>
    <xf numFmtId="0" fontId="16" fillId="5" borderId="43" xfId="0" applyNumberFormat="1" applyFont="1" applyFill="1" applyBorder="1" applyAlignment="1">
      <alignment horizontal="left" vertical="center"/>
    </xf>
    <xf numFmtId="0" fontId="2" fillId="0" borderId="13" xfId="0" applyNumberFormat="1" applyFont="1" applyFill="1" applyBorder="1" applyAlignment="1">
      <alignment horizontal="justify" vertical="center" wrapText="1"/>
    </xf>
    <xf numFmtId="0" fontId="16" fillId="5" borderId="13" xfId="0" applyNumberFormat="1" applyFont="1" applyFill="1" applyBorder="1" applyAlignment="1">
      <alignment horizontal="justify" vertical="center" wrapText="1"/>
    </xf>
    <xf numFmtId="43" fontId="16" fillId="5" borderId="13" xfId="0" applyNumberFormat="1" applyFont="1" applyFill="1" applyBorder="1" applyAlignment="1">
      <alignment horizontal="left" vertical="center"/>
    </xf>
    <xf numFmtId="43" fontId="16" fillId="5" borderId="13" xfId="0" applyNumberFormat="1" applyFont="1" applyFill="1" applyBorder="1" applyAlignment="1">
      <alignment horizontal="center" vertical="center"/>
    </xf>
    <xf numFmtId="0" fontId="34" fillId="5" borderId="13" xfId="0" applyNumberFormat="1" applyFont="1" applyFill="1" applyBorder="1" applyAlignment="1">
      <alignment horizontal="center" vertical="center"/>
    </xf>
    <xf numFmtId="0" fontId="16" fillId="5" borderId="13" xfId="0" applyNumberFormat="1" applyFont="1" applyFill="1" applyBorder="1" applyAlignment="1">
      <alignment horizontal="center" vertical="center" wrapText="1"/>
    </xf>
    <xf numFmtId="170" fontId="16" fillId="5" borderId="13" xfId="0" applyFont="1" applyFill="1" applyBorder="1" applyAlignment="1">
      <alignment horizontal="justify" vertical="center" wrapText="1"/>
    </xf>
    <xf numFmtId="170" fontId="34" fillId="5" borderId="13" xfId="0" applyFont="1" applyFill="1" applyBorder="1" applyAlignment="1">
      <alignment horizontal="center" vertical="center"/>
    </xf>
    <xf numFmtId="170" fontId="34" fillId="2" borderId="0" xfId="0" applyFont="1" applyFill="1"/>
    <xf numFmtId="170" fontId="34" fillId="0" borderId="0" xfId="0" applyFont="1"/>
    <xf numFmtId="0" fontId="3" fillId="6" borderId="15" xfId="0" applyNumberFormat="1" applyFont="1" applyFill="1" applyBorder="1" applyAlignment="1">
      <alignment horizontal="left" vertical="center" wrapText="1"/>
    </xf>
    <xf numFmtId="0" fontId="3" fillId="6" borderId="18" xfId="0" applyNumberFormat="1" applyFont="1" applyFill="1" applyBorder="1" applyAlignment="1">
      <alignment vertical="center"/>
    </xf>
    <xf numFmtId="0" fontId="3" fillId="6" borderId="16" xfId="0" applyNumberFormat="1" applyFont="1" applyFill="1" applyBorder="1" applyAlignment="1">
      <alignment vertical="center"/>
    </xf>
    <xf numFmtId="0" fontId="3" fillId="17" borderId="16" xfId="0" applyNumberFormat="1" applyFont="1" applyFill="1" applyBorder="1" applyAlignment="1">
      <alignment horizontal="left" vertical="center"/>
    </xf>
    <xf numFmtId="170" fontId="16" fillId="5" borderId="43" xfId="0" applyFont="1" applyFill="1" applyBorder="1" applyAlignment="1">
      <alignment horizontal="center" vertical="center"/>
    </xf>
    <xf numFmtId="0" fontId="16" fillId="5" borderId="43" xfId="0" applyNumberFormat="1" applyFont="1" applyFill="1" applyBorder="1" applyAlignment="1">
      <alignment horizontal="justify" vertical="center" wrapText="1"/>
    </xf>
    <xf numFmtId="0" fontId="34" fillId="5" borderId="43" xfId="0" applyNumberFormat="1" applyFont="1" applyFill="1" applyBorder="1" applyAlignment="1">
      <alignment horizontal="center" vertical="center"/>
    </xf>
    <xf numFmtId="0" fontId="16" fillId="5" borderId="43" xfId="0" applyNumberFormat="1" applyFont="1" applyFill="1" applyBorder="1" applyAlignment="1">
      <alignment horizontal="center" vertical="center" wrapText="1"/>
    </xf>
    <xf numFmtId="170" fontId="16" fillId="5" borderId="43" xfId="0" applyFont="1" applyFill="1" applyBorder="1" applyAlignment="1">
      <alignment horizontal="justify" vertical="center" wrapText="1"/>
    </xf>
    <xf numFmtId="170" fontId="34" fillId="5" borderId="43" xfId="0" applyFont="1" applyFill="1" applyBorder="1" applyAlignment="1">
      <alignment horizontal="center" vertical="center"/>
    </xf>
    <xf numFmtId="43" fontId="16" fillId="5" borderId="43" xfId="0" applyNumberFormat="1" applyFont="1" applyFill="1" applyBorder="1" applyAlignment="1">
      <alignment horizontal="left" vertical="center"/>
    </xf>
    <xf numFmtId="43" fontId="16" fillId="5" borderId="43" xfId="0" applyNumberFormat="1" applyFont="1" applyFill="1" applyBorder="1" applyAlignment="1">
      <alignment horizontal="center" vertical="center"/>
    </xf>
    <xf numFmtId="170" fontId="16" fillId="2" borderId="0" xfId="0" applyFont="1" applyFill="1" applyAlignment="1">
      <alignment vertical="center"/>
    </xf>
    <xf numFmtId="170" fontId="16" fillId="0" borderId="0" xfId="0" applyFont="1" applyAlignment="1">
      <alignment vertical="center"/>
    </xf>
    <xf numFmtId="43" fontId="16" fillId="5" borderId="13" xfId="8" applyFont="1" applyFill="1" applyBorder="1" applyAlignment="1">
      <alignment horizontal="center" vertical="center"/>
    </xf>
    <xf numFmtId="170" fontId="2" fillId="0" borderId="13" xfId="0" applyFont="1" applyFill="1" applyBorder="1" applyAlignment="1">
      <alignment horizontal="center" vertical="center" wrapText="1"/>
    </xf>
    <xf numFmtId="170" fontId="2" fillId="0" borderId="13" xfId="0" applyFont="1" applyFill="1" applyBorder="1" applyAlignment="1">
      <alignment horizontal="center" vertical="center"/>
    </xf>
    <xf numFmtId="170" fontId="2" fillId="0" borderId="13" xfId="0" applyFont="1" applyFill="1" applyBorder="1" applyAlignment="1">
      <alignment horizontal="justify" vertical="center" wrapText="1"/>
    </xf>
    <xf numFmtId="0" fontId="2" fillId="0" borderId="13" xfId="6" applyNumberFormat="1" applyFont="1" applyFill="1" applyBorder="1" applyAlignment="1">
      <alignment horizontal="justify" vertical="center" wrapText="1"/>
    </xf>
    <xf numFmtId="170" fontId="2" fillId="0" borderId="13" xfId="0" applyFont="1" applyBorder="1" applyAlignment="1">
      <alignment horizontal="justify" vertical="center" wrapText="1"/>
    </xf>
    <xf numFmtId="0" fontId="2" fillId="0" borderId="13" xfId="0" applyNumberFormat="1" applyFont="1" applyFill="1" applyBorder="1" applyAlignment="1">
      <alignment horizontal="justify" vertical="center" wrapText="1"/>
    </xf>
    <xf numFmtId="0" fontId="2" fillId="2" borderId="13" xfId="0" applyNumberFormat="1" applyFont="1" applyFill="1" applyBorder="1" applyAlignment="1">
      <alignment horizontal="justify" vertical="center" wrapText="1"/>
    </xf>
    <xf numFmtId="0" fontId="3" fillId="50" borderId="13" xfId="0" applyNumberFormat="1" applyFont="1" applyFill="1" applyBorder="1" applyAlignment="1">
      <alignment horizontal="center" vertical="center" wrapText="1"/>
    </xf>
    <xf numFmtId="0" fontId="2" fillId="0" borderId="17" xfId="7" applyFont="1" applyFill="1" applyBorder="1" applyAlignment="1">
      <alignment horizontal="center" vertical="center" wrapText="1"/>
    </xf>
    <xf numFmtId="0" fontId="1" fillId="0" borderId="3" xfId="59" applyFill="1" applyBorder="1" applyAlignment="1">
      <alignment horizontal="center" vertical="center"/>
    </xf>
    <xf numFmtId="49" fontId="2" fillId="0" borderId="0" xfId="0" applyNumberFormat="1" applyFont="1" applyFill="1" applyBorder="1" applyAlignment="1">
      <alignment horizontal="center" vertical="center" wrapText="1"/>
    </xf>
    <xf numFmtId="49" fontId="2" fillId="0" borderId="34" xfId="0" applyNumberFormat="1" applyFont="1" applyFill="1" applyBorder="1" applyAlignment="1">
      <alignment horizontal="center" vertical="center"/>
    </xf>
    <xf numFmtId="49" fontId="2" fillId="0" borderId="36" xfId="0" applyNumberFormat="1" applyFont="1" applyFill="1" applyBorder="1" applyAlignment="1">
      <alignment horizontal="center" vertical="center"/>
    </xf>
    <xf numFmtId="0" fontId="2" fillId="0" borderId="33" xfId="0" applyNumberFormat="1" applyFont="1" applyFill="1" applyBorder="1" applyAlignment="1" applyProtection="1">
      <alignment horizontal="justify" vertical="center" wrapText="1"/>
      <protection locked="0"/>
    </xf>
    <xf numFmtId="49" fontId="2" fillId="0" borderId="37" xfId="0" applyNumberFormat="1" applyFont="1" applyFill="1" applyBorder="1" applyAlignment="1">
      <alignment horizontal="center" vertical="center"/>
    </xf>
    <xf numFmtId="0" fontId="2" fillId="0" borderId="13" xfId="7" applyNumberFormat="1" applyFont="1" applyFill="1" applyBorder="1" applyAlignment="1">
      <alignment horizontal="center" vertical="center" wrapText="1"/>
    </xf>
    <xf numFmtId="172" fontId="2" fillId="0" borderId="15" xfId="5" applyNumberFormat="1" applyFont="1" applyFill="1" applyBorder="1" applyAlignment="1">
      <alignment horizontal="center" vertical="center" wrapText="1"/>
    </xf>
    <xf numFmtId="0" fontId="2" fillId="0" borderId="13" xfId="7" applyFont="1" applyFill="1" applyBorder="1" applyAlignment="1">
      <alignment horizontal="justify" vertical="center"/>
    </xf>
    <xf numFmtId="49" fontId="2" fillId="0" borderId="35" xfId="0" applyNumberFormat="1" applyFont="1" applyFill="1" applyBorder="1" applyAlignment="1">
      <alignment horizontal="center" vertical="center" wrapText="1"/>
    </xf>
    <xf numFmtId="10" fontId="0" fillId="0" borderId="0" xfId="282" applyNumberFormat="1" applyFont="1"/>
    <xf numFmtId="170" fontId="16" fillId="5" borderId="0" xfId="0" applyFont="1" applyFill="1"/>
    <xf numFmtId="170" fontId="16" fillId="5" borderId="0" xfId="0" applyFont="1" applyFill="1" applyAlignment="1">
      <alignment horizontal="center"/>
    </xf>
    <xf numFmtId="181" fontId="16" fillId="5" borderId="13" xfId="4" applyNumberFormat="1" applyFont="1" applyFill="1" applyBorder="1" applyAlignment="1">
      <alignment vertical="center"/>
    </xf>
    <xf numFmtId="9" fontId="16" fillId="5" borderId="13" xfId="0" applyNumberFormat="1" applyFont="1" applyFill="1" applyBorder="1" applyAlignment="1">
      <alignment horizontal="center" vertical="center"/>
    </xf>
    <xf numFmtId="170" fontId="0" fillId="0" borderId="3" xfId="0" applyBorder="1"/>
    <xf numFmtId="178" fontId="0" fillId="0" borderId="3" xfId="0" applyNumberFormat="1" applyBorder="1"/>
    <xf numFmtId="10" fontId="0" fillId="0" borderId="3" xfId="282" applyNumberFormat="1" applyFont="1" applyBorder="1" applyAlignment="1">
      <alignment horizontal="center"/>
    </xf>
    <xf numFmtId="170" fontId="10" fillId="5" borderId="3" xfId="0" applyFont="1" applyFill="1" applyBorder="1"/>
    <xf numFmtId="178" fontId="10" fillId="5" borderId="3" xfId="0" applyNumberFormat="1" applyFont="1" applyFill="1" applyBorder="1"/>
    <xf numFmtId="9" fontId="10" fillId="5" borderId="3" xfId="282" applyFont="1" applyFill="1" applyBorder="1" applyAlignment="1">
      <alignment horizontal="center"/>
    </xf>
    <xf numFmtId="3" fontId="10" fillId="5" borderId="3" xfId="0" applyNumberFormat="1" applyFont="1" applyFill="1" applyBorder="1" applyAlignment="1">
      <alignment horizontal="center"/>
    </xf>
    <xf numFmtId="0" fontId="14" fillId="51" borderId="13" xfId="0" applyNumberFormat="1" applyFont="1" applyFill="1" applyBorder="1" applyAlignment="1">
      <alignment horizontal="center" vertical="center" wrapText="1"/>
    </xf>
    <xf numFmtId="0" fontId="14" fillId="51" borderId="13" xfId="0" applyNumberFormat="1" applyFont="1" applyFill="1" applyBorder="1" applyAlignment="1">
      <alignment vertical="center"/>
    </xf>
    <xf numFmtId="181" fontId="14" fillId="51" borderId="13" xfId="4" applyNumberFormat="1" applyFont="1" applyFill="1" applyBorder="1" applyAlignment="1">
      <alignment vertical="center"/>
    </xf>
    <xf numFmtId="10" fontId="14" fillId="51" borderId="13" xfId="282" applyNumberFormat="1" applyFont="1" applyFill="1" applyBorder="1" applyAlignment="1">
      <alignment horizontal="center" vertical="center"/>
    </xf>
    <xf numFmtId="0" fontId="2" fillId="51" borderId="13" xfId="0" applyNumberFormat="1" applyFont="1" applyFill="1" applyBorder="1" applyAlignment="1">
      <alignment horizontal="center" vertical="center" wrapText="1"/>
    </xf>
    <xf numFmtId="0" fontId="2" fillId="51" borderId="13" xfId="0" applyNumberFormat="1" applyFont="1" applyFill="1" applyBorder="1" applyAlignment="1">
      <alignment vertical="center"/>
    </xf>
    <xf numFmtId="181" fontId="2" fillId="51" borderId="13" xfId="4" applyNumberFormat="1" applyFont="1" applyFill="1" applyBorder="1" applyAlignment="1">
      <alignment vertical="center"/>
    </xf>
    <xf numFmtId="181" fontId="3" fillId="6" borderId="13" xfId="4" applyNumberFormat="1" applyFont="1" applyFill="1" applyBorder="1" applyAlignment="1">
      <alignment vertical="center"/>
    </xf>
    <xf numFmtId="0" fontId="2" fillId="51" borderId="13" xfId="0" applyNumberFormat="1" applyFont="1" applyFill="1" applyBorder="1" applyAlignment="1">
      <alignment vertical="center" wrapText="1"/>
    </xf>
    <xf numFmtId="0" fontId="2" fillId="51" borderId="13" xfId="0" applyNumberFormat="1" applyFont="1" applyFill="1" applyBorder="1" applyAlignment="1">
      <alignment horizontal="justify" vertical="center" wrapText="1"/>
    </xf>
    <xf numFmtId="0" fontId="2" fillId="51" borderId="13" xfId="0" applyNumberFormat="1" applyFont="1" applyFill="1" applyBorder="1" applyAlignment="1">
      <alignment horizontal="justify" vertical="center"/>
    </xf>
    <xf numFmtId="0" fontId="3" fillId="4" borderId="13" xfId="0" applyNumberFormat="1" applyFont="1" applyFill="1" applyBorder="1" applyAlignment="1">
      <alignment horizontal="center" vertical="center" wrapText="1"/>
    </xf>
    <xf numFmtId="0" fontId="3" fillId="4" borderId="13" xfId="0" applyNumberFormat="1" applyFont="1" applyFill="1" applyBorder="1" applyAlignment="1">
      <alignment vertical="center"/>
    </xf>
    <xf numFmtId="181" fontId="3" fillId="4" borderId="13" xfId="4" applyNumberFormat="1" applyFont="1" applyFill="1" applyBorder="1" applyAlignment="1">
      <alignment vertical="center"/>
    </xf>
    <xf numFmtId="0" fontId="2" fillId="0" borderId="13" xfId="0" applyNumberFormat="1" applyFont="1" applyFill="1" applyBorder="1" applyAlignment="1">
      <alignment horizontal="justify" vertical="center" wrapText="1"/>
    </xf>
    <xf numFmtId="0" fontId="2" fillId="0" borderId="13" xfId="0" applyNumberFormat="1" applyFont="1" applyFill="1" applyBorder="1" applyAlignment="1">
      <alignment horizontal="justify" vertical="center" wrapText="1"/>
    </xf>
    <xf numFmtId="170" fontId="2" fillId="0" borderId="13" xfId="0" applyFont="1" applyFill="1" applyBorder="1" applyAlignment="1">
      <alignment horizontal="center" vertical="center" wrapText="1"/>
    </xf>
    <xf numFmtId="170" fontId="2" fillId="0" borderId="13" xfId="0" applyFont="1" applyFill="1" applyBorder="1" applyAlignment="1">
      <alignment horizontal="justify" vertical="center" wrapText="1"/>
    </xf>
    <xf numFmtId="0" fontId="2" fillId="0" borderId="16" xfId="0" applyNumberFormat="1" applyFont="1" applyFill="1" applyBorder="1" applyAlignment="1">
      <alignment horizontal="center" vertical="center" wrapText="1"/>
    </xf>
    <xf numFmtId="170" fontId="2" fillId="0" borderId="13" xfId="0" applyFont="1" applyFill="1" applyBorder="1" applyAlignment="1">
      <alignment horizontal="center" vertical="center" wrapText="1"/>
    </xf>
    <xf numFmtId="167" fontId="2" fillId="0" borderId="13" xfId="1" applyFont="1" applyFill="1" applyBorder="1"/>
    <xf numFmtId="167" fontId="2" fillId="0" borderId="13" xfId="1" applyFont="1" applyFill="1" applyBorder="1" applyAlignment="1">
      <alignment vertical="center" wrapText="1"/>
    </xf>
    <xf numFmtId="4" fontId="2" fillId="0" borderId="15" xfId="0" applyNumberFormat="1" applyFont="1" applyFill="1" applyBorder="1" applyAlignment="1">
      <alignment vertical="center"/>
    </xf>
    <xf numFmtId="3" fontId="6" fillId="0" borderId="62" xfId="0" applyNumberFormat="1" applyFont="1" applyFill="1" applyBorder="1" applyAlignment="1">
      <alignment horizontal="right" vertical="center" wrapText="1"/>
    </xf>
    <xf numFmtId="0" fontId="2" fillId="0" borderId="17" xfId="0" applyNumberFormat="1" applyFont="1" applyBorder="1" applyAlignment="1">
      <alignment horizontal="center" vertical="center" wrapText="1"/>
    </xf>
    <xf numFmtId="0" fontId="2" fillId="0" borderId="19" xfId="0" applyNumberFormat="1" applyFont="1" applyBorder="1" applyAlignment="1">
      <alignment horizontal="center" vertical="center" wrapText="1"/>
    </xf>
    <xf numFmtId="170" fontId="3" fillId="7" borderId="15" xfId="0" applyFont="1" applyFill="1" applyBorder="1" applyAlignment="1">
      <alignment horizontal="left" vertical="center"/>
    </xf>
    <xf numFmtId="170" fontId="3" fillId="7" borderId="18" xfId="0" applyFont="1" applyFill="1" applyBorder="1" applyAlignment="1">
      <alignment horizontal="left" vertical="center"/>
    </xf>
    <xf numFmtId="170" fontId="3" fillId="7" borderId="16" xfId="0" applyFont="1" applyFill="1" applyBorder="1" applyAlignment="1">
      <alignment horizontal="left" vertical="center"/>
    </xf>
    <xf numFmtId="0" fontId="2" fillId="0" borderId="13" xfId="0" applyNumberFormat="1" applyFont="1" applyBorder="1" applyAlignment="1">
      <alignment horizontal="justify" vertical="center" wrapText="1"/>
    </xf>
    <xf numFmtId="0" fontId="2" fillId="0" borderId="13" xfId="0" applyNumberFormat="1" applyFont="1" applyBorder="1" applyAlignment="1">
      <alignment horizontal="center" vertical="center" wrapText="1"/>
    </xf>
    <xf numFmtId="0" fontId="2" fillId="0" borderId="17" xfId="0" applyNumberFormat="1" applyFont="1" applyBorder="1" applyAlignment="1">
      <alignment horizontal="justify" vertical="center" wrapText="1"/>
    </xf>
    <xf numFmtId="0" fontId="2" fillId="0" borderId="24" xfId="0" applyNumberFormat="1" applyFont="1" applyBorder="1" applyAlignment="1">
      <alignment horizontal="justify" vertical="center" wrapText="1"/>
    </xf>
    <xf numFmtId="0" fontId="2" fillId="0" borderId="19" xfId="0" applyNumberFormat="1" applyFont="1" applyBorder="1" applyAlignment="1">
      <alignment horizontal="justify" vertical="center" wrapText="1"/>
    </xf>
    <xf numFmtId="0" fontId="3" fillId="9" borderId="20" xfId="0" applyNumberFormat="1" applyFont="1" applyFill="1" applyBorder="1" applyAlignment="1">
      <alignment horizontal="left" vertical="center" wrapText="1"/>
    </xf>
    <xf numFmtId="0" fontId="3" fillId="9" borderId="42" xfId="0" applyNumberFormat="1" applyFont="1" applyFill="1" applyBorder="1" applyAlignment="1">
      <alignment horizontal="left" vertical="center" wrapText="1"/>
    </xf>
    <xf numFmtId="0" fontId="3" fillId="9" borderId="32" xfId="0" applyNumberFormat="1" applyFont="1" applyFill="1" applyBorder="1" applyAlignment="1">
      <alignment horizontal="left" vertical="center" wrapText="1"/>
    </xf>
    <xf numFmtId="170" fontId="3" fillId="0" borderId="0" xfId="0" applyFont="1" applyAlignment="1">
      <alignment horizontal="center" vertical="center" wrapText="1"/>
    </xf>
    <xf numFmtId="170" fontId="3" fillId="0" borderId="0" xfId="0" applyFont="1" applyBorder="1" applyAlignment="1">
      <alignment horizontal="center" vertical="center" wrapText="1"/>
    </xf>
    <xf numFmtId="0" fontId="2" fillId="0" borderId="13" xfId="0" applyNumberFormat="1" applyFont="1" applyFill="1" applyBorder="1" applyAlignment="1">
      <alignment horizontal="justify" vertical="center" wrapText="1"/>
    </xf>
    <xf numFmtId="172" fontId="2" fillId="0" borderId="13" xfId="0" applyNumberFormat="1" applyFont="1" applyFill="1" applyBorder="1" applyAlignment="1">
      <alignment horizontal="justify" vertical="center" wrapText="1"/>
    </xf>
    <xf numFmtId="170" fontId="2" fillId="0" borderId="13" xfId="0" applyFont="1" applyBorder="1" applyAlignment="1">
      <alignment horizontal="justify" vertical="center" wrapText="1"/>
    </xf>
    <xf numFmtId="170" fontId="2" fillId="12" borderId="13" xfId="0" applyFont="1" applyFill="1" applyBorder="1" applyAlignment="1">
      <alignment horizontal="center" vertical="center" wrapText="1"/>
    </xf>
    <xf numFmtId="170" fontId="2" fillId="0" borderId="13" xfId="0" applyFont="1" applyFill="1" applyBorder="1" applyAlignment="1">
      <alignment horizontal="center" vertical="center" wrapText="1"/>
    </xf>
    <xf numFmtId="0" fontId="2" fillId="2" borderId="13" xfId="0" applyNumberFormat="1" applyFont="1" applyFill="1" applyBorder="1" applyAlignment="1">
      <alignment horizontal="justify" vertical="center" wrapText="1"/>
    </xf>
    <xf numFmtId="170" fontId="2" fillId="12" borderId="13" xfId="0" applyFont="1" applyFill="1" applyBorder="1" applyAlignment="1">
      <alignment horizontal="justify" vertical="center" wrapText="1"/>
    </xf>
    <xf numFmtId="0" fontId="2" fillId="0" borderId="13" xfId="7" applyNumberFormat="1" applyFont="1" applyBorder="1" applyAlignment="1">
      <alignment horizontal="justify" vertical="center" wrapText="1"/>
    </xf>
    <xf numFmtId="0" fontId="2" fillId="0" borderId="13" xfId="7" applyFont="1" applyBorder="1" applyAlignment="1">
      <alignment horizontal="justify" vertical="center" wrapText="1"/>
    </xf>
    <xf numFmtId="170" fontId="2" fillId="2" borderId="13" xfId="0" applyFont="1" applyFill="1" applyBorder="1" applyAlignment="1">
      <alignment horizontal="justify" vertical="center" wrapText="1"/>
    </xf>
    <xf numFmtId="49" fontId="2" fillId="2" borderId="13" xfId="0" applyNumberFormat="1" applyFont="1" applyFill="1" applyBorder="1" applyAlignment="1">
      <alignment horizontal="justify" vertical="center" wrapText="1"/>
    </xf>
    <xf numFmtId="0" fontId="2" fillId="12" borderId="13" xfId="0" applyNumberFormat="1" applyFont="1" applyFill="1" applyBorder="1" applyAlignment="1">
      <alignment horizontal="justify" vertical="center" wrapText="1"/>
    </xf>
    <xf numFmtId="49" fontId="2" fillId="0" borderId="13" xfId="0" applyNumberFormat="1" applyFont="1" applyBorder="1" applyAlignment="1">
      <alignment horizontal="justify" vertical="center" wrapText="1"/>
    </xf>
    <xf numFmtId="0" fontId="2" fillId="2" borderId="17" xfId="0" applyNumberFormat="1" applyFont="1" applyFill="1" applyBorder="1" applyAlignment="1">
      <alignment horizontal="justify" vertical="center" wrapText="1"/>
    </xf>
    <xf numFmtId="0" fontId="2" fillId="2" borderId="24" xfId="0" applyNumberFormat="1" applyFont="1" applyFill="1" applyBorder="1" applyAlignment="1">
      <alignment horizontal="justify" vertical="center" wrapText="1"/>
    </xf>
    <xf numFmtId="0" fontId="2" fillId="2" borderId="19" xfId="0" applyNumberFormat="1" applyFont="1" applyFill="1" applyBorder="1" applyAlignment="1">
      <alignment horizontal="justify" vertical="center" wrapText="1"/>
    </xf>
    <xf numFmtId="170" fontId="2" fillId="0" borderId="13" xfId="0" applyFont="1" applyFill="1" applyBorder="1" applyAlignment="1">
      <alignment horizontal="justify" vertical="center" wrapText="1"/>
    </xf>
    <xf numFmtId="170" fontId="2" fillId="12" borderId="13" xfId="0" applyFont="1" applyFill="1" applyBorder="1" applyAlignment="1">
      <alignment horizontal="center" vertical="center"/>
    </xf>
    <xf numFmtId="170" fontId="2" fillId="0" borderId="17" xfId="0" applyFont="1" applyFill="1" applyBorder="1" applyAlignment="1">
      <alignment horizontal="justify" vertical="center" wrapText="1"/>
    </xf>
    <xf numFmtId="170" fontId="2" fillId="0" borderId="19" xfId="0" applyFont="1" applyFill="1" applyBorder="1" applyAlignment="1">
      <alignment horizontal="justify" vertical="center" wrapText="1"/>
    </xf>
    <xf numFmtId="0" fontId="2" fillId="0" borderId="13" xfId="6" applyNumberFormat="1" applyFont="1" applyFill="1" applyBorder="1" applyAlignment="1">
      <alignment horizontal="justify" vertical="center" wrapText="1"/>
    </xf>
    <xf numFmtId="170" fontId="2" fillId="0" borderId="13" xfId="0" applyFont="1" applyFill="1" applyBorder="1" applyAlignment="1">
      <alignment horizontal="center" vertical="center"/>
    </xf>
    <xf numFmtId="170" fontId="2" fillId="0" borderId="17" xfId="0" applyFont="1" applyBorder="1" applyAlignment="1">
      <alignment horizontal="justify" vertical="center" wrapText="1"/>
    </xf>
    <xf numFmtId="170" fontId="2" fillId="0" borderId="19" xfId="0" applyFont="1" applyBorder="1" applyAlignment="1">
      <alignment horizontal="justify" vertical="center" wrapText="1"/>
    </xf>
    <xf numFmtId="170" fontId="2" fillId="0" borderId="13" xfId="0" applyFont="1" applyBorder="1" applyAlignment="1">
      <alignment horizontal="center" vertical="center" wrapText="1"/>
    </xf>
    <xf numFmtId="170" fontId="2" fillId="14" borderId="13" xfId="0" applyFont="1" applyFill="1" applyBorder="1" applyAlignment="1">
      <alignment horizontal="center" vertical="center" wrapText="1"/>
    </xf>
    <xf numFmtId="1" fontId="2" fillId="0" borderId="13" xfId="0" applyNumberFormat="1" applyFont="1" applyBorder="1" applyAlignment="1">
      <alignment horizontal="center" vertical="center"/>
    </xf>
    <xf numFmtId="0" fontId="3" fillId="6" borderId="15" xfId="0" applyNumberFormat="1" applyFont="1" applyFill="1" applyBorder="1" applyAlignment="1">
      <alignment horizontal="left" vertical="center" wrapText="1"/>
    </xf>
    <xf numFmtId="0" fontId="3" fillId="6" borderId="18" xfId="0" applyNumberFormat="1" applyFont="1" applyFill="1" applyBorder="1" applyAlignment="1">
      <alignment horizontal="left" vertical="center" wrapText="1"/>
    </xf>
    <xf numFmtId="0" fontId="3" fillId="6" borderId="16" xfId="0" applyNumberFormat="1" applyFont="1" applyFill="1" applyBorder="1" applyAlignment="1">
      <alignment horizontal="left" vertical="center" wrapText="1"/>
    </xf>
    <xf numFmtId="170" fontId="2" fillId="0" borderId="17" xfId="0" applyFont="1" applyFill="1" applyBorder="1" applyAlignment="1">
      <alignment horizontal="center" vertical="center" wrapText="1"/>
    </xf>
    <xf numFmtId="170" fontId="2" fillId="0" borderId="19" xfId="0" applyFont="1" applyFill="1" applyBorder="1" applyAlignment="1">
      <alignment horizontal="center" vertical="center" wrapText="1"/>
    </xf>
    <xf numFmtId="170" fontId="3" fillId="0" borderId="0" xfId="0" applyFont="1" applyBorder="1" applyAlignment="1">
      <alignment horizontal="center" vertical="top"/>
    </xf>
    <xf numFmtId="170" fontId="14" fillId="0" borderId="0" xfId="0" applyFont="1" applyBorder="1" applyAlignment="1">
      <alignment horizontal="center" vertical="top"/>
    </xf>
    <xf numFmtId="172" fontId="15" fillId="4" borderId="7" xfId="5" applyNumberFormat="1" applyFont="1" applyFill="1" applyBorder="1" applyAlignment="1">
      <alignment horizontal="center" vertical="center" wrapText="1"/>
    </xf>
    <xf numFmtId="172" fontId="15" fillId="4" borderId="8" xfId="5" applyNumberFormat="1" applyFont="1" applyFill="1" applyBorder="1" applyAlignment="1">
      <alignment horizontal="center" vertical="center" wrapText="1"/>
    </xf>
    <xf numFmtId="172" fontId="15" fillId="4" borderId="9" xfId="5" applyNumberFormat="1" applyFont="1" applyFill="1" applyBorder="1" applyAlignment="1">
      <alignment horizontal="center" vertical="center" wrapText="1"/>
    </xf>
    <xf numFmtId="170" fontId="15" fillId="4" borderId="7" xfId="0" applyFont="1" applyFill="1" applyBorder="1" applyAlignment="1">
      <alignment horizontal="center" vertical="center" wrapText="1"/>
    </xf>
    <xf numFmtId="170" fontId="15" fillId="4" borderId="9" xfId="0" applyFont="1" applyFill="1" applyBorder="1" applyAlignment="1">
      <alignment horizontal="center" vertical="center" wrapText="1"/>
    </xf>
    <xf numFmtId="170" fontId="29" fillId="4" borderId="3" xfId="0" applyFont="1" applyFill="1" applyBorder="1" applyAlignment="1">
      <alignment horizontal="center" vertical="center" wrapText="1"/>
    </xf>
    <xf numFmtId="170" fontId="29" fillId="4" borderId="3" xfId="0" applyFont="1" applyFill="1" applyBorder="1" applyAlignment="1">
      <alignment horizontal="center" vertical="center"/>
    </xf>
    <xf numFmtId="170" fontId="29" fillId="4" borderId="7" xfId="0" applyFont="1" applyFill="1" applyBorder="1" applyAlignment="1">
      <alignment horizontal="center" vertical="center" wrapText="1"/>
    </xf>
    <xf numFmtId="170" fontId="29" fillId="4" borderId="8" xfId="0" applyFont="1" applyFill="1" applyBorder="1" applyAlignment="1">
      <alignment horizontal="center" vertical="center"/>
    </xf>
    <xf numFmtId="170" fontId="29" fillId="4" borderId="9" xfId="0" applyFont="1" applyFill="1" applyBorder="1" applyAlignment="1">
      <alignment horizontal="center" vertical="center"/>
    </xf>
  </cellXfs>
  <cellStyles count="389">
    <cellStyle name="20% - Énfasis1" xfId="36" builtinId="30" customBuiltin="1"/>
    <cellStyle name="20% - Énfasis1 2" xfId="233"/>
    <cellStyle name="20% - Énfasis1 2 2" xfId="286"/>
    <cellStyle name="20% - Énfasis1 2 3" xfId="287"/>
    <cellStyle name="20% - Énfasis1 2 4" xfId="285"/>
    <cellStyle name="20% - Énfasis2" xfId="40" builtinId="34" customBuiltin="1"/>
    <cellStyle name="20% - Énfasis2 2" xfId="253"/>
    <cellStyle name="20% - Énfasis2 2 2" xfId="289"/>
    <cellStyle name="20% - Énfasis2 2 3" xfId="290"/>
    <cellStyle name="20% - Énfasis2 2 4" xfId="288"/>
    <cellStyle name="20% - Énfasis3" xfId="44" builtinId="38" customBuiltin="1"/>
    <cellStyle name="20% - Énfasis3 2" xfId="61"/>
    <cellStyle name="20% - Énfasis3 2 2" xfId="292"/>
    <cellStyle name="20% - Énfasis3 2 3" xfId="293"/>
    <cellStyle name="20% - Énfasis3 2 4" xfId="291"/>
    <cellStyle name="20% - Énfasis4" xfId="48" builtinId="42" customBuiltin="1"/>
    <cellStyle name="20% - Énfasis4 2" xfId="257"/>
    <cellStyle name="20% - Énfasis4 2 2" xfId="295"/>
    <cellStyle name="20% - Énfasis4 2 3" xfId="296"/>
    <cellStyle name="20% - Énfasis4 2 4" xfId="294"/>
    <cellStyle name="20% - Énfasis5" xfId="52" builtinId="46" customBuiltin="1"/>
    <cellStyle name="20% - Énfasis5 2" xfId="223"/>
    <cellStyle name="20% - Énfasis5 2 2" xfId="298"/>
    <cellStyle name="20% - Énfasis5 2 3" xfId="299"/>
    <cellStyle name="20% - Énfasis5 2 4" xfId="297"/>
    <cellStyle name="20% - Énfasis6" xfId="56" builtinId="50" customBuiltin="1"/>
    <cellStyle name="20% - Énfasis6 2" xfId="215"/>
    <cellStyle name="20% - Énfasis6 2 2" xfId="301"/>
    <cellStyle name="20% - Énfasis6 2 3" xfId="302"/>
    <cellStyle name="20% - Énfasis6 2 4" xfId="300"/>
    <cellStyle name="40% - Énfasis1" xfId="37" builtinId="31" customBuiltin="1"/>
    <cellStyle name="40% - Énfasis1 2" xfId="196"/>
    <cellStyle name="40% - Énfasis1 2 2" xfId="304"/>
    <cellStyle name="40% - Énfasis1 2 3" xfId="305"/>
    <cellStyle name="40% - Énfasis1 2 4" xfId="303"/>
    <cellStyle name="40% - Énfasis2" xfId="41" builtinId="35" customBuiltin="1"/>
    <cellStyle name="40% - Énfasis2 2" xfId="251"/>
    <cellStyle name="40% - Énfasis2 2 2" xfId="307"/>
    <cellStyle name="40% - Énfasis2 2 3" xfId="308"/>
    <cellStyle name="40% - Énfasis2 2 4" xfId="306"/>
    <cellStyle name="40% - Énfasis3" xfId="45" builtinId="39" customBuiltin="1"/>
    <cellStyle name="40% - Énfasis3 2" xfId="260"/>
    <cellStyle name="40% - Énfasis3 2 2" xfId="310"/>
    <cellStyle name="40% - Énfasis3 2 3" xfId="311"/>
    <cellStyle name="40% - Énfasis3 2 4" xfId="309"/>
    <cellStyle name="40% - Énfasis4" xfId="49" builtinId="43" customBuiltin="1"/>
    <cellStyle name="40% - Énfasis4 2" xfId="218"/>
    <cellStyle name="40% - Énfasis4 2 2" xfId="313"/>
    <cellStyle name="40% - Énfasis4 2 3" xfId="314"/>
    <cellStyle name="40% - Énfasis4 2 4" xfId="312"/>
    <cellStyle name="40% - Énfasis5" xfId="53" builtinId="47" customBuiltin="1"/>
    <cellStyle name="40% - Énfasis5 2" xfId="250"/>
    <cellStyle name="40% - Énfasis5 2 2" xfId="316"/>
    <cellStyle name="40% - Énfasis5 2 3" xfId="317"/>
    <cellStyle name="40% - Énfasis5 2 4" xfId="315"/>
    <cellStyle name="40% - Énfasis6" xfId="57" builtinId="51" customBuiltin="1"/>
    <cellStyle name="40% - Énfasis6 2" xfId="67"/>
    <cellStyle name="40% - Énfasis6 2 2" xfId="319"/>
    <cellStyle name="40% - Énfasis6 2 3" xfId="320"/>
    <cellStyle name="40% - Énfasis6 2 4" xfId="318"/>
    <cellStyle name="60% - Énfasis1" xfId="38" builtinId="32" customBuiltin="1"/>
    <cellStyle name="60% - Énfasis1 2" xfId="213"/>
    <cellStyle name="60% - Énfasis1 2 2" xfId="321"/>
    <cellStyle name="60% - Énfasis2" xfId="42" builtinId="36" customBuiltin="1"/>
    <cellStyle name="60% - Énfasis2 2" xfId="242"/>
    <cellStyle name="60% - Énfasis2 2 2" xfId="322"/>
    <cellStyle name="60% - Énfasis3" xfId="46" builtinId="40" customBuiltin="1"/>
    <cellStyle name="60% - Énfasis3 2" xfId="72"/>
    <cellStyle name="60% - Énfasis3 2 2" xfId="323"/>
    <cellStyle name="60% - Énfasis4" xfId="50" builtinId="44" customBuiltin="1"/>
    <cellStyle name="60% - Énfasis4 2" xfId="237"/>
    <cellStyle name="60% - Énfasis4 2 2" xfId="324"/>
    <cellStyle name="60% - Énfasis5" xfId="54" builtinId="48" customBuiltin="1"/>
    <cellStyle name="60% - Énfasis5 2" xfId="235"/>
    <cellStyle name="60% - Énfasis5 2 2" xfId="325"/>
    <cellStyle name="60% - Énfasis6" xfId="58" builtinId="52" customBuiltin="1"/>
    <cellStyle name="60% - Énfasis6 2" xfId="80"/>
    <cellStyle name="60% - Énfasis6 2 2" xfId="326"/>
    <cellStyle name="Buena 2" xfId="327"/>
    <cellStyle name="Cálculo" xfId="28" builtinId="22" customBuiltin="1"/>
    <cellStyle name="Cálculo 2" xfId="69"/>
    <cellStyle name="Cálculo 2 2" xfId="328"/>
    <cellStyle name="Celda de comprobación" xfId="30" builtinId="23" customBuiltin="1"/>
    <cellStyle name="Celda de comprobación 2" xfId="68"/>
    <cellStyle name="Celda de comprobación 2 2" xfId="329"/>
    <cellStyle name="Celda vinculada" xfId="29" builtinId="24" customBuiltin="1"/>
    <cellStyle name="Celda vinculada 2" xfId="171"/>
    <cellStyle name="Celda vinculada 2 2" xfId="330"/>
    <cellStyle name="Encabezado 1" xfId="20" builtinId="16" customBuiltin="1"/>
    <cellStyle name="Encabezado 4" xfId="23" builtinId="19" customBuiltin="1"/>
    <cellStyle name="Encabezado 4 2" xfId="201"/>
    <cellStyle name="Encabezado 4 2 2" xfId="331"/>
    <cellStyle name="Énfasis1" xfId="35" builtinId="29" customBuiltin="1"/>
    <cellStyle name="Énfasis1 2" xfId="224"/>
    <cellStyle name="Énfasis1 2 2" xfId="332"/>
    <cellStyle name="Énfasis2" xfId="39" builtinId="33" customBuiltin="1"/>
    <cellStyle name="Énfasis2 2" xfId="184"/>
    <cellStyle name="Énfasis2 2 2" xfId="333"/>
    <cellStyle name="Énfasis3" xfId="43" builtinId="37" customBuiltin="1"/>
    <cellStyle name="Énfasis3 2" xfId="173"/>
    <cellStyle name="Énfasis3 2 2" xfId="334"/>
    <cellStyle name="Énfasis4" xfId="47" builtinId="41" customBuiltin="1"/>
    <cellStyle name="Énfasis4 2" xfId="188"/>
    <cellStyle name="Énfasis4 2 2" xfId="335"/>
    <cellStyle name="Énfasis5" xfId="51" builtinId="45" customBuiltin="1"/>
    <cellStyle name="Énfasis5 2" xfId="265"/>
    <cellStyle name="Énfasis5 2 2" xfId="336"/>
    <cellStyle name="Énfasis6" xfId="55" builtinId="49" customBuiltin="1"/>
    <cellStyle name="Énfasis6 2" xfId="248"/>
    <cellStyle name="Énfasis6 2 2" xfId="337"/>
    <cellStyle name="Entrada" xfId="26" builtinId="20" customBuiltin="1"/>
    <cellStyle name="Entrada 2" xfId="181"/>
    <cellStyle name="Entrada 2 2" xfId="338"/>
    <cellStyle name="Euro" xfId="339"/>
    <cellStyle name="Euro 2" xfId="340"/>
    <cellStyle name="Excel Built-in Normal 2" xfId="119"/>
    <cellStyle name="Excel Built-in Normal 2 2" xfId="244"/>
    <cellStyle name="F2" xfId="341"/>
    <cellStyle name="F3" xfId="342"/>
    <cellStyle name="F4" xfId="343"/>
    <cellStyle name="F5" xfId="344"/>
    <cellStyle name="F6" xfId="345"/>
    <cellStyle name="F7" xfId="346"/>
    <cellStyle name="F8" xfId="347"/>
    <cellStyle name="Hipervínculo 2" xfId="192"/>
    <cellStyle name="Incorrecto" xfId="24" builtinId="27" customBuiltin="1"/>
    <cellStyle name="Incorrecto 2" xfId="254"/>
    <cellStyle name="Incorrecto 2 2" xfId="348"/>
    <cellStyle name="KPT04" xfId="6"/>
    <cellStyle name="KPT04 2" xfId="9"/>
    <cellStyle name="KPT04 2 2" xfId="261"/>
    <cellStyle name="KPT04 3" xfId="263"/>
    <cellStyle name="KPT04_Main" xfId="14"/>
    <cellStyle name="Millares" xfId="1" builtinId="3"/>
    <cellStyle name="Millares [0]" xfId="2" builtinId="6"/>
    <cellStyle name="Millares [0] 2" xfId="97"/>
    <cellStyle name="Millares [0] 2 2" xfId="160"/>
    <cellStyle name="Millares [0] 3" xfId="123"/>
    <cellStyle name="Millares [0] 4" xfId="164"/>
    <cellStyle name="Millares 2" xfId="5"/>
    <cellStyle name="Millares 2 2" xfId="8"/>
    <cellStyle name="Millares 2 2 2" xfId="12"/>
    <cellStyle name="Millares 2 2 2 2" xfId="95"/>
    <cellStyle name="Millares 2 2 2 2 2" xfId="159"/>
    <cellStyle name="Millares 2 3" xfId="349"/>
    <cellStyle name="Millares 2 4" xfId="103"/>
    <cellStyle name="Millares 2 4 2" xfId="166"/>
    <cellStyle name="Millares 3" xfId="115"/>
    <cellStyle name="Millares 3 2" xfId="124"/>
    <cellStyle name="Millares 3 3" xfId="121"/>
    <cellStyle name="Millares 4" xfId="120"/>
    <cellStyle name="Millares 6" xfId="122"/>
    <cellStyle name="Moneda" xfId="3" builtinId="4"/>
    <cellStyle name="Moneda [0]" xfId="4" builtinId="7"/>
    <cellStyle name="Moneda [0] 2" xfId="101"/>
    <cellStyle name="Moneda [0] 2 2" xfId="125"/>
    <cellStyle name="Moneda [0] 2 2 2" xfId="168"/>
    <cellStyle name="Moneda [0] 2 3" xfId="163"/>
    <cellStyle name="Moneda 10" xfId="139"/>
    <cellStyle name="Moneda 11" xfId="144"/>
    <cellStyle name="Moneda 12" xfId="145"/>
    <cellStyle name="Moneda 13" xfId="146"/>
    <cellStyle name="Moneda 14" xfId="147"/>
    <cellStyle name="Moneda 15" xfId="148"/>
    <cellStyle name="Moneda 16" xfId="149"/>
    <cellStyle name="Moneda 2" xfId="11"/>
    <cellStyle name="Moneda 2 2" xfId="102"/>
    <cellStyle name="Moneda 2 3" xfId="100"/>
    <cellStyle name="Moneda 2 4" xfId="131"/>
    <cellStyle name="Moneda 2 5" xfId="162"/>
    <cellStyle name="Moneda 3" xfId="13"/>
    <cellStyle name="Moneda 3 2" xfId="118"/>
    <cellStyle name="Moneda 4" xfId="130"/>
    <cellStyle name="Moneda 5" xfId="134"/>
    <cellStyle name="Moneda 6" xfId="135"/>
    <cellStyle name="Moneda 7" xfId="136"/>
    <cellStyle name="Moneda 8" xfId="138"/>
    <cellStyle name="Moneda 9" xfId="137"/>
    <cellStyle name="Neutral" xfId="25" builtinId="28" customBuiltin="1"/>
    <cellStyle name="Neutral 2" xfId="77"/>
    <cellStyle name="Neutral 2 2" xfId="350"/>
    <cellStyle name="Normal" xfId="0" builtinId="0"/>
    <cellStyle name="Normal 10" xfId="94"/>
    <cellStyle name="Normal 10 2" xfId="194"/>
    <cellStyle name="Normal 10 3" xfId="388"/>
    <cellStyle name="Normal 11" xfId="107"/>
    <cellStyle name="Normal 11 2" xfId="247"/>
    <cellStyle name="Normal 12" xfId="104"/>
    <cellStyle name="Normal 12 2" xfId="208"/>
    <cellStyle name="Normal 13" xfId="90"/>
    <cellStyle name="Normal 13 2" xfId="227"/>
    <cellStyle name="Normal 14" xfId="92"/>
    <cellStyle name="Normal 14 2" xfId="238"/>
    <cellStyle name="Normal 14 3" xfId="351"/>
    <cellStyle name="Normal 15" xfId="105"/>
    <cellStyle name="Normal 15 2" xfId="216"/>
    <cellStyle name="Normal 16" xfId="88"/>
    <cellStyle name="Normal 16 2" xfId="74"/>
    <cellStyle name="Normal 17" xfId="106"/>
    <cellStyle name="Normal 17 2" xfId="178"/>
    <cellStyle name="Normal 18" xfId="87"/>
    <cellStyle name="Normal 18 2" xfId="187"/>
    <cellStyle name="Normal 19" xfId="108"/>
    <cellStyle name="Normal 19 2" xfId="204"/>
    <cellStyle name="Normal 2" xfId="7"/>
    <cellStyle name="Normal 2 2" xfId="10"/>
    <cellStyle name="Normal 2 2 10" xfId="353"/>
    <cellStyle name="Normal 2 2 2" xfId="15"/>
    <cellStyle name="Normal 2 2 2 2" xfId="132"/>
    <cellStyle name="Normal 2 2 2 2 2" xfId="230"/>
    <cellStyle name="Normal 2 2 2 2 2 2" xfId="357"/>
    <cellStyle name="Normal 2 2 2 2 2 3" xfId="356"/>
    <cellStyle name="Normal 2 2 2 2 3" xfId="355"/>
    <cellStyle name="Normal 2 2 2 3" xfId="212"/>
    <cellStyle name="Normal 2 2 2 3 2" xfId="358"/>
    <cellStyle name="Normal 2 2 2 4" xfId="359"/>
    <cellStyle name="Normal 2 2 2 5" xfId="354"/>
    <cellStyle name="Normal 2 2 3" xfId="221"/>
    <cellStyle name="Normal 2 2 3 2" xfId="360"/>
    <cellStyle name="Normal 2 2 7" xfId="361"/>
    <cellStyle name="Normal 2 2 8" xfId="362"/>
    <cellStyle name="Normal 2 2 9" xfId="363"/>
    <cellStyle name="Normal 2 3" xfId="16"/>
    <cellStyle name="Normal 2 3 2" xfId="126"/>
    <cellStyle name="Normal 2 3 2 2" xfId="365"/>
    <cellStyle name="Normal 2 3 3" xfId="167"/>
    <cellStyle name="Normal 2 3 3 2" xfId="270"/>
    <cellStyle name="Normal 2 3 3 3" xfId="366"/>
    <cellStyle name="Normal 2 3 4" xfId="246"/>
    <cellStyle name="Normal 2 3 5" xfId="364"/>
    <cellStyle name="Normal 2 4" xfId="117"/>
    <cellStyle name="Normal 2 4 2" xfId="197"/>
    <cellStyle name="Normal 2 4 3" xfId="367"/>
    <cellStyle name="Normal 2 5" xfId="368"/>
    <cellStyle name="Normal 2 6" xfId="369"/>
    <cellStyle name="Normal 2 7" xfId="352"/>
    <cellStyle name="Normal 2_FUT INGRESOS 2010 Y FLS Y TESORERIA FLS AGOSTO 26" xfId="370"/>
    <cellStyle name="Normal 20" xfId="86"/>
    <cellStyle name="Normal 20 2" xfId="234"/>
    <cellStyle name="Normal 21" xfId="91"/>
    <cellStyle name="Normal 21 2" xfId="209"/>
    <cellStyle name="Normal 22" xfId="89"/>
    <cellStyle name="Normal 22 2" xfId="193"/>
    <cellStyle name="Normal 23" xfId="109"/>
    <cellStyle name="Normal 23 2" xfId="239"/>
    <cellStyle name="Normal 24" xfId="110"/>
    <cellStyle name="Normal 24 2" xfId="268"/>
    <cellStyle name="Normal 25" xfId="111"/>
    <cellStyle name="Normal 25 2" xfId="240"/>
    <cellStyle name="Normal 26" xfId="112"/>
    <cellStyle name="Normal 26 2" xfId="258"/>
    <cellStyle name="Normal 27" xfId="113"/>
    <cellStyle name="Normal 27 2" xfId="241"/>
    <cellStyle name="Normal 28" xfId="114"/>
    <cellStyle name="Normal 28 2" xfId="78"/>
    <cellStyle name="Normal 29" xfId="116"/>
    <cellStyle name="Normal 29 2" xfId="75"/>
    <cellStyle name="Normal 3" xfId="17"/>
    <cellStyle name="Normal 3 2" xfId="127"/>
    <cellStyle name="Normal 3 2 2" xfId="210"/>
    <cellStyle name="Normal 3 2 3" xfId="371"/>
    <cellStyle name="Normal 3 3" xfId="264"/>
    <cellStyle name="Normal 3 4" xfId="277"/>
    <cellStyle name="Normal 3 5" xfId="63"/>
    <cellStyle name="Normal 30" xfId="128"/>
    <cellStyle name="Normal 30 2" xfId="176"/>
    <cellStyle name="Normal 31" xfId="142"/>
    <cellStyle name="Normal 31 2" xfId="82"/>
    <cellStyle name="Normal 32" xfId="140"/>
    <cellStyle name="Normal 32 2" xfId="73"/>
    <cellStyle name="Normal 33" xfId="141"/>
    <cellStyle name="Normal 33 2" xfId="200"/>
    <cellStyle name="Normal 34" xfId="133"/>
    <cellStyle name="Normal 34 2" xfId="180"/>
    <cellStyle name="Normal 35" xfId="143"/>
    <cellStyle name="Normal 35 2" xfId="174"/>
    <cellStyle name="Normal 36" xfId="150"/>
    <cellStyle name="Normal 36 2" xfId="198"/>
    <cellStyle name="Normal 37" xfId="158"/>
    <cellStyle name="Normal 37 2" xfId="217"/>
    <cellStyle name="Normal 38" xfId="153"/>
    <cellStyle name="Normal 38 2" xfId="243"/>
    <cellStyle name="Normal 39" xfId="161"/>
    <cellStyle name="Normal 39 2" xfId="189"/>
    <cellStyle name="Normal 4" xfId="84"/>
    <cellStyle name="Normal 4 2" xfId="262"/>
    <cellStyle name="Normal 4 2 2" xfId="373"/>
    <cellStyle name="Normal 4 3" xfId="372"/>
    <cellStyle name="Normal 40" xfId="151"/>
    <cellStyle name="Normal 40 2" xfId="179"/>
    <cellStyle name="Normal 41" xfId="165"/>
    <cellStyle name="Normal 41 2" xfId="222"/>
    <cellStyle name="Normal 42" xfId="169"/>
    <cellStyle name="Normal 42 2" xfId="272"/>
    <cellStyle name="Normal 43" xfId="157"/>
    <cellStyle name="Normal 43 2" xfId="183"/>
    <cellStyle name="Normal 44" xfId="154"/>
    <cellStyle name="Normal 44 2" xfId="185"/>
    <cellStyle name="Normal 45" xfId="155"/>
    <cellStyle name="Normal 45 2" xfId="259"/>
    <cellStyle name="Normal 46" xfId="152"/>
    <cellStyle name="Normal 46 2" xfId="236"/>
    <cellStyle name="Normal 47" xfId="156"/>
    <cellStyle name="Normal 47 2" xfId="232"/>
    <cellStyle name="Normal 48" xfId="60"/>
    <cellStyle name="Normal 49" xfId="71"/>
    <cellStyle name="Normal 5" xfId="93"/>
    <cellStyle name="Normal 5 2" xfId="186"/>
    <cellStyle name="Normal 5 3" xfId="374"/>
    <cellStyle name="Normal 50" xfId="79"/>
    <cellStyle name="Normal 51" xfId="211"/>
    <cellStyle name="Normal 52" xfId="219"/>
    <cellStyle name="Normal 53" xfId="175"/>
    <cellStyle name="Normal 54" xfId="191"/>
    <cellStyle name="Normal 55" xfId="214"/>
    <cellStyle name="Normal 56" xfId="170"/>
    <cellStyle name="Normal 57" xfId="226"/>
    <cellStyle name="Normal 58" xfId="76"/>
    <cellStyle name="Normal 59" xfId="207"/>
    <cellStyle name="Normal 6" xfId="19"/>
    <cellStyle name="Normal 6 2" xfId="70"/>
    <cellStyle name="Normal 60" xfId="228"/>
    <cellStyle name="Normal 61" xfId="195"/>
    <cellStyle name="Normal 62" xfId="182"/>
    <cellStyle name="Normal 63" xfId="81"/>
    <cellStyle name="Normal 64" xfId="172"/>
    <cellStyle name="Normal 65" xfId="199"/>
    <cellStyle name="Normal 66" xfId="206"/>
    <cellStyle name="Normal 67" xfId="229"/>
    <cellStyle name="Normal 68" xfId="256"/>
    <cellStyle name="Normal 69" xfId="266"/>
    <cellStyle name="Normal 7" xfId="18"/>
    <cellStyle name="Normal 7 2" xfId="225"/>
    <cellStyle name="Normal 7 3" xfId="375"/>
    <cellStyle name="Normal 70" xfId="267"/>
    <cellStyle name="Normal 71" xfId="245"/>
    <cellStyle name="Normal 72" xfId="202"/>
    <cellStyle name="Normal 73" xfId="278"/>
    <cellStyle name="Normal 74" xfId="271"/>
    <cellStyle name="Normal 75" xfId="280"/>
    <cellStyle name="Normal 76" xfId="66"/>
    <cellStyle name="Normal 77" xfId="275"/>
    <cellStyle name="Normal 78" xfId="276"/>
    <cellStyle name="Normal 79" xfId="273"/>
    <cellStyle name="Normal 8" xfId="85"/>
    <cellStyle name="Normal 8 2" xfId="83"/>
    <cellStyle name="Normal 8 3" xfId="376"/>
    <cellStyle name="Normal 80" xfId="279"/>
    <cellStyle name="Normal 81" xfId="177"/>
    <cellStyle name="Normal 82" xfId="274"/>
    <cellStyle name="Normal 83" xfId="255"/>
    <cellStyle name="Normal 84" xfId="281"/>
    <cellStyle name="Normal 85" xfId="59"/>
    <cellStyle name="Normal 86" xfId="283"/>
    <cellStyle name="Normal 9" xfId="99"/>
    <cellStyle name="Normal 9 2" xfId="62"/>
    <cellStyle name="Normal 9 3" xfId="284"/>
    <cellStyle name="Notas" xfId="32" builtinId="10" customBuiltin="1"/>
    <cellStyle name="Notas 2" xfId="203"/>
    <cellStyle name="Notas 2 2" xfId="377"/>
    <cellStyle name="Notas 3" xfId="378"/>
    <cellStyle name="Porcentaje" xfId="282" builtinId="5"/>
    <cellStyle name="Porcentaje 2 2" xfId="96"/>
    <cellStyle name="Porcentaje 2 2 2" xfId="98"/>
    <cellStyle name="Porcentaje 2 3" xfId="129"/>
    <cellStyle name="Salida" xfId="27" builtinId="21" customBuiltin="1"/>
    <cellStyle name="Salida 2" xfId="205"/>
    <cellStyle name="Salida 2 2" xfId="379"/>
    <cellStyle name="TableStyleLight1" xfId="380"/>
    <cellStyle name="Texto de advertencia" xfId="31" builtinId="11" customBuiltin="1"/>
    <cellStyle name="Texto de advertencia 2" xfId="249"/>
    <cellStyle name="Texto de advertencia 2 2" xfId="381"/>
    <cellStyle name="Texto explicativo" xfId="33" builtinId="53" customBuiltin="1"/>
    <cellStyle name="Texto explicativo 2" xfId="252"/>
    <cellStyle name="Texto explicativo 2 2" xfId="382"/>
    <cellStyle name="Título 1 2" xfId="269"/>
    <cellStyle name="Título 1 2 2" xfId="383"/>
    <cellStyle name="Título 2" xfId="21" builtinId="17" customBuiltin="1"/>
    <cellStyle name="Título 2 2" xfId="65"/>
    <cellStyle name="Título 2 2 2" xfId="384"/>
    <cellStyle name="Título 3" xfId="22" builtinId="18" customBuiltin="1"/>
    <cellStyle name="Título 3 2" xfId="190"/>
    <cellStyle name="Título 3 2 2" xfId="385"/>
    <cellStyle name="Título 4" xfId="64"/>
    <cellStyle name="Título 4 2" xfId="386"/>
    <cellStyle name="Título 5" xfId="231"/>
    <cellStyle name="Total" xfId="34" builtinId="25" customBuiltin="1"/>
    <cellStyle name="Total 2" xfId="220"/>
    <cellStyle name="Total 2 2" xfId="387"/>
  </cellStyles>
  <dxfs count="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cat>
            <c:strRef>
              <c:f>'UNIDADES + FUENTE'!$M$115:$R$115</c:f>
              <c:strCache>
                <c:ptCount val="6"/>
                <c:pt idx="0">
                  <c:v>MONOPOLIO</c:v>
                </c:pt>
                <c:pt idx="1">
                  <c:v>SGP EDUCACION PS</c:v>
                </c:pt>
                <c:pt idx="2">
                  <c:v>SGP EDUCACION AP</c:v>
                </c:pt>
                <c:pt idx="3">
                  <c:v>FONDO RECURSO PAE</c:v>
                </c:pt>
                <c:pt idx="4">
                  <c:v>RECURSO ORDINARIO</c:v>
                </c:pt>
                <c:pt idx="5">
                  <c:v>TOTAL RECURSOS</c:v>
                </c:pt>
              </c:strCache>
            </c:strRef>
          </c:cat>
          <c:val>
            <c:numRef>
              <c:f>'UNIDADES + FUENTE'!$M$116:$R$116</c:f>
              <c:numCache>
                <c:formatCode>_([$$-240A]\ * #,##0.00_);_([$$-240A]\ * \(#,##0.00\);_([$$-240A]\ * "-"??_);_(@_)</c:formatCode>
                <c:ptCount val="6"/>
                <c:pt idx="0">
                  <c:v>1304977.49</c:v>
                </c:pt>
                <c:pt idx="1">
                  <c:v>143885000</c:v>
                </c:pt>
                <c:pt idx="2">
                  <c:v>25145000</c:v>
                </c:pt>
                <c:pt idx="3">
                  <c:v>12990000</c:v>
                </c:pt>
                <c:pt idx="4">
                  <c:v>5008147.2419999996</c:v>
                </c:pt>
                <c:pt idx="5">
                  <c:v>188333124.73199999</c:v>
                </c:pt>
              </c:numCache>
            </c:numRef>
          </c:val>
          <c:extLst xmlns:c16r2="http://schemas.microsoft.com/office/drawing/2015/06/chart">
            <c:ext xmlns:c16="http://schemas.microsoft.com/office/drawing/2014/chart" uri="{C3380CC4-5D6E-409C-BE32-E72D297353CC}">
              <c16:uniqueId val="{00000000-B669-4F8C-ABAA-EC8E0CEDD7E8}"/>
            </c:ext>
          </c:extLst>
        </c:ser>
        <c:ser>
          <c:idx val="1"/>
          <c:order val="1"/>
          <c:invertIfNegative val="0"/>
          <c:cat>
            <c:strRef>
              <c:f>'UNIDADES + FUENTE'!$M$115:$R$115</c:f>
              <c:strCache>
                <c:ptCount val="6"/>
                <c:pt idx="0">
                  <c:v>MONOPOLIO</c:v>
                </c:pt>
                <c:pt idx="1">
                  <c:v>SGP EDUCACION PS</c:v>
                </c:pt>
                <c:pt idx="2">
                  <c:v>SGP EDUCACION AP</c:v>
                </c:pt>
                <c:pt idx="3">
                  <c:v>FONDO RECURSO PAE</c:v>
                </c:pt>
                <c:pt idx="4">
                  <c:v>RECURSO ORDINARIO</c:v>
                </c:pt>
                <c:pt idx="5">
                  <c:v>TOTAL RECURSOS</c:v>
                </c:pt>
              </c:strCache>
            </c:strRef>
          </c:cat>
          <c:val>
            <c:numRef>
              <c:f>'UNIDADES + FUENTE'!$M$117:$R$117</c:f>
              <c:numCache>
                <c:formatCode>#,##0.00</c:formatCode>
                <c:ptCount val="6"/>
                <c:pt idx="0">
                  <c:v>0.69290916924837131</c:v>
                </c:pt>
                <c:pt idx="1">
                  <c:v>76.399199665353535</c:v>
                </c:pt>
                <c:pt idx="2">
                  <c:v>13.351342221811272</c:v>
                </c:pt>
                <c:pt idx="3">
                  <c:v>6.8973527723733703</c:v>
                </c:pt>
                <c:pt idx="4">
                  <c:v>2.6591961712134524</c:v>
                </c:pt>
                <c:pt idx="5">
                  <c:v>100</c:v>
                </c:pt>
              </c:numCache>
            </c:numRef>
          </c:val>
          <c:extLst xmlns:c16r2="http://schemas.microsoft.com/office/drawing/2015/06/chart">
            <c:ext xmlns:c16="http://schemas.microsoft.com/office/drawing/2014/chart" uri="{C3380CC4-5D6E-409C-BE32-E72D297353CC}">
              <c16:uniqueId val="{00000001-B669-4F8C-ABAA-EC8E0CEDD7E8}"/>
            </c:ext>
          </c:extLst>
        </c:ser>
        <c:dLbls>
          <c:showLegendKey val="0"/>
          <c:showVal val="0"/>
          <c:showCatName val="0"/>
          <c:showSerName val="0"/>
          <c:showPercent val="0"/>
          <c:showBubbleSize val="0"/>
        </c:dLbls>
        <c:gapWidth val="150"/>
        <c:shape val="box"/>
        <c:axId val="149326952"/>
        <c:axId val="100591000"/>
        <c:axId val="0"/>
      </c:bar3DChart>
      <c:catAx>
        <c:axId val="149326952"/>
        <c:scaling>
          <c:orientation val="minMax"/>
        </c:scaling>
        <c:delete val="0"/>
        <c:axPos val="b"/>
        <c:numFmt formatCode="General" sourceLinked="0"/>
        <c:majorTickMark val="none"/>
        <c:minorTickMark val="none"/>
        <c:tickLblPos val="nextTo"/>
        <c:crossAx val="100591000"/>
        <c:crosses val="autoZero"/>
        <c:auto val="1"/>
        <c:lblAlgn val="ctr"/>
        <c:lblOffset val="100"/>
        <c:noMultiLvlLbl val="0"/>
      </c:catAx>
      <c:valAx>
        <c:axId val="100591000"/>
        <c:scaling>
          <c:orientation val="minMax"/>
        </c:scaling>
        <c:delete val="0"/>
        <c:axPos val="l"/>
        <c:majorGridlines/>
        <c:title>
          <c:overlay val="0"/>
        </c:title>
        <c:numFmt formatCode="_([$$-240A]\ * #,##0.00_);_([$$-240A]\ * \(#,##0.00\);_([$$-240A]\ * &quot;-&quot;??_);_(@_)" sourceLinked="1"/>
        <c:majorTickMark val="none"/>
        <c:minorTickMark val="none"/>
        <c:tickLblPos val="nextTo"/>
        <c:crossAx val="149326952"/>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cat>
            <c:strRef>
              <c:f>'UNIDADES + FUENTE'!$M$148:$R$148</c:f>
              <c:strCache>
                <c:ptCount val="6"/>
                <c:pt idx="0">
                  <c:v>SGP SALUD</c:v>
                </c:pt>
                <c:pt idx="1">
                  <c:v>  
MONOPOLIO</c:v>
                </c:pt>
                <c:pt idx="2">
                  <c:v>R . CEDIDAS </c:v>
                </c:pt>
                <c:pt idx="3">
                  <c:v>ORDINARIO</c:v>
                </c:pt>
                <c:pt idx="4">
                  <c:v> 
NACION</c:v>
                </c:pt>
                <c:pt idx="5">
                  <c:v>TOTAL </c:v>
                </c:pt>
              </c:strCache>
            </c:strRef>
          </c:cat>
          <c:val>
            <c:numRef>
              <c:f>'UNIDADES + FUENTE'!$M$149:$R$149</c:f>
              <c:numCache>
                <c:formatCode>_([$$-240A]\ * #,##0.00_);_([$$-240A]\ * \(#,##0.00\);_([$$-240A]\ * "-"??_);_(@_)</c:formatCode>
                <c:ptCount val="6"/>
                <c:pt idx="0">
                  <c:v>6460193.5769999996</c:v>
                </c:pt>
                <c:pt idx="1">
                  <c:v>400000</c:v>
                </c:pt>
                <c:pt idx="2">
                  <c:v>35242837.560000002</c:v>
                </c:pt>
                <c:pt idx="3">
                  <c:v>1321980</c:v>
                </c:pt>
                <c:pt idx="4">
                  <c:v>2599166.997</c:v>
                </c:pt>
                <c:pt idx="5">
                  <c:v>46024178.134000003</c:v>
                </c:pt>
              </c:numCache>
            </c:numRef>
          </c:val>
          <c:extLst xmlns:c16r2="http://schemas.microsoft.com/office/drawing/2015/06/chart">
            <c:ext xmlns:c16="http://schemas.microsoft.com/office/drawing/2014/chart" uri="{C3380CC4-5D6E-409C-BE32-E72D297353CC}">
              <c16:uniqueId val="{00000000-45BE-48F8-87F0-CCF37413A7EB}"/>
            </c:ext>
          </c:extLst>
        </c:ser>
        <c:ser>
          <c:idx val="1"/>
          <c:order val="1"/>
          <c:invertIfNegative val="0"/>
          <c:cat>
            <c:strRef>
              <c:f>'UNIDADES + FUENTE'!$M$148:$R$148</c:f>
              <c:strCache>
                <c:ptCount val="6"/>
                <c:pt idx="0">
                  <c:v>SGP SALUD</c:v>
                </c:pt>
                <c:pt idx="1">
                  <c:v>  
MONOPOLIO</c:v>
                </c:pt>
                <c:pt idx="2">
                  <c:v>R . CEDIDAS </c:v>
                </c:pt>
                <c:pt idx="3">
                  <c:v>ORDINARIO</c:v>
                </c:pt>
                <c:pt idx="4">
                  <c:v> 
NACION</c:v>
                </c:pt>
                <c:pt idx="5">
                  <c:v>TOTAL </c:v>
                </c:pt>
              </c:strCache>
            </c:strRef>
          </c:cat>
          <c:val>
            <c:numRef>
              <c:f>'UNIDADES + FUENTE'!$M$150:$R$150</c:f>
              <c:numCache>
                <c:formatCode>_([$$-240A]\ * #,##0.00_);_([$$-240A]\ * \(#,##0.00\);_([$$-240A]\ * "-"??_);_(@_)</c:formatCode>
                <c:ptCount val="6"/>
                <c:pt idx="0">
                  <c:v>14.036521321882296</c:v>
                </c:pt>
                <c:pt idx="1">
                  <c:v>0.86910840392498634</c:v>
                </c:pt>
                <c:pt idx="2">
                  <c:v>76.574615753897916</c:v>
                </c:pt>
                <c:pt idx="3">
                  <c:v>2.8723598195518836</c:v>
                </c:pt>
                <c:pt idx="4">
                  <c:v>5.6473947007429253</c:v>
                </c:pt>
                <c:pt idx="5">
                  <c:v>100</c:v>
                </c:pt>
              </c:numCache>
            </c:numRef>
          </c:val>
          <c:extLst xmlns:c16r2="http://schemas.microsoft.com/office/drawing/2015/06/chart">
            <c:ext xmlns:c16="http://schemas.microsoft.com/office/drawing/2014/chart" uri="{C3380CC4-5D6E-409C-BE32-E72D297353CC}">
              <c16:uniqueId val="{00000001-45BE-48F8-87F0-CCF37413A7EB}"/>
            </c:ext>
          </c:extLst>
        </c:ser>
        <c:dLbls>
          <c:showLegendKey val="0"/>
          <c:showVal val="0"/>
          <c:showCatName val="0"/>
          <c:showSerName val="0"/>
          <c:showPercent val="0"/>
          <c:showBubbleSize val="0"/>
        </c:dLbls>
        <c:gapWidth val="150"/>
        <c:shape val="box"/>
        <c:axId val="217136656"/>
        <c:axId val="217137040"/>
        <c:axId val="0"/>
      </c:bar3DChart>
      <c:catAx>
        <c:axId val="217136656"/>
        <c:scaling>
          <c:orientation val="minMax"/>
        </c:scaling>
        <c:delete val="0"/>
        <c:axPos val="b"/>
        <c:numFmt formatCode="General" sourceLinked="0"/>
        <c:majorTickMark val="none"/>
        <c:minorTickMark val="none"/>
        <c:tickLblPos val="nextTo"/>
        <c:crossAx val="217137040"/>
        <c:crosses val="autoZero"/>
        <c:auto val="1"/>
        <c:lblAlgn val="ctr"/>
        <c:lblOffset val="100"/>
        <c:noMultiLvlLbl val="0"/>
      </c:catAx>
      <c:valAx>
        <c:axId val="217137040"/>
        <c:scaling>
          <c:orientation val="minMax"/>
        </c:scaling>
        <c:delete val="0"/>
        <c:axPos val="l"/>
        <c:majorGridlines/>
        <c:numFmt formatCode="_([$$-240A]\ * #,##0.00_);_([$$-240A]\ * \(#,##0.00\);_([$$-240A]\ * &quot;-&quot;??_);_(@_)" sourceLinked="1"/>
        <c:majorTickMark val="none"/>
        <c:minorTickMark val="none"/>
        <c:tickLblPos val="nextTo"/>
        <c:crossAx val="217136656"/>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cat>
            <c:strRef>
              <c:f>'UNIDADES + FUENTE'!$K$172:$N$172</c:f>
              <c:strCache>
                <c:ptCount val="4"/>
                <c:pt idx="0">
                  <c:v> ORDINARIO</c:v>
                </c:pt>
                <c:pt idx="1">
                  <c:v>OTROS RECURSOS</c:v>
                </c:pt>
                <c:pt idx="2">
                  <c:v>NACION</c:v>
                </c:pt>
                <c:pt idx="3">
                  <c:v>TOTAL </c:v>
                </c:pt>
              </c:strCache>
            </c:strRef>
          </c:cat>
          <c:val>
            <c:numRef>
              <c:f>'UNIDADES + FUENTE'!$K$173:$N$173</c:f>
              <c:numCache>
                <c:formatCode>_([$$-240A]\ * #,##0.00_);_([$$-240A]\ * \(#,##0.00\);_([$$-240A]\ * "-"??_);_(@_)</c:formatCode>
                <c:ptCount val="4"/>
                <c:pt idx="0">
                  <c:v>855248186</c:v>
                </c:pt>
                <c:pt idx="1">
                  <c:v>1638482068.22</c:v>
                </c:pt>
                <c:pt idx="2">
                  <c:v>1000000000</c:v>
                </c:pt>
                <c:pt idx="3">
                  <c:v>3493730254.2200003</c:v>
                </c:pt>
              </c:numCache>
            </c:numRef>
          </c:val>
          <c:extLst xmlns:c16r2="http://schemas.microsoft.com/office/drawing/2015/06/chart">
            <c:ext xmlns:c16="http://schemas.microsoft.com/office/drawing/2014/chart" uri="{C3380CC4-5D6E-409C-BE32-E72D297353CC}">
              <c16:uniqueId val="{00000000-01AB-4B0A-B56E-05A2899C91FB}"/>
            </c:ext>
          </c:extLst>
        </c:ser>
        <c:ser>
          <c:idx val="1"/>
          <c:order val="1"/>
          <c:invertIfNegative val="0"/>
          <c:cat>
            <c:strRef>
              <c:f>'UNIDADES + FUENTE'!$K$172:$N$172</c:f>
              <c:strCache>
                <c:ptCount val="4"/>
                <c:pt idx="0">
                  <c:v> ORDINARIO</c:v>
                </c:pt>
                <c:pt idx="1">
                  <c:v>OTROS RECURSOS</c:v>
                </c:pt>
                <c:pt idx="2">
                  <c:v>NACION</c:v>
                </c:pt>
                <c:pt idx="3">
                  <c:v>TOTAL </c:v>
                </c:pt>
              </c:strCache>
            </c:strRef>
          </c:cat>
          <c:val>
            <c:numRef>
              <c:f>'UNIDADES + FUENTE'!$K$174:$N$174</c:f>
              <c:numCache>
                <c:formatCode>_([$$-240A]\ * #,##0.00_);_([$$-240A]\ * \(#,##0.00\);_([$$-240A]\ * "-"??_);_(@_)</c:formatCode>
                <c:ptCount val="4"/>
                <c:pt idx="0">
                  <c:v>24.479513979849031</c:v>
                </c:pt>
                <c:pt idx="1">
                  <c:v>46.897784001524258</c:v>
                </c:pt>
                <c:pt idx="2">
                  <c:v>28.622702018626704</c:v>
                </c:pt>
                <c:pt idx="3">
                  <c:v>100</c:v>
                </c:pt>
              </c:numCache>
            </c:numRef>
          </c:val>
          <c:extLst xmlns:c16r2="http://schemas.microsoft.com/office/drawing/2015/06/chart">
            <c:ext xmlns:c16="http://schemas.microsoft.com/office/drawing/2014/chart" uri="{C3380CC4-5D6E-409C-BE32-E72D297353CC}">
              <c16:uniqueId val="{00000001-01AB-4B0A-B56E-05A2899C91FB}"/>
            </c:ext>
          </c:extLst>
        </c:ser>
        <c:dLbls>
          <c:showLegendKey val="0"/>
          <c:showVal val="0"/>
          <c:showCatName val="0"/>
          <c:showSerName val="0"/>
          <c:showPercent val="0"/>
          <c:showBubbleSize val="0"/>
        </c:dLbls>
        <c:gapWidth val="150"/>
        <c:shape val="box"/>
        <c:axId val="217220112"/>
        <c:axId val="217222544"/>
        <c:axId val="0"/>
      </c:bar3DChart>
      <c:catAx>
        <c:axId val="217220112"/>
        <c:scaling>
          <c:orientation val="minMax"/>
        </c:scaling>
        <c:delete val="0"/>
        <c:axPos val="b"/>
        <c:numFmt formatCode="General" sourceLinked="0"/>
        <c:majorTickMark val="none"/>
        <c:minorTickMark val="none"/>
        <c:tickLblPos val="nextTo"/>
        <c:crossAx val="217222544"/>
        <c:crosses val="autoZero"/>
        <c:auto val="1"/>
        <c:lblAlgn val="ctr"/>
        <c:lblOffset val="100"/>
        <c:noMultiLvlLbl val="0"/>
      </c:catAx>
      <c:valAx>
        <c:axId val="217222544"/>
        <c:scaling>
          <c:orientation val="minMax"/>
        </c:scaling>
        <c:delete val="0"/>
        <c:axPos val="l"/>
        <c:majorGridlines/>
        <c:numFmt formatCode="_([$$-240A]\ * #,##0.00_);_([$$-240A]\ * \(#,##0.00\);_([$$-240A]\ * &quot;-&quot;??_);_(@_)" sourceLinked="1"/>
        <c:majorTickMark val="none"/>
        <c:minorTickMark val="none"/>
        <c:tickLblPos val="nextTo"/>
        <c:crossAx val="217220112"/>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a:t>POAI VIGENCIA 2012</a:t>
            </a:r>
          </a:p>
          <a:p>
            <a:pPr>
              <a:defRPr sz="1200"/>
            </a:pPr>
            <a:r>
              <a:rPr lang="es-CO" sz="1200"/>
              <a:t>SECTOR</a:t>
            </a:r>
            <a:r>
              <a:rPr lang="es-CO" sz="1200" baseline="0"/>
              <a:t> CENTRAL</a:t>
            </a:r>
          </a:p>
          <a:p>
            <a:pPr>
              <a:defRPr sz="1200"/>
            </a:pPr>
            <a:r>
              <a:rPr lang="es-CO" sz="1200" baseline="0"/>
              <a:t>RECURSOS POR LINEA ESTRATÉGICA</a:t>
            </a:r>
            <a:endParaRPr lang="es-CO" sz="1200"/>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'EJE ESTRATEGICO'!$D$2</c:f>
              <c:strCache>
                <c:ptCount val="1"/>
                <c:pt idx="0">
                  <c:v>RECURSOS</c:v>
                </c:pt>
              </c:strCache>
            </c:strRef>
          </c:tx>
          <c:spPr>
            <a:solidFill>
              <a:srgbClr val="92D050"/>
            </a:solidFill>
            <a:ln>
              <a:noFill/>
            </a:ln>
            <a:effectLst/>
            <a:sp3d/>
          </c:spPr>
          <c:invertIfNegative val="0"/>
          <c:cat>
            <c:strRef>
              <c:f>'EJE ESTRATEGICO'!$C$3:$C$7</c:f>
              <c:strCache>
                <c:ptCount val="5"/>
                <c:pt idx="0">
                  <c:v>INCLUSIÓN SOCIAL Y EQUIDAD </c:v>
                </c:pt>
                <c:pt idx="1">
                  <c:v>PRODUCTIVIDAD Y COMPETITIVIDAD</c:v>
                </c:pt>
                <c:pt idx="2">
                  <c:v>TERRITORIO, AMBIENTE Y DESARROLLO SOSTENIBLE </c:v>
                </c:pt>
                <c:pt idx="3">
                  <c:v>LIDERAZGO, GOBERNABILIDAD Y TRANSPARENCIA </c:v>
                </c:pt>
                <c:pt idx="4">
                  <c:v>TOTAL</c:v>
                </c:pt>
              </c:strCache>
            </c:strRef>
          </c:cat>
          <c:val>
            <c:numRef>
              <c:f>'EJE ESTRATEGICO'!$D$3:$D$7</c:f>
              <c:numCache>
                <c:formatCode>_-"$"* #,##0.00_-;\-"$"* #,##0.00_-;_-"$"* "-"_-;_-@_-</c:formatCode>
                <c:ptCount val="5"/>
                <c:pt idx="0">
                  <c:v>248402753862</c:v>
                </c:pt>
                <c:pt idx="1">
                  <c:v>2774872304</c:v>
                </c:pt>
                <c:pt idx="2">
                  <c:v>5453259407</c:v>
                </c:pt>
                <c:pt idx="3">
                  <c:v>4988000000</c:v>
                </c:pt>
                <c:pt idx="4">
                  <c:v>261618885573</c:v>
                </c:pt>
              </c:numCache>
            </c:numRef>
          </c:val>
          <c:extLst xmlns:c16r2="http://schemas.microsoft.com/office/drawing/2015/06/chart">
            <c:ext xmlns:c16="http://schemas.microsoft.com/office/drawing/2014/chart" uri="{C3380CC4-5D6E-409C-BE32-E72D297353CC}">
              <c16:uniqueId val="{00000000-4679-4DC7-8B01-6ACDF0D1D6E7}"/>
            </c:ext>
          </c:extLst>
        </c:ser>
        <c:ser>
          <c:idx val="1"/>
          <c:order val="1"/>
          <c:tx>
            <c:strRef>
              <c:f>'EJE ESTRATEGICO'!$E$2</c:f>
              <c:strCache>
                <c:ptCount val="1"/>
                <c:pt idx="0">
                  <c:v>% PARTICIPACIÓN</c:v>
                </c:pt>
              </c:strCache>
            </c:strRef>
          </c:tx>
          <c:spPr>
            <a:noFill/>
            <a:ln>
              <a:noFill/>
            </a:ln>
            <a:effectLst/>
            <a:sp3d/>
          </c:spPr>
          <c:invertIfNegative val="0"/>
          <c:cat>
            <c:strRef>
              <c:f>'EJE ESTRATEGICO'!$C$3:$C$7</c:f>
              <c:strCache>
                <c:ptCount val="5"/>
                <c:pt idx="0">
                  <c:v>INCLUSIÓN SOCIAL Y EQUIDAD </c:v>
                </c:pt>
                <c:pt idx="1">
                  <c:v>PRODUCTIVIDAD Y COMPETITIVIDAD</c:v>
                </c:pt>
                <c:pt idx="2">
                  <c:v>TERRITORIO, AMBIENTE Y DESARROLLO SOSTENIBLE </c:v>
                </c:pt>
                <c:pt idx="3">
                  <c:v>LIDERAZGO, GOBERNABILIDAD Y TRANSPARENCIA </c:v>
                </c:pt>
                <c:pt idx="4">
                  <c:v>TOTAL</c:v>
                </c:pt>
              </c:strCache>
            </c:strRef>
          </c:cat>
          <c:val>
            <c:numRef>
              <c:f>'EJE ESTRATEGICO'!$E$3:$E$7</c:f>
              <c:numCache>
                <c:formatCode>0.00%</c:formatCode>
                <c:ptCount val="5"/>
                <c:pt idx="0">
                  <c:v>0.94948326577397535</c:v>
                </c:pt>
                <c:pt idx="1">
                  <c:v>1.060654431702226E-2</c:v>
                </c:pt>
                <c:pt idx="2">
                  <c:v>2.0844288037754701E-2</c:v>
                </c:pt>
                <c:pt idx="3">
                  <c:v>1.9065901871247706E-2</c:v>
                </c:pt>
                <c:pt idx="4" formatCode="0%">
                  <c:v>1</c:v>
                </c:pt>
              </c:numCache>
            </c:numRef>
          </c:val>
          <c:extLst xmlns:c16r2="http://schemas.microsoft.com/office/drawing/2015/06/chart">
            <c:ext xmlns:c16="http://schemas.microsoft.com/office/drawing/2014/chart" uri="{C3380CC4-5D6E-409C-BE32-E72D297353CC}">
              <c16:uniqueId val="{00000001-4679-4DC7-8B01-6ACDF0D1D6E7}"/>
            </c:ext>
          </c:extLst>
        </c:ser>
        <c:dLbls>
          <c:showLegendKey val="0"/>
          <c:showVal val="0"/>
          <c:showCatName val="0"/>
          <c:showSerName val="0"/>
          <c:showPercent val="0"/>
          <c:showBubbleSize val="0"/>
        </c:dLbls>
        <c:gapWidth val="150"/>
        <c:shape val="box"/>
        <c:axId val="149536048"/>
        <c:axId val="149536440"/>
        <c:axId val="0"/>
      </c:bar3DChart>
      <c:catAx>
        <c:axId val="1495360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9536440"/>
        <c:crosses val="autoZero"/>
        <c:auto val="1"/>
        <c:lblAlgn val="ctr"/>
        <c:lblOffset val="100"/>
        <c:noMultiLvlLbl val="0"/>
      </c:catAx>
      <c:valAx>
        <c:axId val="149536440"/>
        <c:scaling>
          <c:orientation val="minMax"/>
        </c:scaling>
        <c:delete val="0"/>
        <c:axPos val="l"/>
        <c:numFmt formatCode="_-&quot;$&quot;* #,##0.00_-;\-&quot;$&quot;* #,##0.0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95360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s-CO" sz="1200"/>
              <a:t>POAI VIGENCIA 2021</a:t>
            </a:r>
          </a:p>
          <a:p>
            <a:pPr>
              <a:defRPr sz="1200"/>
            </a:pPr>
            <a:r>
              <a:rPr lang="es-CO" sz="1200"/>
              <a:t>ENTES DESCENTRALIZADOSA</a:t>
            </a:r>
          </a:p>
          <a:p>
            <a:pPr>
              <a:defRPr sz="1200"/>
            </a:pPr>
            <a:r>
              <a:rPr lang="es-CO" sz="1200"/>
              <a:t>RECURSOS POR LINEA ESTRATÉGICA</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'EJE ESTRATEGICO'!$D$15</c:f>
              <c:strCache>
                <c:ptCount val="1"/>
                <c:pt idx="0">
                  <c:v>RECURSOS</c:v>
                </c:pt>
              </c:strCache>
            </c:strRef>
          </c:tx>
          <c:spPr>
            <a:solidFill>
              <a:srgbClr val="FFC000"/>
            </a:solidFill>
            <a:ln>
              <a:noFill/>
            </a:ln>
            <a:effectLst/>
            <a:sp3d/>
          </c:spPr>
          <c:invertIfNegative val="0"/>
          <c:cat>
            <c:strRef>
              <c:f>'EJE ESTRATEGICO'!$C$16:$C$18</c:f>
              <c:strCache>
                <c:ptCount val="3"/>
                <c:pt idx="0">
                  <c:v>INCLUSIÓN SOCIAL Y EQUIDAD </c:v>
                </c:pt>
                <c:pt idx="1">
                  <c:v>TERRITORIO, AMBIENTE Y DESARROLLO SOSTENIBLE </c:v>
                </c:pt>
                <c:pt idx="2">
                  <c:v>TOTAL</c:v>
                </c:pt>
              </c:strCache>
            </c:strRef>
          </c:cat>
          <c:val>
            <c:numRef>
              <c:f>'EJE ESTRATEGICO'!$D$16:$D$18</c:f>
              <c:numCache>
                <c:formatCode>_-"$"* #,##0.00_-;\-"$"* #,##0.00_-;_-"$"* "-"_-;_-@_-</c:formatCode>
                <c:ptCount val="3"/>
                <c:pt idx="0">
                  <c:v>4110335100.02</c:v>
                </c:pt>
                <c:pt idx="1">
                  <c:v>1518588353.2</c:v>
                </c:pt>
                <c:pt idx="2">
                  <c:v>5628923453.2200003</c:v>
                </c:pt>
              </c:numCache>
            </c:numRef>
          </c:val>
          <c:extLst xmlns:c16r2="http://schemas.microsoft.com/office/drawing/2015/06/chart">
            <c:ext xmlns:c16="http://schemas.microsoft.com/office/drawing/2014/chart" uri="{C3380CC4-5D6E-409C-BE32-E72D297353CC}">
              <c16:uniqueId val="{00000000-E58E-4DA3-8121-06529329D34E}"/>
            </c:ext>
          </c:extLst>
        </c:ser>
        <c:ser>
          <c:idx val="1"/>
          <c:order val="1"/>
          <c:tx>
            <c:strRef>
              <c:f>'EJE ESTRATEGICO'!$E$15</c:f>
              <c:strCache>
                <c:ptCount val="1"/>
                <c:pt idx="0">
                  <c:v>% PARTICIPACIÓN</c:v>
                </c:pt>
              </c:strCache>
            </c:strRef>
          </c:tx>
          <c:spPr>
            <a:noFill/>
            <a:ln>
              <a:noFill/>
            </a:ln>
            <a:effectLst/>
            <a:sp3d/>
          </c:spPr>
          <c:invertIfNegative val="0"/>
          <c:cat>
            <c:strRef>
              <c:f>'EJE ESTRATEGICO'!$C$16:$C$18</c:f>
              <c:strCache>
                <c:ptCount val="3"/>
                <c:pt idx="0">
                  <c:v>INCLUSIÓN SOCIAL Y EQUIDAD </c:v>
                </c:pt>
                <c:pt idx="1">
                  <c:v>TERRITORIO, AMBIENTE Y DESARROLLO SOSTENIBLE </c:v>
                </c:pt>
                <c:pt idx="2">
                  <c:v>TOTAL</c:v>
                </c:pt>
              </c:strCache>
            </c:strRef>
          </c:cat>
          <c:val>
            <c:numRef>
              <c:f>'EJE ESTRATEGICO'!$E$16:$E$18</c:f>
              <c:numCache>
                <c:formatCode>0.00%</c:formatCode>
                <c:ptCount val="3"/>
                <c:pt idx="0">
                  <c:v>0.7302169116669549</c:v>
                </c:pt>
                <c:pt idx="1">
                  <c:v>0.26978308833304498</c:v>
                </c:pt>
                <c:pt idx="2" formatCode="0%">
                  <c:v>0.99999999999999989</c:v>
                </c:pt>
              </c:numCache>
            </c:numRef>
          </c:val>
          <c:extLst xmlns:c16r2="http://schemas.microsoft.com/office/drawing/2015/06/chart">
            <c:ext xmlns:c16="http://schemas.microsoft.com/office/drawing/2014/chart" uri="{C3380CC4-5D6E-409C-BE32-E72D297353CC}">
              <c16:uniqueId val="{00000001-E58E-4DA3-8121-06529329D34E}"/>
            </c:ext>
          </c:extLst>
        </c:ser>
        <c:dLbls>
          <c:showLegendKey val="0"/>
          <c:showVal val="0"/>
          <c:showCatName val="0"/>
          <c:showSerName val="0"/>
          <c:showPercent val="0"/>
          <c:showBubbleSize val="0"/>
        </c:dLbls>
        <c:gapWidth val="150"/>
        <c:shape val="box"/>
        <c:axId val="216747520"/>
        <c:axId val="216747912"/>
        <c:axId val="0"/>
      </c:bar3DChart>
      <c:catAx>
        <c:axId val="2167475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216747912"/>
        <c:crosses val="autoZero"/>
        <c:auto val="1"/>
        <c:lblAlgn val="ctr"/>
        <c:lblOffset val="100"/>
        <c:noMultiLvlLbl val="0"/>
      </c:catAx>
      <c:valAx>
        <c:axId val="216747912"/>
        <c:scaling>
          <c:orientation val="minMax"/>
        </c:scaling>
        <c:delete val="0"/>
        <c:axPos val="l"/>
        <c:numFmt formatCode="_-&quot;$&quot;* #,##0.00_-;\-&quot;$&quot;* #,##0.0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21674752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s-CO" sz="1200"/>
              <a:t>DEPARTAMENTO QUINDIO</a:t>
            </a:r>
          </a:p>
          <a:p>
            <a:pPr>
              <a:defRPr sz="1200"/>
            </a:pPr>
            <a:r>
              <a:rPr lang="es-CO" sz="1200"/>
              <a:t>POAI VIGENCIA</a:t>
            </a:r>
            <a:r>
              <a:rPr lang="es-CO" sz="1200" baseline="0"/>
              <a:t> 2021</a:t>
            </a:r>
          </a:p>
          <a:p>
            <a:pPr>
              <a:defRPr sz="1200"/>
            </a:pPr>
            <a:r>
              <a:rPr lang="es-CO" sz="1200" baseline="0"/>
              <a:t>RECURSOS POR LINEA ESTRATEGICA</a:t>
            </a:r>
            <a:endParaRPr lang="es-CO" sz="1200"/>
          </a:p>
        </c:rich>
      </c:tx>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'EJE ESTRATEGICO'!$D$31</c:f>
              <c:strCache>
                <c:ptCount val="1"/>
                <c:pt idx="0">
                  <c:v>RECURSOS</c:v>
                </c:pt>
              </c:strCache>
            </c:strRef>
          </c:tx>
          <c:spPr>
            <a:solidFill>
              <a:srgbClr val="002060"/>
            </a:solidFill>
            <a:ln>
              <a:noFill/>
            </a:ln>
            <a:effectLst/>
            <a:sp3d/>
          </c:spPr>
          <c:invertIfNegative val="0"/>
          <c:cat>
            <c:strRef>
              <c:f>'EJE ESTRATEGICO'!$C$32:$C$36</c:f>
              <c:strCache>
                <c:ptCount val="5"/>
                <c:pt idx="0">
                  <c:v>INCLUSIÓN SOCIAL Y EQUIDAD </c:v>
                </c:pt>
                <c:pt idx="1">
                  <c:v>PRODUCTIVIDAD Y COMPETITIVIDAD</c:v>
                </c:pt>
                <c:pt idx="2">
                  <c:v>TERRITORIO, AMBIENTE Y DESARROLLO SOSTENIBLE </c:v>
                </c:pt>
                <c:pt idx="3">
                  <c:v>LIDERAZGO, GOBERNABILIDAD Y TRANSPARENCIA </c:v>
                </c:pt>
                <c:pt idx="4">
                  <c:v>TOTAL</c:v>
                </c:pt>
              </c:strCache>
            </c:strRef>
          </c:cat>
          <c:val>
            <c:numRef>
              <c:f>'EJE ESTRATEGICO'!$D$32:$D$36</c:f>
              <c:numCache>
                <c:formatCode>_-"$"* #,##0.00_-;\-"$"* #,##0.00_-;_-"$"* "-"_-;_-@_-</c:formatCode>
                <c:ptCount val="5"/>
                <c:pt idx="0">
                  <c:v>252513088962.01999</c:v>
                </c:pt>
                <c:pt idx="1">
                  <c:v>2774872304</c:v>
                </c:pt>
                <c:pt idx="2">
                  <c:v>6971847760.1999998</c:v>
                </c:pt>
                <c:pt idx="3">
                  <c:v>4988000000</c:v>
                </c:pt>
                <c:pt idx="4">
                  <c:v>267247809026.22</c:v>
                </c:pt>
              </c:numCache>
            </c:numRef>
          </c:val>
          <c:extLst xmlns:c16r2="http://schemas.microsoft.com/office/drawing/2015/06/chart">
            <c:ext xmlns:c16="http://schemas.microsoft.com/office/drawing/2014/chart" uri="{C3380CC4-5D6E-409C-BE32-E72D297353CC}">
              <c16:uniqueId val="{00000000-459F-4A0E-9F0B-18B6836C3BCF}"/>
            </c:ext>
          </c:extLst>
        </c:ser>
        <c:ser>
          <c:idx val="1"/>
          <c:order val="1"/>
          <c:tx>
            <c:strRef>
              <c:f>'EJE ESTRATEGICO'!$E$31</c:f>
              <c:strCache>
                <c:ptCount val="1"/>
                <c:pt idx="0">
                  <c:v>% PARTICIPACIÓN</c:v>
                </c:pt>
              </c:strCache>
            </c:strRef>
          </c:tx>
          <c:spPr>
            <a:noFill/>
            <a:ln>
              <a:noFill/>
            </a:ln>
            <a:effectLst/>
            <a:sp3d/>
          </c:spPr>
          <c:invertIfNegative val="0"/>
          <c:cat>
            <c:strRef>
              <c:f>'EJE ESTRATEGICO'!$C$32:$C$36</c:f>
              <c:strCache>
                <c:ptCount val="5"/>
                <c:pt idx="0">
                  <c:v>INCLUSIÓN SOCIAL Y EQUIDAD </c:v>
                </c:pt>
                <c:pt idx="1">
                  <c:v>PRODUCTIVIDAD Y COMPETITIVIDAD</c:v>
                </c:pt>
                <c:pt idx="2">
                  <c:v>TERRITORIO, AMBIENTE Y DESARROLLO SOSTENIBLE </c:v>
                </c:pt>
                <c:pt idx="3">
                  <c:v>LIDERAZGO, GOBERNABILIDAD Y TRANSPARENCIA </c:v>
                </c:pt>
                <c:pt idx="4">
                  <c:v>TOTAL</c:v>
                </c:pt>
              </c:strCache>
            </c:strRef>
          </c:cat>
          <c:val>
            <c:numRef>
              <c:f>'EJE ESTRATEGICO'!$E$32:$E$36</c:f>
              <c:numCache>
                <c:formatCode>0.00%</c:formatCode>
                <c:ptCount val="5"/>
                <c:pt idx="0">
                  <c:v>0.94486495467300768</c:v>
                </c:pt>
                <c:pt idx="1">
                  <c:v>1.0383143323460339E-2</c:v>
                </c:pt>
                <c:pt idx="2">
                  <c:v>2.6087576865844328E-2</c:v>
                </c:pt>
                <c:pt idx="3">
                  <c:v>1.8664325137687551E-2</c:v>
                </c:pt>
                <c:pt idx="4" formatCode="0%">
                  <c:v>0.99999999999999989</c:v>
                </c:pt>
              </c:numCache>
            </c:numRef>
          </c:val>
          <c:extLst xmlns:c16r2="http://schemas.microsoft.com/office/drawing/2015/06/chart">
            <c:ext xmlns:c16="http://schemas.microsoft.com/office/drawing/2014/chart" uri="{C3380CC4-5D6E-409C-BE32-E72D297353CC}">
              <c16:uniqueId val="{00000001-459F-4A0E-9F0B-18B6836C3BCF}"/>
            </c:ext>
          </c:extLst>
        </c:ser>
        <c:dLbls>
          <c:showLegendKey val="0"/>
          <c:showVal val="0"/>
          <c:showCatName val="0"/>
          <c:showSerName val="0"/>
          <c:showPercent val="0"/>
          <c:showBubbleSize val="0"/>
        </c:dLbls>
        <c:gapWidth val="150"/>
        <c:shape val="box"/>
        <c:axId val="216749480"/>
        <c:axId val="217681920"/>
        <c:axId val="0"/>
      </c:bar3DChart>
      <c:catAx>
        <c:axId val="2167494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217681920"/>
        <c:crosses val="autoZero"/>
        <c:auto val="1"/>
        <c:lblAlgn val="ctr"/>
        <c:lblOffset val="100"/>
        <c:noMultiLvlLbl val="0"/>
      </c:catAx>
      <c:valAx>
        <c:axId val="217681920"/>
        <c:scaling>
          <c:orientation val="minMax"/>
        </c:scaling>
        <c:delete val="0"/>
        <c:axPos val="l"/>
        <c:numFmt formatCode="_-&quot;$&quot;* #,##0.00_-;\-&quot;$&quot;* #,##0.0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21674948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spPr>
        <a:noFill/>
      </c:spPr>
    </c:floor>
    <c:sideWall>
      <c:thickness val="0"/>
    </c:sideWall>
    <c:backWall>
      <c:thickness val="0"/>
    </c:backWall>
    <c:plotArea>
      <c:layout/>
      <c:bar3DChart>
        <c:barDir val="col"/>
        <c:grouping val="clustered"/>
        <c:varyColors val="0"/>
        <c:ser>
          <c:idx val="0"/>
          <c:order val="0"/>
          <c:tx>
            <c:strRef>
              <c:f>'%PARTIC POR UNIDAD'!$D$3</c:f>
              <c:strCache>
                <c:ptCount val="1"/>
                <c:pt idx="0">
                  <c:v>PRESUPUESTO EN MILES $</c:v>
                </c:pt>
              </c:strCache>
            </c:strRef>
          </c:tx>
          <c:spPr>
            <a:solidFill>
              <a:schemeClr val="accent6">
                <a:lumMod val="50000"/>
              </a:schemeClr>
            </a:solidFill>
          </c:spPr>
          <c:invertIfNegative val="0"/>
          <c:cat>
            <c:strRef>
              <c:f>'%PARTIC POR UNIDAD'!$C$4:$C$17</c:f>
              <c:strCache>
                <c:ptCount val="14"/>
                <c:pt idx="0">
                  <c:v>ADMINISTRATIVA </c:v>
                </c:pt>
                <c:pt idx="1">
                  <c:v>PLANEACIÓN </c:v>
                </c:pt>
                <c:pt idx="2">
                  <c:v> HACIENDA</c:v>
                </c:pt>
                <c:pt idx="3">
                  <c:v>INFRAESTRUCTURA </c:v>
                </c:pt>
                <c:pt idx="4">
                  <c:v> INTERIOR </c:v>
                </c:pt>
                <c:pt idx="5">
                  <c:v>CULTURA </c:v>
                </c:pt>
                <c:pt idx="6">
                  <c:v>TURISMO ..</c:v>
                </c:pt>
                <c:pt idx="7">
                  <c:v>AGRICULTURA</c:v>
                </c:pt>
                <c:pt idx="8">
                  <c:v>PRIVADA </c:v>
                </c:pt>
                <c:pt idx="9">
                  <c:v> EDUCACIÓN </c:v>
                </c:pt>
                <c:pt idx="10">
                  <c:v>FAMILIA</c:v>
                </c:pt>
                <c:pt idx="11">
                  <c:v>SALUD</c:v>
                </c:pt>
                <c:pt idx="12">
                  <c:v>TIC</c:v>
                </c:pt>
                <c:pt idx="13">
                  <c:v>TOTAL</c:v>
                </c:pt>
              </c:strCache>
            </c:strRef>
          </c:cat>
          <c:val>
            <c:numRef>
              <c:f>'%PARTIC POR UNIDAD'!$D$4:$D$17</c:f>
              <c:numCache>
                <c:formatCode>_([$$-240A]\ * #,##0_);_([$$-240A]\ * \(#,##0\);_([$$-240A]\ * "-"??_);_(@_)</c:formatCode>
                <c:ptCount val="14"/>
                <c:pt idx="0">
                  <c:v>176000</c:v>
                </c:pt>
                <c:pt idx="1">
                  <c:v>983000</c:v>
                </c:pt>
                <c:pt idx="2">
                  <c:v>2090000</c:v>
                </c:pt>
                <c:pt idx="3">
                  <c:v>8002091.8159999996</c:v>
                </c:pt>
                <c:pt idx="4">
                  <c:v>2706182.7259999998</c:v>
                </c:pt>
                <c:pt idx="5">
                  <c:v>2529898.1009999998</c:v>
                </c:pt>
                <c:pt idx="6">
                  <c:v>1427372.304</c:v>
                </c:pt>
                <c:pt idx="7">
                  <c:v>2573248.1860000002</c:v>
                </c:pt>
                <c:pt idx="8">
                  <c:v>695000</c:v>
                </c:pt>
                <c:pt idx="9">
                  <c:v>188333124.73199999</c:v>
                </c:pt>
                <c:pt idx="10">
                  <c:v>5182789.574</c:v>
                </c:pt>
                <c:pt idx="11">
                  <c:v>46024178.134000003</c:v>
                </c:pt>
                <c:pt idx="12">
                  <c:v>896000</c:v>
                </c:pt>
                <c:pt idx="13">
                  <c:v>261618885.57300001</c:v>
                </c:pt>
              </c:numCache>
            </c:numRef>
          </c:val>
          <c:extLst xmlns:c16r2="http://schemas.microsoft.com/office/drawing/2015/06/chart">
            <c:ext xmlns:c16="http://schemas.microsoft.com/office/drawing/2014/chart" uri="{C3380CC4-5D6E-409C-BE32-E72D297353CC}">
              <c16:uniqueId val="{00000000-CE6E-494E-B6B6-DD6B2AE9D8AD}"/>
            </c:ext>
          </c:extLst>
        </c:ser>
        <c:ser>
          <c:idx val="1"/>
          <c:order val="1"/>
          <c:tx>
            <c:strRef>
              <c:f>'%PARTIC POR UNIDAD'!$E$3</c:f>
              <c:strCache>
                <c:ptCount val="1"/>
                <c:pt idx="0">
                  <c:v>%</c:v>
                </c:pt>
              </c:strCache>
            </c:strRef>
          </c:tx>
          <c:spPr>
            <a:noFill/>
          </c:spPr>
          <c:invertIfNegative val="0"/>
          <c:cat>
            <c:strRef>
              <c:f>'%PARTIC POR UNIDAD'!$C$4:$C$17</c:f>
              <c:strCache>
                <c:ptCount val="14"/>
                <c:pt idx="0">
                  <c:v>ADMINISTRATIVA </c:v>
                </c:pt>
                <c:pt idx="1">
                  <c:v>PLANEACIÓN </c:v>
                </c:pt>
                <c:pt idx="2">
                  <c:v> HACIENDA</c:v>
                </c:pt>
                <c:pt idx="3">
                  <c:v>INFRAESTRUCTURA </c:v>
                </c:pt>
                <c:pt idx="4">
                  <c:v> INTERIOR </c:v>
                </c:pt>
                <c:pt idx="5">
                  <c:v>CULTURA </c:v>
                </c:pt>
                <c:pt idx="6">
                  <c:v>TURISMO ..</c:v>
                </c:pt>
                <c:pt idx="7">
                  <c:v>AGRICULTURA</c:v>
                </c:pt>
                <c:pt idx="8">
                  <c:v>PRIVADA </c:v>
                </c:pt>
                <c:pt idx="9">
                  <c:v> EDUCACIÓN </c:v>
                </c:pt>
                <c:pt idx="10">
                  <c:v>FAMILIA</c:v>
                </c:pt>
                <c:pt idx="11">
                  <c:v>SALUD</c:v>
                </c:pt>
                <c:pt idx="12">
                  <c:v>TIC</c:v>
                </c:pt>
                <c:pt idx="13">
                  <c:v>TOTAL</c:v>
                </c:pt>
              </c:strCache>
            </c:strRef>
          </c:cat>
          <c:val>
            <c:numRef>
              <c:f>'%PARTIC POR UNIDAD'!$E$4:$E$17</c:f>
              <c:numCache>
                <c:formatCode>0.00%</c:formatCode>
                <c:ptCount val="14"/>
                <c:pt idx="0">
                  <c:v>6.7273430820761744E-4</c:v>
                </c:pt>
                <c:pt idx="1">
                  <c:v>3.7573740055004998E-3</c:v>
                </c:pt>
                <c:pt idx="2">
                  <c:v>7.9887199099654572E-3</c:v>
                </c:pt>
                <c:pt idx="3">
                  <c:v>3.058682785256021E-2</c:v>
                </c:pt>
                <c:pt idx="4">
                  <c:v>1.034398843215349E-2</c:v>
                </c:pt>
                <c:pt idx="5">
                  <c:v>9.6701661864318188E-3</c:v>
                </c:pt>
                <c:pt idx="6">
                  <c:v>5.4559222698076877E-3</c:v>
                </c:pt>
                <c:pt idx="7">
                  <c:v>9.8358655582682763E-3</c:v>
                </c:pt>
                <c:pt idx="8">
                  <c:v>2.6565360466153077E-3</c:v>
                </c:pt>
                <c:pt idx="9">
                  <c:v>0.71987587715432355</c:v>
                </c:pt>
                <c:pt idx="10">
                  <c:v>1.9810456583241719E-2</c:v>
                </c:pt>
                <c:pt idx="11">
                  <c:v>0.17592070248750369</c:v>
                </c:pt>
                <c:pt idx="12">
                  <c:v>3.424829205420598E-3</c:v>
                </c:pt>
                <c:pt idx="13" formatCode="0%">
                  <c:v>1</c:v>
                </c:pt>
              </c:numCache>
            </c:numRef>
          </c:val>
          <c:extLst xmlns:c16r2="http://schemas.microsoft.com/office/drawing/2015/06/chart">
            <c:ext xmlns:c16="http://schemas.microsoft.com/office/drawing/2014/chart" uri="{C3380CC4-5D6E-409C-BE32-E72D297353CC}">
              <c16:uniqueId val="{00000001-CE6E-494E-B6B6-DD6B2AE9D8AD}"/>
            </c:ext>
          </c:extLst>
        </c:ser>
        <c:dLbls>
          <c:showLegendKey val="0"/>
          <c:showVal val="0"/>
          <c:showCatName val="0"/>
          <c:showSerName val="0"/>
          <c:showPercent val="0"/>
          <c:showBubbleSize val="0"/>
        </c:dLbls>
        <c:gapWidth val="150"/>
        <c:shape val="box"/>
        <c:axId val="216749088"/>
        <c:axId val="217683096"/>
        <c:axId val="0"/>
      </c:bar3DChart>
      <c:catAx>
        <c:axId val="216749088"/>
        <c:scaling>
          <c:orientation val="minMax"/>
        </c:scaling>
        <c:delete val="0"/>
        <c:axPos val="b"/>
        <c:numFmt formatCode="General" sourceLinked="0"/>
        <c:majorTickMark val="none"/>
        <c:minorTickMark val="none"/>
        <c:tickLblPos val="nextTo"/>
        <c:crossAx val="217683096"/>
        <c:crosses val="autoZero"/>
        <c:auto val="1"/>
        <c:lblAlgn val="ctr"/>
        <c:lblOffset val="100"/>
        <c:noMultiLvlLbl val="0"/>
      </c:catAx>
      <c:valAx>
        <c:axId val="217683096"/>
        <c:scaling>
          <c:orientation val="minMax"/>
        </c:scaling>
        <c:delete val="0"/>
        <c:axPos val="l"/>
        <c:numFmt formatCode="_([$$-240A]\ * #,##0_);_([$$-240A]\ * \(#,##0\);_([$$-240A]\ * &quot;-&quot;??_);_(@_)" sourceLinked="1"/>
        <c:majorTickMark val="none"/>
        <c:minorTickMark val="none"/>
        <c:tickLblPos val="nextTo"/>
        <c:crossAx val="216749088"/>
        <c:crosses val="autoZero"/>
        <c:crossBetween val="between"/>
      </c:valAx>
      <c:dTable>
        <c:showHorzBorder val="1"/>
        <c:showVertBorder val="1"/>
        <c:showOutline val="1"/>
        <c:showKeys val="1"/>
        <c:txPr>
          <a:bodyPr/>
          <a:lstStyle/>
          <a:p>
            <a:pPr rtl="0">
              <a:defRPr sz="800"/>
            </a:pPr>
            <a:endParaRPr lang="es-CO"/>
          </a:p>
        </c:txPr>
      </c:dTable>
      <c:spPr>
        <a:noFill/>
      </c:spPr>
    </c:plotArea>
    <c:plotVisOnly val="1"/>
    <c:dispBlanksAs val="gap"/>
    <c:showDLblsOverMax val="0"/>
  </c:chart>
  <c:spPr>
    <a:no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'%PARTIC POR UNIDAD'!$D$25</c:f>
              <c:strCache>
                <c:ptCount val="1"/>
                <c:pt idx="0">
                  <c:v>PRESUPUESTO </c:v>
                </c:pt>
              </c:strCache>
            </c:strRef>
          </c:tx>
          <c:spPr>
            <a:solidFill>
              <a:schemeClr val="tx2">
                <a:lumMod val="75000"/>
              </a:schemeClr>
            </a:solidFill>
          </c:spPr>
          <c:invertIfNegative val="0"/>
          <c:cat>
            <c:strRef>
              <c:f>'%PARTIC POR UNIDAD'!$C$26:$C$29</c:f>
              <c:strCache>
                <c:ptCount val="4"/>
                <c:pt idx="0">
                  <c:v>INDEPORTES</c:v>
                </c:pt>
                <c:pt idx="1">
                  <c:v>PROMOTORA </c:v>
                </c:pt>
                <c:pt idx="2">
                  <c:v>TRANSITO</c:v>
                </c:pt>
                <c:pt idx="3">
                  <c:v>TOTAL</c:v>
                </c:pt>
              </c:strCache>
            </c:strRef>
          </c:cat>
          <c:val>
            <c:numRef>
              <c:f>'%PARTIC POR UNIDAD'!$D$26:$D$29</c:f>
              <c:numCache>
                <c:formatCode>_([$$-240A]\ * #,##0_);_([$$-240A]\ * \(#,##0\);_([$$-240A]\ * "-"??_);_(@_)</c:formatCode>
                <c:ptCount val="4"/>
                <c:pt idx="0">
                  <c:v>3493730.25422</c:v>
                </c:pt>
                <c:pt idx="1">
                  <c:v>2024983.199</c:v>
                </c:pt>
                <c:pt idx="2">
                  <c:v>110210</c:v>
                </c:pt>
                <c:pt idx="3">
                  <c:v>5628923.4532200005</c:v>
                </c:pt>
              </c:numCache>
            </c:numRef>
          </c:val>
          <c:extLst xmlns:c16r2="http://schemas.microsoft.com/office/drawing/2015/06/chart">
            <c:ext xmlns:c16="http://schemas.microsoft.com/office/drawing/2014/chart" uri="{C3380CC4-5D6E-409C-BE32-E72D297353CC}">
              <c16:uniqueId val="{00000000-4860-48BE-AEC2-69AE143E4479}"/>
            </c:ext>
          </c:extLst>
        </c:ser>
        <c:ser>
          <c:idx val="1"/>
          <c:order val="1"/>
          <c:tx>
            <c:strRef>
              <c:f>'%PARTIC POR UNIDAD'!$E$25</c:f>
              <c:strCache>
                <c:ptCount val="1"/>
                <c:pt idx="0">
                  <c:v>%</c:v>
                </c:pt>
              </c:strCache>
            </c:strRef>
          </c:tx>
          <c:spPr>
            <a:noFill/>
          </c:spPr>
          <c:invertIfNegative val="0"/>
          <c:cat>
            <c:strRef>
              <c:f>'%PARTIC POR UNIDAD'!$C$26:$C$29</c:f>
              <c:strCache>
                <c:ptCount val="4"/>
                <c:pt idx="0">
                  <c:v>INDEPORTES</c:v>
                </c:pt>
                <c:pt idx="1">
                  <c:v>PROMOTORA </c:v>
                </c:pt>
                <c:pt idx="2">
                  <c:v>TRANSITO</c:v>
                </c:pt>
                <c:pt idx="3">
                  <c:v>TOTAL</c:v>
                </c:pt>
              </c:strCache>
            </c:strRef>
          </c:cat>
          <c:val>
            <c:numRef>
              <c:f>'%PARTIC POR UNIDAD'!$E$26:$E$29</c:f>
              <c:numCache>
                <c:formatCode>#,##0</c:formatCode>
                <c:ptCount val="4"/>
                <c:pt idx="0">
                  <c:v>62.067467842744016</c:v>
                </c:pt>
                <c:pt idx="1">
                  <c:v>35.974608925293126</c:v>
                </c:pt>
                <c:pt idx="2">
                  <c:v>1.9579232319628521</c:v>
                </c:pt>
                <c:pt idx="3">
                  <c:v>100</c:v>
                </c:pt>
              </c:numCache>
            </c:numRef>
          </c:val>
          <c:extLst xmlns:c16r2="http://schemas.microsoft.com/office/drawing/2015/06/chart">
            <c:ext xmlns:c16="http://schemas.microsoft.com/office/drawing/2014/chart" uri="{C3380CC4-5D6E-409C-BE32-E72D297353CC}">
              <c16:uniqueId val="{00000001-4860-48BE-AEC2-69AE143E4479}"/>
            </c:ext>
          </c:extLst>
        </c:ser>
        <c:dLbls>
          <c:showLegendKey val="0"/>
          <c:showVal val="0"/>
          <c:showCatName val="0"/>
          <c:showSerName val="0"/>
          <c:showPercent val="0"/>
          <c:showBubbleSize val="0"/>
        </c:dLbls>
        <c:gapWidth val="150"/>
        <c:shape val="box"/>
        <c:axId val="216747128"/>
        <c:axId val="216746736"/>
        <c:axId val="0"/>
      </c:bar3DChart>
      <c:catAx>
        <c:axId val="216747128"/>
        <c:scaling>
          <c:orientation val="minMax"/>
        </c:scaling>
        <c:delete val="0"/>
        <c:axPos val="b"/>
        <c:numFmt formatCode="General" sourceLinked="0"/>
        <c:majorTickMark val="none"/>
        <c:minorTickMark val="none"/>
        <c:tickLblPos val="nextTo"/>
        <c:crossAx val="216746736"/>
        <c:crosses val="autoZero"/>
        <c:auto val="1"/>
        <c:lblAlgn val="ctr"/>
        <c:lblOffset val="100"/>
        <c:noMultiLvlLbl val="0"/>
      </c:catAx>
      <c:valAx>
        <c:axId val="216746736"/>
        <c:scaling>
          <c:orientation val="minMax"/>
        </c:scaling>
        <c:delete val="0"/>
        <c:axPos val="l"/>
        <c:numFmt formatCode="_([$$-240A]\ * #,##0_);_([$$-240A]\ * \(#,##0\);_([$$-240A]\ * &quot;-&quot;??_);_(@_)" sourceLinked="1"/>
        <c:majorTickMark val="none"/>
        <c:minorTickMark val="none"/>
        <c:tickLblPos val="nextTo"/>
        <c:crossAx val="216747128"/>
        <c:crosses val="autoZero"/>
        <c:crossBetween val="between"/>
      </c:valAx>
      <c:dTable>
        <c:showHorzBorder val="1"/>
        <c:showVertBorder val="1"/>
        <c:showOutline val="1"/>
        <c:showKeys val="1"/>
      </c:dTable>
    </c:plotArea>
    <c:plotVisOnly val="1"/>
    <c:dispBlanksAs val="gap"/>
    <c:showDLblsOverMax val="0"/>
  </c:chart>
  <c:spPr>
    <a:noFill/>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4.png"/><Relationship Id="rId5" Type="http://schemas.openxmlformats.org/officeDocument/2006/relationships/chart" Target="../charts/chart3.xml"/><Relationship Id="rId4"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330200</xdr:colOff>
      <xdr:row>0</xdr:row>
      <xdr:rowOff>122464</xdr:rowOff>
    </xdr:from>
    <xdr:to>
      <xdr:col>2</xdr:col>
      <xdr:colOff>655412</xdr:colOff>
      <xdr:row>2</xdr:row>
      <xdr:rowOff>206375</xdr:rowOff>
    </xdr:to>
    <xdr:pic>
      <xdr:nvPicPr>
        <xdr:cNvPr id="5" name="Imagen 1">
          <a:extLst>
            <a:ext uri="{FF2B5EF4-FFF2-40B4-BE49-F238E27FC236}">
              <a16:creationId xmlns:a16="http://schemas.microsoft.com/office/drawing/2014/main" xmlns="" id="{00000000-0008-0000-00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2112"/>
        <a:stretch/>
      </xdr:blipFill>
      <xdr:spPr>
        <a:xfrm>
          <a:off x="330200" y="122464"/>
          <a:ext cx="2704194" cy="666750"/>
        </a:xfrm>
        <a:prstGeom prst="rect">
          <a:avLst/>
        </a:prstGeom>
      </xdr:spPr>
    </xdr:pic>
    <xdr:clientData/>
  </xdr:twoCellAnchor>
  <xdr:twoCellAnchor>
    <xdr:from>
      <xdr:col>4</xdr:col>
      <xdr:colOff>122463</xdr:colOff>
      <xdr:row>0</xdr:row>
      <xdr:rowOff>99374</xdr:rowOff>
    </xdr:from>
    <xdr:to>
      <xdr:col>5</xdr:col>
      <xdr:colOff>619318</xdr:colOff>
      <xdr:row>3</xdr:row>
      <xdr:rowOff>40820</xdr:rowOff>
    </xdr:to>
    <xdr:pic>
      <xdr:nvPicPr>
        <xdr:cNvPr id="6" name="Imagen 1">
          <a:extLst>
            <a:ext uri="{FF2B5EF4-FFF2-40B4-BE49-F238E27FC236}">
              <a16:creationId xmlns:a16="http://schemas.microsoft.com/office/drawing/2014/main" xmlns="" id="{00000000-0008-0000-0000-000006000000}"/>
            </a:ext>
            <a:ext uri="{147F2762-F138-4A5C-976F-8EAC2B608ADB}">
              <a16:predDERef xmlns:a16="http://schemas.microsoft.com/office/drawing/2014/main" xmlns="" pred="{65EC9A3A-34A9-4A21-A064-EF8448C533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996" t="12991" r="67844" b="74319"/>
        <a:stretch>
          <a:fillRect/>
        </a:stretch>
      </xdr:blipFill>
      <xdr:spPr bwMode="auto">
        <a:xfrm>
          <a:off x="3483427" y="99374"/>
          <a:ext cx="1422141" cy="56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263525</xdr:colOff>
      <xdr:row>0</xdr:row>
      <xdr:rowOff>289856</xdr:rowOff>
    </xdr:from>
    <xdr:to>
      <xdr:col>3</xdr:col>
      <xdr:colOff>151117</xdr:colOff>
      <xdr:row>2</xdr:row>
      <xdr:rowOff>226810</xdr:rowOff>
    </xdr:to>
    <xdr:pic>
      <xdr:nvPicPr>
        <xdr:cNvPr id="8" name="Imagen 1">
          <a:extLst>
            <a:ext uri="{FF2B5EF4-FFF2-40B4-BE49-F238E27FC236}">
              <a16:creationId xmlns:a16="http://schemas.microsoft.com/office/drawing/2014/main" xmlns="" id="{00000000-0008-0000-01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2112"/>
        <a:stretch/>
      </xdr:blipFill>
      <xdr:spPr>
        <a:xfrm>
          <a:off x="263525" y="289856"/>
          <a:ext cx="2850548" cy="822779"/>
        </a:xfrm>
        <a:prstGeom prst="rect">
          <a:avLst/>
        </a:prstGeom>
      </xdr:spPr>
    </xdr:pic>
    <xdr:clientData/>
  </xdr:twoCellAnchor>
  <xdr:twoCellAnchor>
    <xdr:from>
      <xdr:col>4</xdr:col>
      <xdr:colOff>266700</xdr:colOff>
      <xdr:row>0</xdr:row>
      <xdr:rowOff>190500</xdr:rowOff>
    </xdr:from>
    <xdr:to>
      <xdr:col>5</xdr:col>
      <xdr:colOff>285750</xdr:colOff>
      <xdr:row>2</xdr:row>
      <xdr:rowOff>323850</xdr:rowOff>
    </xdr:to>
    <xdr:pic>
      <xdr:nvPicPr>
        <xdr:cNvPr id="12" name="Imagen 1">
          <a:extLst>
            <a:ext uri="{FF2B5EF4-FFF2-40B4-BE49-F238E27FC236}">
              <a16:creationId xmlns:a16="http://schemas.microsoft.com/office/drawing/2014/main" xmlns="" id="{00000000-0008-0000-0100-00000C000000}"/>
            </a:ext>
            <a:ext uri="{147F2762-F138-4A5C-976F-8EAC2B608ADB}">
              <a16:predDERef xmlns:a16="http://schemas.microsoft.com/office/drawing/2014/main" xmlns="" pred="{2CECC19D-3647-411D-8BC2-BB73000C75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996" t="12991" r="67844" b="74319"/>
        <a:stretch>
          <a:fillRect/>
        </a:stretch>
      </xdr:blipFill>
      <xdr:spPr bwMode="auto">
        <a:xfrm>
          <a:off x="3028950" y="190500"/>
          <a:ext cx="43053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549275</xdr:colOff>
      <xdr:row>0</xdr:row>
      <xdr:rowOff>425927</xdr:rowOff>
    </xdr:from>
    <xdr:to>
      <xdr:col>1</xdr:col>
      <xdr:colOff>1102179</xdr:colOff>
      <xdr:row>2</xdr:row>
      <xdr:rowOff>4641</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2112"/>
        <a:stretch/>
      </xdr:blipFill>
      <xdr:spPr>
        <a:xfrm>
          <a:off x="549275" y="425927"/>
          <a:ext cx="1614261" cy="463178"/>
        </a:xfrm>
        <a:prstGeom prst="rect">
          <a:avLst/>
        </a:prstGeom>
      </xdr:spPr>
    </xdr:pic>
    <xdr:clientData/>
  </xdr:twoCellAnchor>
  <xdr:twoCellAnchor>
    <xdr:from>
      <xdr:col>4</xdr:col>
      <xdr:colOff>3083717</xdr:colOff>
      <xdr:row>0</xdr:row>
      <xdr:rowOff>363646</xdr:rowOff>
    </xdr:from>
    <xdr:to>
      <xdr:col>5</xdr:col>
      <xdr:colOff>1337775</xdr:colOff>
      <xdr:row>2</xdr:row>
      <xdr:rowOff>81643</xdr:rowOff>
    </xdr:to>
    <xdr:pic>
      <xdr:nvPicPr>
        <xdr:cNvPr id="3" name="Imagen 1">
          <a:extLst>
            <a:ext uri="{FF2B5EF4-FFF2-40B4-BE49-F238E27FC236}">
              <a16:creationId xmlns:a16="http://schemas.microsoft.com/office/drawing/2014/main" xmlns="" id="{00000000-0008-0000-0200-000003000000}"/>
            </a:ext>
            <a:ext uri="{147F2762-F138-4A5C-976F-8EAC2B608ADB}">
              <a16:predDERef xmlns:a16="http://schemas.microsoft.com/office/drawing/2014/main" xmlns="" pred="{6CB5117E-E0FB-48AF-BA61-FD7D921F3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996" t="12991" r="67844" b="74319"/>
        <a:stretch>
          <a:fillRect/>
        </a:stretch>
      </xdr:blipFill>
      <xdr:spPr bwMode="auto">
        <a:xfrm>
          <a:off x="7356360" y="363646"/>
          <a:ext cx="2540308" cy="602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122463</xdr:colOff>
      <xdr:row>117</xdr:row>
      <xdr:rowOff>315686</xdr:rowOff>
    </xdr:from>
    <xdr:to>
      <xdr:col>17</xdr:col>
      <xdr:colOff>1578429</xdr:colOff>
      <xdr:row>129</xdr:row>
      <xdr:rowOff>95251</xdr:rowOff>
    </xdr:to>
    <xdr:graphicFrame macro="">
      <xdr:nvGraphicFramePr>
        <xdr:cNvPr id="5" name="4 Gráfico">
          <a:extLst>
            <a:ext uri="{FF2B5EF4-FFF2-40B4-BE49-F238E27FC236}">
              <a16:creationId xmlns:a16="http://schemas.microsoft.com/office/drawing/2014/main" xmlns=""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81643</xdr:colOff>
      <xdr:row>151</xdr:row>
      <xdr:rowOff>125185</xdr:rowOff>
    </xdr:from>
    <xdr:to>
      <xdr:col>21</xdr:col>
      <xdr:colOff>40821</xdr:colOff>
      <xdr:row>160</xdr:row>
      <xdr:rowOff>421821</xdr:rowOff>
    </xdr:to>
    <xdr:graphicFrame macro="">
      <xdr:nvGraphicFramePr>
        <xdr:cNvPr id="6" name="5 Gráfico">
          <a:extLst>
            <a:ext uri="{FF2B5EF4-FFF2-40B4-BE49-F238E27FC236}">
              <a16:creationId xmlns:a16="http://schemas.microsoft.com/office/drawing/2014/main" xmlns=""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285749</xdr:colOff>
      <xdr:row>170</xdr:row>
      <xdr:rowOff>84363</xdr:rowOff>
    </xdr:from>
    <xdr:to>
      <xdr:col>18</xdr:col>
      <xdr:colOff>666750</xdr:colOff>
      <xdr:row>179</xdr:row>
      <xdr:rowOff>81643</xdr:rowOff>
    </xdr:to>
    <xdr:graphicFrame macro="">
      <xdr:nvGraphicFramePr>
        <xdr:cNvPr id="7" name="6 Gráfico">
          <a:extLst>
            <a:ext uri="{FF2B5EF4-FFF2-40B4-BE49-F238E27FC236}">
              <a16:creationId xmlns:a16="http://schemas.microsoft.com/office/drawing/2014/main" xmlns=""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133349</xdr:colOff>
      <xdr:row>0</xdr:row>
      <xdr:rowOff>147636</xdr:rowOff>
    </xdr:from>
    <xdr:to>
      <xdr:col>16</xdr:col>
      <xdr:colOff>295274</xdr:colOff>
      <xdr:row>15</xdr:row>
      <xdr:rowOff>152399</xdr:rowOff>
    </xdr:to>
    <xdr:graphicFrame macro="">
      <xdr:nvGraphicFramePr>
        <xdr:cNvPr id="2" name="Gráfico 1">
          <a:extLst>
            <a:ext uri="{FF2B5EF4-FFF2-40B4-BE49-F238E27FC236}">
              <a16:creationId xmlns:a16="http://schemas.microsoft.com/office/drawing/2014/main" xmlns=""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440530</xdr:colOff>
      <xdr:row>17</xdr:row>
      <xdr:rowOff>194070</xdr:rowOff>
    </xdr:from>
    <xdr:to>
      <xdr:col>16</xdr:col>
      <xdr:colOff>583405</xdr:colOff>
      <xdr:row>30</xdr:row>
      <xdr:rowOff>154780</xdr:rowOff>
    </xdr:to>
    <xdr:graphicFrame macro="">
      <xdr:nvGraphicFramePr>
        <xdr:cNvPr id="3" name="Gráfico 2">
          <a:extLst>
            <a:ext uri="{FF2B5EF4-FFF2-40B4-BE49-F238E27FC236}">
              <a16:creationId xmlns:a16="http://schemas.microsoft.com/office/drawing/2014/main" xmlns=""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559592</xdr:colOff>
      <xdr:row>33</xdr:row>
      <xdr:rowOff>170258</xdr:rowOff>
    </xdr:from>
    <xdr:to>
      <xdr:col>17</xdr:col>
      <xdr:colOff>71437</xdr:colOff>
      <xdr:row>51</xdr:row>
      <xdr:rowOff>154780</xdr:rowOff>
    </xdr:to>
    <xdr:graphicFrame macro="">
      <xdr:nvGraphicFramePr>
        <xdr:cNvPr id="4" name="Gráfico 3">
          <a:extLst>
            <a:ext uri="{FF2B5EF4-FFF2-40B4-BE49-F238E27FC236}">
              <a16:creationId xmlns:a16="http://schemas.microsoft.com/office/drawing/2014/main" xmlns=""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390525</xdr:colOff>
      <xdr:row>3</xdr:row>
      <xdr:rowOff>57149</xdr:rowOff>
    </xdr:from>
    <xdr:to>
      <xdr:col>27</xdr:col>
      <xdr:colOff>352425</xdr:colOff>
      <xdr:row>20</xdr:row>
      <xdr:rowOff>142875</xdr:rowOff>
    </xdr:to>
    <xdr:graphicFrame macro="">
      <xdr:nvGraphicFramePr>
        <xdr:cNvPr id="2" name="1 Gráfico">
          <a:extLst>
            <a:ext uri="{FF2B5EF4-FFF2-40B4-BE49-F238E27FC236}">
              <a16:creationId xmlns:a16="http://schemas.microsoft.com/office/drawing/2014/main" xmlns=""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438150</xdr:colOff>
      <xdr:row>23</xdr:row>
      <xdr:rowOff>19049</xdr:rowOff>
    </xdr:from>
    <xdr:to>
      <xdr:col>16</xdr:col>
      <xdr:colOff>590550</xdr:colOff>
      <xdr:row>39</xdr:row>
      <xdr:rowOff>47624</xdr:rowOff>
    </xdr:to>
    <xdr:graphicFrame macro="">
      <xdr:nvGraphicFramePr>
        <xdr:cNvPr id="3" name="2 Gráfico">
          <a:extLst>
            <a:ext uri="{FF2B5EF4-FFF2-40B4-BE49-F238E27FC236}">
              <a16:creationId xmlns:a16="http://schemas.microsoft.com/office/drawing/2014/main" xmlns=""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486"/>
  <sheetViews>
    <sheetView showGridLines="0" tabSelected="1" zoomScale="60" zoomScaleNormal="60" workbookViewId="0">
      <selection activeCell="A5" sqref="A5"/>
    </sheetView>
  </sheetViews>
  <sheetFormatPr baseColWidth="10" defaultRowHeight="15" x14ac:dyDescent="0.2"/>
  <cols>
    <col min="1" max="1" width="17.28515625" style="1" customWidth="1"/>
    <col min="2" max="2" width="18.42578125" style="12" customWidth="1"/>
    <col min="3" max="3" width="14.140625" style="12" customWidth="1"/>
    <col min="4" max="4" width="14.5703125" style="12" customWidth="1"/>
    <col min="5" max="5" width="23.7109375" style="13" customWidth="1"/>
    <col min="6" max="6" width="15.7109375" style="14" customWidth="1"/>
    <col min="7" max="7" width="48.28515625" style="15" customWidth="1"/>
    <col min="8" max="8" width="18.140625" style="13" customWidth="1"/>
    <col min="9" max="9" width="35.5703125" style="15" customWidth="1"/>
    <col min="10" max="10" width="19.28515625" style="16" customWidth="1"/>
    <col min="11" max="11" width="33.140625" style="17" customWidth="1"/>
    <col min="12" max="12" width="12.7109375" style="14" customWidth="1"/>
    <col min="13" max="13" width="12.85546875" style="16" customWidth="1"/>
    <col min="14" max="14" width="23.140625" style="14" customWidth="1"/>
    <col min="15" max="15" width="37.5703125" style="17" customWidth="1"/>
    <col min="16" max="16" width="38.7109375" style="17" customWidth="1"/>
    <col min="17" max="17" width="31.28515625" style="1" customWidth="1"/>
    <col min="18" max="18" width="28.85546875" style="1" customWidth="1"/>
    <col min="19" max="19" width="16.85546875" style="1" customWidth="1"/>
    <col min="20" max="20" width="29.5703125" style="1" customWidth="1"/>
    <col min="21" max="21" width="29.140625" style="1" customWidth="1"/>
    <col min="22" max="22" width="30.7109375" style="1" customWidth="1"/>
    <col min="23" max="23" width="34" style="4" customWidth="1"/>
    <col min="24" max="24" width="32.85546875" style="4" customWidth="1"/>
    <col min="25" max="25" width="29.7109375" style="1" customWidth="1"/>
    <col min="26" max="26" width="31" style="1" customWidth="1"/>
    <col min="27" max="27" width="33.85546875" style="20" customWidth="1"/>
    <col min="28" max="28" width="32.5703125" style="1" customWidth="1"/>
    <col min="29" max="29" width="29.85546875" style="1" customWidth="1"/>
    <col min="30" max="30" width="33.140625" style="4" customWidth="1"/>
    <col min="31" max="31" width="32" style="4" customWidth="1"/>
    <col min="32" max="32" width="43.42578125" style="148" customWidth="1"/>
    <col min="33" max="72" width="11.42578125" style="4"/>
    <col min="73" max="16384" width="11.42578125" style="1"/>
  </cols>
  <sheetData>
    <row r="1" spans="1:72" ht="28.5" customHeight="1" x14ac:dyDescent="0.25">
      <c r="B1" s="46"/>
      <c r="C1" s="47"/>
      <c r="D1" s="47"/>
      <c r="E1" s="47"/>
      <c r="F1" s="47"/>
      <c r="G1" s="47"/>
      <c r="H1" s="44"/>
      <c r="I1" s="137"/>
      <c r="J1" s="44" t="s">
        <v>38</v>
      </c>
      <c r="K1" s="33"/>
      <c r="L1" s="33"/>
      <c r="M1" s="33"/>
      <c r="N1" s="33"/>
      <c r="O1" s="133"/>
      <c r="P1" s="133"/>
      <c r="Q1" s="33"/>
      <c r="R1" s="33"/>
      <c r="S1" s="33"/>
      <c r="T1" s="33"/>
      <c r="U1" s="33"/>
      <c r="V1" s="33"/>
      <c r="W1" s="33"/>
      <c r="X1" s="33"/>
      <c r="Y1" s="33"/>
      <c r="Z1" s="33"/>
      <c r="AA1" s="33"/>
      <c r="AB1" s="2"/>
      <c r="AE1" s="3" t="s">
        <v>0</v>
      </c>
      <c r="AF1" s="142" t="s">
        <v>1</v>
      </c>
    </row>
    <row r="2" spans="1:72" ht="15.75" customHeight="1" x14ac:dyDescent="0.25">
      <c r="B2" s="34"/>
      <c r="C2" s="271"/>
      <c r="D2" s="271"/>
      <c r="E2" s="270"/>
      <c r="F2" s="270"/>
      <c r="G2" s="742" t="s">
        <v>1292</v>
      </c>
      <c r="H2" s="742"/>
      <c r="I2" s="742"/>
      <c r="J2" s="742"/>
      <c r="K2" s="742"/>
      <c r="L2" s="742"/>
      <c r="M2" s="742"/>
      <c r="N2" s="742"/>
      <c r="O2" s="742"/>
      <c r="P2" s="742"/>
      <c r="Q2" s="742"/>
      <c r="R2" s="742"/>
      <c r="S2" s="742"/>
      <c r="T2" s="742"/>
      <c r="U2" s="742"/>
      <c r="V2" s="742"/>
      <c r="W2" s="742"/>
      <c r="X2" s="742"/>
      <c r="Y2" s="742"/>
      <c r="Z2" s="742"/>
      <c r="AA2" s="742"/>
      <c r="AB2" s="743"/>
      <c r="AC2" s="122"/>
      <c r="AE2" s="5" t="s">
        <v>2</v>
      </c>
      <c r="AF2" s="143">
        <v>3</v>
      </c>
    </row>
    <row r="3" spans="1:72" ht="24.75" customHeight="1" x14ac:dyDescent="0.25">
      <c r="B3" s="34"/>
      <c r="C3" s="271"/>
      <c r="D3" s="271"/>
      <c r="E3" s="270"/>
      <c r="F3" s="270"/>
      <c r="G3" s="270"/>
      <c r="H3" s="19"/>
      <c r="I3" s="138"/>
      <c r="J3" s="19"/>
      <c r="K3" s="270"/>
      <c r="L3" s="270"/>
      <c r="M3" s="270"/>
      <c r="N3" s="270"/>
      <c r="O3" s="134"/>
      <c r="P3" s="134"/>
      <c r="Q3" s="270"/>
      <c r="R3" s="270"/>
      <c r="S3" s="270"/>
      <c r="T3" s="270"/>
      <c r="U3" s="270"/>
      <c r="V3" s="270"/>
      <c r="W3" s="270"/>
      <c r="X3" s="270"/>
      <c r="Y3" s="270"/>
      <c r="Z3" s="270"/>
      <c r="AA3" s="270"/>
      <c r="AE3" s="3" t="s">
        <v>3</v>
      </c>
      <c r="AF3" s="144" t="s">
        <v>4</v>
      </c>
    </row>
    <row r="4" spans="1:72" ht="24" customHeight="1" x14ac:dyDescent="0.25">
      <c r="B4" s="35"/>
      <c r="C4" s="36"/>
      <c r="D4" s="36"/>
      <c r="E4" s="36"/>
      <c r="F4" s="36"/>
      <c r="G4" s="36"/>
      <c r="H4" s="10"/>
      <c r="I4" s="139"/>
      <c r="J4" s="10"/>
      <c r="K4" s="36"/>
      <c r="L4" s="36"/>
      <c r="M4" s="36"/>
      <c r="N4" s="36"/>
      <c r="O4" s="135"/>
      <c r="P4" s="135"/>
      <c r="R4" s="36"/>
      <c r="S4" s="36"/>
      <c r="T4" s="36"/>
      <c r="U4" s="36"/>
      <c r="V4" s="36"/>
      <c r="W4" s="36"/>
      <c r="X4" s="36"/>
      <c r="Y4" s="36"/>
      <c r="Z4" s="36"/>
      <c r="AA4" s="36"/>
      <c r="AB4" s="1" t="s">
        <v>38</v>
      </c>
      <c r="AE4" s="3" t="s">
        <v>5</v>
      </c>
      <c r="AF4" s="145" t="s">
        <v>6</v>
      </c>
    </row>
    <row r="5" spans="1:72" s="7" customFormat="1" ht="84" customHeight="1" x14ac:dyDescent="0.25">
      <c r="A5" s="152" t="s">
        <v>7</v>
      </c>
      <c r="B5" s="152" t="s">
        <v>8</v>
      </c>
      <c r="C5" s="152" t="s">
        <v>1179</v>
      </c>
      <c r="D5" s="152" t="s">
        <v>1180</v>
      </c>
      <c r="E5" s="152" t="s">
        <v>9</v>
      </c>
      <c r="F5" s="273" t="s">
        <v>10</v>
      </c>
      <c r="G5" s="273" t="s">
        <v>11</v>
      </c>
      <c r="H5" s="274" t="s">
        <v>12</v>
      </c>
      <c r="I5" s="275" t="s">
        <v>13</v>
      </c>
      <c r="J5" s="274" t="s">
        <v>14</v>
      </c>
      <c r="K5" s="273" t="s">
        <v>15</v>
      </c>
      <c r="L5" s="273" t="s">
        <v>16</v>
      </c>
      <c r="M5" s="274" t="s">
        <v>17</v>
      </c>
      <c r="N5" s="273" t="s">
        <v>18</v>
      </c>
      <c r="O5" s="273" t="s">
        <v>19</v>
      </c>
      <c r="P5" s="273" t="s">
        <v>20</v>
      </c>
      <c r="Q5" s="276" t="s">
        <v>21</v>
      </c>
      <c r="R5" s="276" t="s">
        <v>22</v>
      </c>
      <c r="S5" s="276" t="s">
        <v>23</v>
      </c>
      <c r="T5" s="276" t="s">
        <v>1222</v>
      </c>
      <c r="U5" s="276" t="s">
        <v>24</v>
      </c>
      <c r="V5" s="276" t="s">
        <v>25</v>
      </c>
      <c r="W5" s="276" t="s">
        <v>26</v>
      </c>
      <c r="X5" s="276" t="s">
        <v>27</v>
      </c>
      <c r="Y5" s="276" t="s">
        <v>28</v>
      </c>
      <c r="Z5" s="276" t="s">
        <v>29</v>
      </c>
      <c r="AA5" s="276" t="s">
        <v>30</v>
      </c>
      <c r="AB5" s="276" t="s">
        <v>31</v>
      </c>
      <c r="AC5" s="276" t="s">
        <v>32</v>
      </c>
      <c r="AD5" s="276" t="s">
        <v>33</v>
      </c>
      <c r="AE5" s="276" t="s">
        <v>34</v>
      </c>
      <c r="AF5" s="276" t="s">
        <v>35</v>
      </c>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ht="15.75" x14ac:dyDescent="0.2">
      <c r="B6" s="50"/>
      <c r="C6" s="50"/>
      <c r="D6" s="50"/>
      <c r="E6" s="44"/>
      <c r="F6" s="51"/>
      <c r="G6" s="43"/>
      <c r="H6" s="45"/>
      <c r="I6" s="43"/>
      <c r="J6" s="45"/>
      <c r="K6" s="51"/>
      <c r="L6" s="52"/>
      <c r="M6" s="45"/>
      <c r="N6" s="52"/>
      <c r="O6" s="51"/>
      <c r="P6" s="51"/>
      <c r="Q6" s="53"/>
      <c r="R6" s="53"/>
      <c r="S6" s="53"/>
      <c r="T6" s="53"/>
      <c r="U6" s="53"/>
      <c r="V6" s="53"/>
      <c r="W6" s="53"/>
      <c r="X6" s="53"/>
      <c r="Y6" s="53"/>
      <c r="Z6" s="53"/>
      <c r="AA6" s="277"/>
      <c r="AB6" s="53"/>
      <c r="AC6" s="53"/>
      <c r="AD6" s="277"/>
      <c r="AE6" s="277"/>
      <c r="AF6" s="278"/>
    </row>
    <row r="7" spans="1:72" s="672" customFormat="1" ht="26.25" customHeight="1" x14ac:dyDescent="0.25">
      <c r="A7" s="55" t="s">
        <v>36</v>
      </c>
      <c r="B7" s="56"/>
      <c r="C7" s="56"/>
      <c r="D7" s="56"/>
      <c r="E7" s="57"/>
      <c r="F7" s="58"/>
      <c r="G7" s="650"/>
      <c r="H7" s="653"/>
      <c r="I7" s="650"/>
      <c r="J7" s="654"/>
      <c r="K7" s="655"/>
      <c r="L7" s="656"/>
      <c r="M7" s="654"/>
      <c r="N7" s="58"/>
      <c r="O7" s="655"/>
      <c r="P7" s="655"/>
      <c r="Q7" s="652">
        <f t="shared" ref="Q7:AF8" si="0">Q8</f>
        <v>0</v>
      </c>
      <c r="R7" s="652">
        <f t="shared" si="0"/>
        <v>0</v>
      </c>
      <c r="S7" s="652">
        <f t="shared" si="0"/>
        <v>0</v>
      </c>
      <c r="T7" s="652">
        <f t="shared" si="0"/>
        <v>0</v>
      </c>
      <c r="U7" s="652">
        <f t="shared" si="0"/>
        <v>0</v>
      </c>
      <c r="V7" s="652">
        <f t="shared" si="0"/>
        <v>0</v>
      </c>
      <c r="W7" s="652">
        <f t="shared" si="0"/>
        <v>0</v>
      </c>
      <c r="X7" s="652">
        <f t="shared" si="0"/>
        <v>0</v>
      </c>
      <c r="Y7" s="652">
        <f t="shared" si="0"/>
        <v>0</v>
      </c>
      <c r="Z7" s="652">
        <f t="shared" si="0"/>
        <v>0</v>
      </c>
      <c r="AA7" s="652">
        <f t="shared" si="0"/>
        <v>176000000</v>
      </c>
      <c r="AB7" s="652">
        <f t="shared" si="0"/>
        <v>0</v>
      </c>
      <c r="AC7" s="652">
        <f t="shared" si="0"/>
        <v>0</v>
      </c>
      <c r="AD7" s="652">
        <f t="shared" si="0"/>
        <v>176000000</v>
      </c>
      <c r="AE7" s="652">
        <f t="shared" si="0"/>
        <v>0</v>
      </c>
      <c r="AF7" s="652">
        <f t="shared" si="0"/>
        <v>0</v>
      </c>
      <c r="AG7" s="671"/>
      <c r="AH7" s="671"/>
      <c r="AI7" s="671"/>
      <c r="AJ7" s="671"/>
      <c r="AK7" s="671"/>
      <c r="AL7" s="671"/>
      <c r="AM7" s="671"/>
      <c r="AN7" s="671"/>
      <c r="AO7" s="671"/>
      <c r="AP7" s="671"/>
      <c r="AQ7" s="671"/>
      <c r="AR7" s="671"/>
      <c r="AS7" s="671"/>
      <c r="AT7" s="671"/>
      <c r="AU7" s="671"/>
      <c r="AV7" s="671"/>
      <c r="AW7" s="671"/>
      <c r="AX7" s="671"/>
      <c r="AY7" s="671"/>
      <c r="AZ7" s="671"/>
      <c r="BA7" s="671"/>
      <c r="BB7" s="671"/>
      <c r="BC7" s="671"/>
      <c r="BD7" s="671"/>
      <c r="BE7" s="671"/>
      <c r="BF7" s="671"/>
      <c r="BG7" s="671"/>
      <c r="BH7" s="671"/>
      <c r="BI7" s="671"/>
      <c r="BJ7" s="671"/>
      <c r="BK7" s="671"/>
      <c r="BL7" s="671"/>
      <c r="BM7" s="671"/>
      <c r="BN7" s="671"/>
      <c r="BO7" s="671"/>
      <c r="BP7" s="671"/>
      <c r="BQ7" s="671"/>
      <c r="BR7" s="671"/>
      <c r="BS7" s="671"/>
      <c r="BT7" s="671"/>
    </row>
    <row r="8" spans="1:72" s="9" customFormat="1" ht="33" customHeight="1" x14ac:dyDescent="0.25">
      <c r="A8" s="279"/>
      <c r="B8" s="280">
        <v>4</v>
      </c>
      <c r="C8" s="771" t="s">
        <v>37</v>
      </c>
      <c r="D8" s="772"/>
      <c r="E8" s="772"/>
      <c r="F8" s="772"/>
      <c r="G8" s="773"/>
      <c r="H8" s="281"/>
      <c r="I8" s="282"/>
      <c r="J8" s="280"/>
      <c r="K8" s="283"/>
      <c r="L8" s="284"/>
      <c r="M8" s="280"/>
      <c r="N8" s="285"/>
      <c r="O8" s="283"/>
      <c r="P8" s="283"/>
      <c r="Q8" s="286">
        <f>Q9</f>
        <v>0</v>
      </c>
      <c r="R8" s="286">
        <f t="shared" si="0"/>
        <v>0</v>
      </c>
      <c r="S8" s="286">
        <f t="shared" si="0"/>
        <v>0</v>
      </c>
      <c r="T8" s="286">
        <f t="shared" si="0"/>
        <v>0</v>
      </c>
      <c r="U8" s="286">
        <f t="shared" si="0"/>
        <v>0</v>
      </c>
      <c r="V8" s="286">
        <f t="shared" si="0"/>
        <v>0</v>
      </c>
      <c r="W8" s="286">
        <f t="shared" si="0"/>
        <v>0</v>
      </c>
      <c r="X8" s="286">
        <f t="shared" si="0"/>
        <v>0</v>
      </c>
      <c r="Y8" s="286">
        <f t="shared" si="0"/>
        <v>0</v>
      </c>
      <c r="Z8" s="286">
        <f t="shared" si="0"/>
        <v>0</v>
      </c>
      <c r="AA8" s="286">
        <f t="shared" si="0"/>
        <v>176000000</v>
      </c>
      <c r="AB8" s="286">
        <f t="shared" si="0"/>
        <v>0</v>
      </c>
      <c r="AC8" s="286">
        <f t="shared" si="0"/>
        <v>0</v>
      </c>
      <c r="AD8" s="286">
        <f>AD9</f>
        <v>176000000</v>
      </c>
      <c r="AE8" s="286">
        <f t="shared" si="0"/>
        <v>0</v>
      </c>
      <c r="AF8" s="286">
        <f>AF9</f>
        <v>0</v>
      </c>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row>
    <row r="9" spans="1:72" s="9" customFormat="1" ht="27.75" customHeight="1" x14ac:dyDescent="0.25">
      <c r="A9" s="279"/>
      <c r="B9" s="194"/>
      <c r="C9" s="159">
        <v>45</v>
      </c>
      <c r="D9" s="156" t="s">
        <v>1181</v>
      </c>
      <c r="E9" s="287"/>
      <c r="F9" s="288"/>
      <c r="G9" s="289"/>
      <c r="H9" s="290"/>
      <c r="I9" s="291"/>
      <c r="J9" s="292"/>
      <c r="K9" s="293"/>
      <c r="L9" s="291"/>
      <c r="M9" s="294"/>
      <c r="N9" s="295"/>
      <c r="O9" s="295"/>
      <c r="P9" s="296"/>
      <c r="Q9" s="296">
        <f>Q10+Q14</f>
        <v>0</v>
      </c>
      <c r="R9" s="296">
        <f t="shared" ref="R9:AE9" si="1">R10+R14</f>
        <v>0</v>
      </c>
      <c r="S9" s="296">
        <f t="shared" si="1"/>
        <v>0</v>
      </c>
      <c r="T9" s="296">
        <f t="shared" si="1"/>
        <v>0</v>
      </c>
      <c r="U9" s="296">
        <f t="shared" si="1"/>
        <v>0</v>
      </c>
      <c r="V9" s="296">
        <f t="shared" si="1"/>
        <v>0</v>
      </c>
      <c r="W9" s="296">
        <f t="shared" si="1"/>
        <v>0</v>
      </c>
      <c r="X9" s="296">
        <f t="shared" si="1"/>
        <v>0</v>
      </c>
      <c r="Y9" s="296">
        <f t="shared" si="1"/>
        <v>0</v>
      </c>
      <c r="Z9" s="296">
        <f t="shared" si="1"/>
        <v>0</v>
      </c>
      <c r="AA9" s="296">
        <f t="shared" si="1"/>
        <v>176000000</v>
      </c>
      <c r="AB9" s="296">
        <f t="shared" si="1"/>
        <v>0</v>
      </c>
      <c r="AC9" s="296">
        <f t="shared" si="1"/>
        <v>0</v>
      </c>
      <c r="AD9" s="296">
        <f t="shared" si="1"/>
        <v>176000000</v>
      </c>
      <c r="AE9" s="296">
        <f t="shared" si="1"/>
        <v>0</v>
      </c>
      <c r="AF9" s="296">
        <f>AF10+AF14</f>
        <v>0</v>
      </c>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row>
    <row r="10" spans="1:72" ht="33" customHeight="1" x14ac:dyDescent="0.2">
      <c r="A10" s="297"/>
      <c r="B10" s="204"/>
      <c r="C10" s="204"/>
      <c r="D10" s="204"/>
      <c r="E10" s="298">
        <v>4599</v>
      </c>
      <c r="F10" s="188" t="s">
        <v>1322</v>
      </c>
      <c r="G10" s="188"/>
      <c r="H10" s="188"/>
      <c r="I10" s="188"/>
      <c r="J10" s="188"/>
      <c r="K10" s="188"/>
      <c r="L10" s="188"/>
      <c r="M10" s="188"/>
      <c r="N10" s="188"/>
      <c r="O10" s="299"/>
      <c r="P10" s="299"/>
      <c r="Q10" s="300">
        <f>SUM(Q11:Q13)</f>
        <v>0</v>
      </c>
      <c r="R10" s="300">
        <f t="shared" ref="R10:AF10" si="2">SUM(R11:R13)</f>
        <v>0</v>
      </c>
      <c r="S10" s="300">
        <f t="shared" si="2"/>
        <v>0</v>
      </c>
      <c r="T10" s="300">
        <f t="shared" si="2"/>
        <v>0</v>
      </c>
      <c r="U10" s="300">
        <f t="shared" si="2"/>
        <v>0</v>
      </c>
      <c r="V10" s="300">
        <f t="shared" si="2"/>
        <v>0</v>
      </c>
      <c r="W10" s="300">
        <f t="shared" si="2"/>
        <v>0</v>
      </c>
      <c r="X10" s="300">
        <f t="shared" si="2"/>
        <v>0</v>
      </c>
      <c r="Y10" s="300">
        <f t="shared" si="2"/>
        <v>0</v>
      </c>
      <c r="Z10" s="300">
        <f t="shared" si="2"/>
        <v>0</v>
      </c>
      <c r="AA10" s="300">
        <f t="shared" si="2"/>
        <v>136000000</v>
      </c>
      <c r="AB10" s="300">
        <f t="shared" si="2"/>
        <v>0</v>
      </c>
      <c r="AC10" s="300">
        <f t="shared" si="2"/>
        <v>0</v>
      </c>
      <c r="AD10" s="300">
        <f>SUM(AD11:AD13)</f>
        <v>136000000</v>
      </c>
      <c r="AE10" s="300">
        <f t="shared" si="2"/>
        <v>0</v>
      </c>
      <c r="AF10" s="300">
        <f t="shared" si="2"/>
        <v>0</v>
      </c>
    </row>
    <row r="11" spans="1:72" ht="165.75" customHeight="1" x14ac:dyDescent="0.2">
      <c r="A11" s="297"/>
      <c r="B11" s="204"/>
      <c r="C11" s="204"/>
      <c r="D11" s="204"/>
      <c r="E11" s="200"/>
      <c r="F11" s="268"/>
      <c r="G11" s="195" t="s">
        <v>39</v>
      </c>
      <c r="H11" s="196">
        <v>4599023</v>
      </c>
      <c r="I11" s="186" t="s">
        <v>40</v>
      </c>
      <c r="J11" s="196">
        <v>459902300</v>
      </c>
      <c r="K11" s="267" t="s">
        <v>41</v>
      </c>
      <c r="L11" s="209" t="s">
        <v>42</v>
      </c>
      <c r="M11" s="301">
        <v>5</v>
      </c>
      <c r="N11" s="302" t="s">
        <v>43</v>
      </c>
      <c r="O11" s="187" t="s">
        <v>44</v>
      </c>
      <c r="P11" s="195" t="s">
        <v>45</v>
      </c>
      <c r="Q11" s="303"/>
      <c r="R11" s="303"/>
      <c r="S11" s="303"/>
      <c r="T11" s="303"/>
      <c r="U11" s="303"/>
      <c r="V11" s="303"/>
      <c r="W11" s="303"/>
      <c r="X11" s="303"/>
      <c r="Y11" s="303"/>
      <c r="Z11" s="303"/>
      <c r="AA11" s="304">
        <v>36000000</v>
      </c>
      <c r="AB11" s="303"/>
      <c r="AC11" s="303"/>
      <c r="AD11" s="305">
        <f>+Q11+R11+S11+T11+U11+V11+W11+X11+Y11+Z11+AA11+AB11+AC11</f>
        <v>36000000</v>
      </c>
      <c r="AE11" s="305" t="s">
        <v>46</v>
      </c>
      <c r="AF11" s="146" t="s">
        <v>1172</v>
      </c>
    </row>
    <row r="12" spans="1:72" ht="158.25" customHeight="1" x14ac:dyDescent="0.2">
      <c r="A12" s="297"/>
      <c r="B12" s="204"/>
      <c r="C12" s="204"/>
      <c r="D12" s="204"/>
      <c r="E12" s="200"/>
      <c r="F12" s="209"/>
      <c r="G12" s="195" t="s">
        <v>39</v>
      </c>
      <c r="H12" s="196">
        <v>4599002</v>
      </c>
      <c r="I12" s="186" t="s">
        <v>47</v>
      </c>
      <c r="J12" s="196">
        <v>459900200</v>
      </c>
      <c r="K12" s="267" t="s">
        <v>48</v>
      </c>
      <c r="L12" s="209" t="s">
        <v>42</v>
      </c>
      <c r="M12" s="301">
        <v>4</v>
      </c>
      <c r="N12" s="302" t="s">
        <v>49</v>
      </c>
      <c r="O12" s="187" t="s">
        <v>50</v>
      </c>
      <c r="P12" s="195" t="s">
        <v>51</v>
      </c>
      <c r="Q12" s="303"/>
      <c r="R12" s="303"/>
      <c r="S12" s="303"/>
      <c r="T12" s="303"/>
      <c r="U12" s="303"/>
      <c r="V12" s="303"/>
      <c r="W12" s="303"/>
      <c r="X12" s="303"/>
      <c r="Y12" s="303"/>
      <c r="Z12" s="303"/>
      <c r="AA12" s="306">
        <v>50000000</v>
      </c>
      <c r="AB12" s="303"/>
      <c r="AC12" s="303"/>
      <c r="AD12" s="305">
        <f>+Q12+R12+S12+T12+U12+V12+W12+X12+Y12+Z12+AA12+AB12+AC12</f>
        <v>50000000</v>
      </c>
      <c r="AE12" s="305" t="s">
        <v>46</v>
      </c>
      <c r="AF12" s="146" t="s">
        <v>1173</v>
      </c>
    </row>
    <row r="13" spans="1:72" ht="196.5" customHeight="1" x14ac:dyDescent="0.2">
      <c r="A13" s="297"/>
      <c r="B13" s="204"/>
      <c r="C13" s="204"/>
      <c r="D13" s="204"/>
      <c r="E13" s="200"/>
      <c r="F13" s="209"/>
      <c r="G13" s="195" t="s">
        <v>39</v>
      </c>
      <c r="H13" s="196">
        <v>4599023</v>
      </c>
      <c r="I13" s="186" t="s">
        <v>52</v>
      </c>
      <c r="J13" s="196">
        <v>459902301</v>
      </c>
      <c r="K13" s="267" t="s">
        <v>53</v>
      </c>
      <c r="L13" s="209" t="s">
        <v>54</v>
      </c>
      <c r="M13" s="301">
        <v>1</v>
      </c>
      <c r="N13" s="266" t="s">
        <v>55</v>
      </c>
      <c r="O13" s="187" t="s">
        <v>56</v>
      </c>
      <c r="P13" s="195" t="s">
        <v>57</v>
      </c>
      <c r="Q13" s="303"/>
      <c r="R13" s="303"/>
      <c r="S13" s="303"/>
      <c r="T13" s="303"/>
      <c r="U13" s="303"/>
      <c r="V13" s="303"/>
      <c r="W13" s="303"/>
      <c r="X13" s="303"/>
      <c r="Y13" s="303"/>
      <c r="Z13" s="303"/>
      <c r="AA13" s="306">
        <v>50000000</v>
      </c>
      <c r="AB13" s="303"/>
      <c r="AC13" s="303"/>
      <c r="AD13" s="305">
        <f>+Q13+R13+S13+T13+U13+V13+W13+X13+Y13+Z13+AA13+AB13+AC13</f>
        <v>50000000</v>
      </c>
      <c r="AE13" s="305" t="s">
        <v>46</v>
      </c>
      <c r="AF13" s="146" t="s">
        <v>1173</v>
      </c>
    </row>
    <row r="14" spans="1:72" ht="30.75" customHeight="1" x14ac:dyDescent="0.2">
      <c r="A14" s="297"/>
      <c r="B14" s="204"/>
      <c r="C14" s="204"/>
      <c r="D14" s="204"/>
      <c r="E14" s="298">
        <v>4502</v>
      </c>
      <c r="F14" s="188" t="s">
        <v>1323</v>
      </c>
      <c r="G14" s="188"/>
      <c r="H14" s="307"/>
      <c r="I14" s="308"/>
      <c r="J14" s="309"/>
      <c r="K14" s="299"/>
      <c r="L14" s="310"/>
      <c r="M14" s="309"/>
      <c r="N14" s="311"/>
      <c r="O14" s="299"/>
      <c r="P14" s="299"/>
      <c r="Q14" s="300">
        <f>SUM(Q15)</f>
        <v>0</v>
      </c>
      <c r="R14" s="300">
        <f t="shared" ref="R14:AC14" si="3">SUM(R15)</f>
        <v>0</v>
      </c>
      <c r="S14" s="300">
        <f t="shared" si="3"/>
        <v>0</v>
      </c>
      <c r="T14" s="300">
        <f t="shared" si="3"/>
        <v>0</v>
      </c>
      <c r="U14" s="300">
        <f t="shared" si="3"/>
        <v>0</v>
      </c>
      <c r="V14" s="300">
        <f t="shared" si="3"/>
        <v>0</v>
      </c>
      <c r="W14" s="300">
        <f t="shared" si="3"/>
        <v>0</v>
      </c>
      <c r="X14" s="300">
        <f t="shared" si="3"/>
        <v>0</v>
      </c>
      <c r="Y14" s="300">
        <f t="shared" si="3"/>
        <v>0</v>
      </c>
      <c r="Z14" s="300">
        <f t="shared" si="3"/>
        <v>0</v>
      </c>
      <c r="AA14" s="300">
        <f t="shared" si="3"/>
        <v>40000000</v>
      </c>
      <c r="AB14" s="300">
        <f t="shared" si="3"/>
        <v>0</v>
      </c>
      <c r="AC14" s="300">
        <f t="shared" si="3"/>
        <v>0</v>
      </c>
      <c r="AD14" s="300">
        <f>SUM(AD15)</f>
        <v>40000000</v>
      </c>
      <c r="AE14" s="300"/>
      <c r="AF14" s="312"/>
    </row>
    <row r="15" spans="1:72" ht="121.5" customHeight="1" x14ac:dyDescent="0.2">
      <c r="A15" s="297"/>
      <c r="B15" s="204"/>
      <c r="C15" s="204"/>
      <c r="D15" s="204"/>
      <c r="E15" s="200"/>
      <c r="F15" s="209"/>
      <c r="G15" s="195" t="s">
        <v>58</v>
      </c>
      <c r="H15" s="196">
        <v>4502033</v>
      </c>
      <c r="I15" s="186" t="s">
        <v>60</v>
      </c>
      <c r="J15" s="227">
        <v>450203300</v>
      </c>
      <c r="K15" s="313" t="s">
        <v>61</v>
      </c>
      <c r="L15" s="209" t="s">
        <v>42</v>
      </c>
      <c r="M15" s="301">
        <v>1</v>
      </c>
      <c r="N15" s="209" t="s">
        <v>62</v>
      </c>
      <c r="O15" s="187" t="s">
        <v>63</v>
      </c>
      <c r="P15" s="195" t="s">
        <v>64</v>
      </c>
      <c r="Q15" s="303"/>
      <c r="R15" s="303"/>
      <c r="S15" s="303"/>
      <c r="T15" s="303"/>
      <c r="U15" s="303"/>
      <c r="V15" s="303"/>
      <c r="W15" s="303"/>
      <c r="X15" s="303"/>
      <c r="Y15" s="303"/>
      <c r="Z15" s="303"/>
      <c r="AA15" s="314">
        <v>40000000</v>
      </c>
      <c r="AB15" s="303"/>
      <c r="AC15" s="303"/>
      <c r="AD15" s="305">
        <f>+Q15+R15+S15+T15+U15+V15+W15+X15+Y15+Z15+AA15+AB15+AC15</f>
        <v>40000000</v>
      </c>
      <c r="AE15" s="305" t="s">
        <v>46</v>
      </c>
      <c r="AF15" s="146" t="s">
        <v>1173</v>
      </c>
    </row>
    <row r="16" spans="1:72" s="122" customFormat="1" ht="15.75" x14ac:dyDescent="0.2">
      <c r="A16" s="315"/>
      <c r="B16" s="316"/>
      <c r="C16" s="316"/>
      <c r="D16" s="316"/>
      <c r="E16" s="317"/>
      <c r="F16" s="318"/>
      <c r="G16" s="319"/>
      <c r="H16" s="320"/>
      <c r="I16" s="319"/>
      <c r="J16" s="320"/>
      <c r="K16" s="318"/>
      <c r="L16" s="321"/>
      <c r="M16" s="320"/>
      <c r="N16" s="321"/>
      <c r="O16" s="318"/>
      <c r="P16" s="318"/>
      <c r="Q16" s="322"/>
      <c r="R16" s="322"/>
      <c r="S16" s="322"/>
      <c r="T16" s="322"/>
      <c r="U16" s="322"/>
      <c r="V16" s="322"/>
      <c r="W16" s="322"/>
      <c r="X16" s="322"/>
      <c r="Y16" s="322"/>
      <c r="Z16" s="322"/>
      <c r="AA16" s="323"/>
      <c r="AB16" s="322"/>
      <c r="AC16" s="322"/>
      <c r="AD16" s="323"/>
      <c r="AE16" s="323"/>
      <c r="AF16" s="324"/>
      <c r="AG16" s="117"/>
      <c r="AH16" s="117"/>
      <c r="AI16" s="117"/>
      <c r="AJ16" s="117"/>
      <c r="AK16" s="117"/>
      <c r="AL16" s="117"/>
      <c r="AM16" s="117"/>
      <c r="AN16" s="117"/>
      <c r="AO16" s="117"/>
      <c r="AP16" s="117"/>
      <c r="AQ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117"/>
    </row>
    <row r="17" spans="1:72" s="672" customFormat="1" ht="30.75" customHeight="1" x14ac:dyDescent="0.25">
      <c r="A17" s="56" t="s">
        <v>65</v>
      </c>
      <c r="B17" s="56"/>
      <c r="C17" s="56"/>
      <c r="D17" s="56"/>
      <c r="E17" s="57"/>
      <c r="F17" s="58"/>
      <c r="G17" s="650"/>
      <c r="H17" s="653"/>
      <c r="I17" s="650"/>
      <c r="J17" s="654"/>
      <c r="K17" s="655"/>
      <c r="L17" s="656"/>
      <c r="M17" s="654"/>
      <c r="N17" s="58"/>
      <c r="O17" s="655"/>
      <c r="P17" s="655"/>
      <c r="Q17" s="673">
        <f t="shared" ref="Q17:AF18" si="4">Q18</f>
        <v>0</v>
      </c>
      <c r="R17" s="673">
        <f t="shared" si="4"/>
        <v>0</v>
      </c>
      <c r="S17" s="673">
        <f t="shared" si="4"/>
        <v>0</v>
      </c>
      <c r="T17" s="673">
        <f t="shared" si="4"/>
        <v>0</v>
      </c>
      <c r="U17" s="673">
        <f t="shared" si="4"/>
        <v>0</v>
      </c>
      <c r="V17" s="673">
        <f t="shared" si="4"/>
        <v>0</v>
      </c>
      <c r="W17" s="673">
        <f t="shared" si="4"/>
        <v>0</v>
      </c>
      <c r="X17" s="673">
        <f t="shared" si="4"/>
        <v>0</v>
      </c>
      <c r="Y17" s="673">
        <f t="shared" si="4"/>
        <v>0</v>
      </c>
      <c r="Z17" s="673">
        <f t="shared" si="4"/>
        <v>0</v>
      </c>
      <c r="AA17" s="673">
        <f t="shared" si="4"/>
        <v>983000000</v>
      </c>
      <c r="AB17" s="673">
        <f t="shared" si="4"/>
        <v>0</v>
      </c>
      <c r="AC17" s="673">
        <f t="shared" si="4"/>
        <v>0</v>
      </c>
      <c r="AD17" s="673">
        <f t="shared" si="4"/>
        <v>983000000</v>
      </c>
      <c r="AE17" s="673">
        <f t="shared" si="4"/>
        <v>0</v>
      </c>
      <c r="AF17" s="673">
        <f t="shared" si="4"/>
        <v>0</v>
      </c>
      <c r="AG17" s="671"/>
      <c r="AH17" s="671"/>
      <c r="AI17" s="671"/>
      <c r="AJ17" s="671"/>
      <c r="AK17" s="671"/>
      <c r="AL17" s="671"/>
      <c r="AM17" s="671"/>
      <c r="AN17" s="671"/>
      <c r="AO17" s="671"/>
      <c r="AP17" s="671"/>
      <c r="AQ17" s="671"/>
      <c r="AR17" s="671"/>
      <c r="AS17" s="671"/>
      <c r="AT17" s="671"/>
      <c r="AU17" s="671"/>
      <c r="AV17" s="671"/>
      <c r="AW17" s="671"/>
      <c r="AX17" s="671"/>
      <c r="AY17" s="671"/>
      <c r="AZ17" s="671"/>
      <c r="BA17" s="671"/>
      <c r="BB17" s="671"/>
      <c r="BC17" s="671"/>
      <c r="BD17" s="671"/>
      <c r="BE17" s="671"/>
      <c r="BF17" s="671"/>
      <c r="BG17" s="671"/>
      <c r="BH17" s="671"/>
      <c r="BI17" s="671"/>
      <c r="BJ17" s="671"/>
      <c r="BK17" s="671"/>
      <c r="BL17" s="671"/>
      <c r="BM17" s="671"/>
      <c r="BN17" s="671"/>
      <c r="BO17" s="671"/>
      <c r="BP17" s="671"/>
      <c r="BQ17" s="671"/>
      <c r="BR17" s="671"/>
      <c r="BS17" s="671"/>
      <c r="BT17" s="671"/>
    </row>
    <row r="18" spans="1:72" ht="32.25" customHeight="1" x14ac:dyDescent="0.2">
      <c r="A18" s="297"/>
      <c r="B18" s="280">
        <v>4</v>
      </c>
      <c r="C18" s="771" t="s">
        <v>37</v>
      </c>
      <c r="D18" s="772"/>
      <c r="E18" s="772"/>
      <c r="F18" s="772"/>
      <c r="G18" s="773"/>
      <c r="H18" s="281"/>
      <c r="I18" s="282"/>
      <c r="J18" s="280"/>
      <c r="K18" s="283"/>
      <c r="L18" s="284"/>
      <c r="M18" s="280"/>
      <c r="N18" s="285"/>
      <c r="O18" s="283"/>
      <c r="P18" s="283"/>
      <c r="Q18" s="325">
        <f>Q19</f>
        <v>0</v>
      </c>
      <c r="R18" s="325">
        <f t="shared" si="4"/>
        <v>0</v>
      </c>
      <c r="S18" s="325">
        <f t="shared" si="4"/>
        <v>0</v>
      </c>
      <c r="T18" s="325">
        <f t="shared" si="4"/>
        <v>0</v>
      </c>
      <c r="U18" s="325">
        <f t="shared" si="4"/>
        <v>0</v>
      </c>
      <c r="V18" s="325">
        <f t="shared" si="4"/>
        <v>0</v>
      </c>
      <c r="W18" s="325">
        <f t="shared" si="4"/>
        <v>0</v>
      </c>
      <c r="X18" s="325">
        <f t="shared" si="4"/>
        <v>0</v>
      </c>
      <c r="Y18" s="325">
        <f t="shared" si="4"/>
        <v>0</v>
      </c>
      <c r="Z18" s="325">
        <f t="shared" si="4"/>
        <v>0</v>
      </c>
      <c r="AA18" s="325">
        <f t="shared" si="4"/>
        <v>983000000</v>
      </c>
      <c r="AB18" s="325">
        <f t="shared" si="4"/>
        <v>0</v>
      </c>
      <c r="AC18" s="325">
        <f t="shared" si="4"/>
        <v>0</v>
      </c>
      <c r="AD18" s="325">
        <f t="shared" si="4"/>
        <v>983000000</v>
      </c>
      <c r="AE18" s="325">
        <f t="shared" si="4"/>
        <v>0</v>
      </c>
      <c r="AF18" s="325">
        <f>AF19</f>
        <v>0</v>
      </c>
    </row>
    <row r="19" spans="1:72" s="9" customFormat="1" ht="27.75" customHeight="1" x14ac:dyDescent="0.25">
      <c r="A19" s="279"/>
      <c r="B19" s="194"/>
      <c r="C19" s="159">
        <v>45</v>
      </c>
      <c r="D19" s="156" t="s">
        <v>1181</v>
      </c>
      <c r="E19" s="287"/>
      <c r="F19" s="288"/>
      <c r="G19" s="289"/>
      <c r="H19" s="290"/>
      <c r="I19" s="291"/>
      <c r="J19" s="292"/>
      <c r="K19" s="293"/>
      <c r="L19" s="291"/>
      <c r="M19" s="294"/>
      <c r="N19" s="295"/>
      <c r="O19" s="295"/>
      <c r="P19" s="296"/>
      <c r="Q19" s="296">
        <f>Q20+Q23</f>
        <v>0</v>
      </c>
      <c r="R19" s="296">
        <f t="shared" ref="R19:AF19" si="5">R20+R23</f>
        <v>0</v>
      </c>
      <c r="S19" s="296">
        <f t="shared" si="5"/>
        <v>0</v>
      </c>
      <c r="T19" s="296">
        <f t="shared" si="5"/>
        <v>0</v>
      </c>
      <c r="U19" s="296">
        <f t="shared" si="5"/>
        <v>0</v>
      </c>
      <c r="V19" s="296">
        <f t="shared" si="5"/>
        <v>0</v>
      </c>
      <c r="W19" s="296">
        <f t="shared" si="5"/>
        <v>0</v>
      </c>
      <c r="X19" s="296">
        <f t="shared" si="5"/>
        <v>0</v>
      </c>
      <c r="Y19" s="296">
        <f t="shared" si="5"/>
        <v>0</v>
      </c>
      <c r="Z19" s="296">
        <f t="shared" si="5"/>
        <v>0</v>
      </c>
      <c r="AA19" s="296">
        <f t="shared" si="5"/>
        <v>983000000</v>
      </c>
      <c r="AB19" s="296">
        <f t="shared" si="5"/>
        <v>0</v>
      </c>
      <c r="AC19" s="296">
        <f t="shared" si="5"/>
        <v>0</v>
      </c>
      <c r="AD19" s="296">
        <f t="shared" si="5"/>
        <v>983000000</v>
      </c>
      <c r="AE19" s="296">
        <f t="shared" si="5"/>
        <v>0</v>
      </c>
      <c r="AF19" s="296">
        <f t="shared" si="5"/>
        <v>0</v>
      </c>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row>
    <row r="20" spans="1:72" ht="34.5" customHeight="1" x14ac:dyDescent="0.2">
      <c r="A20" s="297"/>
      <c r="B20" s="204"/>
      <c r="C20" s="204"/>
      <c r="D20" s="204"/>
      <c r="E20" s="298">
        <v>4502</v>
      </c>
      <c r="F20" s="188" t="s">
        <v>1323</v>
      </c>
      <c r="G20" s="188"/>
      <c r="H20" s="326"/>
      <c r="I20" s="327"/>
      <c r="J20" s="309"/>
      <c r="K20" s="299"/>
      <c r="L20" s="310"/>
      <c r="M20" s="309"/>
      <c r="N20" s="311"/>
      <c r="O20" s="299"/>
      <c r="P20" s="299"/>
      <c r="Q20" s="328">
        <f>SUM(Q21:Q22)</f>
        <v>0</v>
      </c>
      <c r="R20" s="328">
        <f t="shared" ref="R20:AF20" si="6">SUM(R21:R22)</f>
        <v>0</v>
      </c>
      <c r="S20" s="328">
        <f t="shared" si="6"/>
        <v>0</v>
      </c>
      <c r="T20" s="328">
        <f t="shared" si="6"/>
        <v>0</v>
      </c>
      <c r="U20" s="328">
        <f t="shared" si="6"/>
        <v>0</v>
      </c>
      <c r="V20" s="328">
        <f t="shared" si="6"/>
        <v>0</v>
      </c>
      <c r="W20" s="328">
        <f t="shared" si="6"/>
        <v>0</v>
      </c>
      <c r="X20" s="328">
        <f t="shared" si="6"/>
        <v>0</v>
      </c>
      <c r="Y20" s="328">
        <f t="shared" si="6"/>
        <v>0</v>
      </c>
      <c r="Z20" s="328">
        <f t="shared" si="6"/>
        <v>0</v>
      </c>
      <c r="AA20" s="328">
        <f t="shared" si="6"/>
        <v>175000000</v>
      </c>
      <c r="AB20" s="328">
        <f t="shared" si="6"/>
        <v>0</v>
      </c>
      <c r="AC20" s="328">
        <f t="shared" si="6"/>
        <v>0</v>
      </c>
      <c r="AD20" s="328">
        <f t="shared" si="6"/>
        <v>175000000</v>
      </c>
      <c r="AE20" s="328">
        <f t="shared" si="6"/>
        <v>0</v>
      </c>
      <c r="AF20" s="328">
        <f t="shared" si="6"/>
        <v>0</v>
      </c>
    </row>
    <row r="21" spans="1:72" ht="165" customHeight="1" x14ac:dyDescent="0.2">
      <c r="A21" s="297"/>
      <c r="B21" s="204"/>
      <c r="C21" s="204"/>
      <c r="D21" s="204"/>
      <c r="E21" s="197"/>
      <c r="F21" s="209"/>
      <c r="G21" s="195" t="s">
        <v>66</v>
      </c>
      <c r="H21" s="196">
        <v>4502001</v>
      </c>
      <c r="I21" s="186" t="s">
        <v>68</v>
      </c>
      <c r="J21" s="227">
        <v>450200100</v>
      </c>
      <c r="K21" s="313" t="s">
        <v>69</v>
      </c>
      <c r="L21" s="209" t="s">
        <v>42</v>
      </c>
      <c r="M21" s="301">
        <v>1</v>
      </c>
      <c r="N21" s="266" t="s">
        <v>70</v>
      </c>
      <c r="O21" s="195" t="s">
        <v>1224</v>
      </c>
      <c r="P21" s="195" t="s">
        <v>71</v>
      </c>
      <c r="Q21" s="303"/>
      <c r="R21" s="303"/>
      <c r="S21" s="303"/>
      <c r="T21" s="303"/>
      <c r="U21" s="303"/>
      <c r="V21" s="303"/>
      <c r="W21" s="303"/>
      <c r="X21" s="303"/>
      <c r="Y21" s="303"/>
      <c r="Z21" s="303"/>
      <c r="AA21" s="329">
        <v>140000000</v>
      </c>
      <c r="AB21" s="303"/>
      <c r="AC21" s="303"/>
      <c r="AD21" s="305">
        <f>+Q21+R21+S21+T21+U21+V21+W21+X21+Y21+Z21+AA21+AB21+AC21</f>
        <v>140000000</v>
      </c>
      <c r="AE21" s="305" t="s">
        <v>72</v>
      </c>
      <c r="AF21" s="149" t="s">
        <v>73</v>
      </c>
    </row>
    <row r="22" spans="1:72" ht="107.25" customHeight="1" x14ac:dyDescent="0.2">
      <c r="A22" s="297"/>
      <c r="B22" s="204"/>
      <c r="C22" s="204"/>
      <c r="D22" s="204"/>
      <c r="E22" s="197"/>
      <c r="F22" s="209"/>
      <c r="G22" s="195" t="s">
        <v>58</v>
      </c>
      <c r="H22" s="227">
        <v>4502001</v>
      </c>
      <c r="I22" s="330" t="s">
        <v>74</v>
      </c>
      <c r="J22" s="227">
        <v>450200101</v>
      </c>
      <c r="K22" s="313" t="s">
        <v>75</v>
      </c>
      <c r="L22" s="209" t="s">
        <v>42</v>
      </c>
      <c r="M22" s="301">
        <v>12</v>
      </c>
      <c r="N22" s="266" t="s">
        <v>76</v>
      </c>
      <c r="O22" s="195" t="s">
        <v>77</v>
      </c>
      <c r="P22" s="195" t="s">
        <v>78</v>
      </c>
      <c r="Q22" s="303"/>
      <c r="R22" s="303"/>
      <c r="S22" s="303"/>
      <c r="T22" s="303"/>
      <c r="U22" s="303"/>
      <c r="V22" s="303"/>
      <c r="W22" s="303"/>
      <c r="X22" s="303"/>
      <c r="Y22" s="303"/>
      <c r="Z22" s="303"/>
      <c r="AA22" s="329">
        <v>35000000</v>
      </c>
      <c r="AB22" s="303"/>
      <c r="AC22" s="303"/>
      <c r="AD22" s="305">
        <f>+Q22+R22+S22+T22+U22+V22+W22+X22+Y22+Z22+AA22+AB22+AC22</f>
        <v>35000000</v>
      </c>
      <c r="AE22" s="305" t="s">
        <v>72</v>
      </c>
      <c r="AF22" s="149" t="s">
        <v>73</v>
      </c>
    </row>
    <row r="23" spans="1:72" ht="40.5" customHeight="1" x14ac:dyDescent="0.2">
      <c r="A23" s="297"/>
      <c r="B23" s="204"/>
      <c r="C23" s="204"/>
      <c r="D23" s="204"/>
      <c r="E23" s="298">
        <v>4599</v>
      </c>
      <c r="F23" s="188" t="s">
        <v>1322</v>
      </c>
      <c r="G23" s="188"/>
      <c r="H23" s="326"/>
      <c r="I23" s="327"/>
      <c r="J23" s="309"/>
      <c r="K23" s="299"/>
      <c r="L23" s="310"/>
      <c r="M23" s="309"/>
      <c r="N23" s="311"/>
      <c r="O23" s="308"/>
      <c r="P23" s="308"/>
      <c r="Q23" s="328">
        <f>SUM(Q24:Q33)</f>
        <v>0</v>
      </c>
      <c r="R23" s="328">
        <f t="shared" ref="R23:AF23" si="7">SUM(R24:R33)</f>
        <v>0</v>
      </c>
      <c r="S23" s="328">
        <f t="shared" si="7"/>
        <v>0</v>
      </c>
      <c r="T23" s="328">
        <f t="shared" si="7"/>
        <v>0</v>
      </c>
      <c r="U23" s="328">
        <f t="shared" si="7"/>
        <v>0</v>
      </c>
      <c r="V23" s="328">
        <f t="shared" si="7"/>
        <v>0</v>
      </c>
      <c r="W23" s="328">
        <f t="shared" si="7"/>
        <v>0</v>
      </c>
      <c r="X23" s="328">
        <f t="shared" si="7"/>
        <v>0</v>
      </c>
      <c r="Y23" s="328">
        <f t="shared" si="7"/>
        <v>0</v>
      </c>
      <c r="Z23" s="328">
        <f t="shared" si="7"/>
        <v>0</v>
      </c>
      <c r="AA23" s="328">
        <f t="shared" si="7"/>
        <v>808000000</v>
      </c>
      <c r="AB23" s="328">
        <f t="shared" si="7"/>
        <v>0</v>
      </c>
      <c r="AC23" s="328">
        <f t="shared" si="7"/>
        <v>0</v>
      </c>
      <c r="AD23" s="328">
        <f t="shared" si="7"/>
        <v>808000000</v>
      </c>
      <c r="AE23" s="328">
        <f t="shared" si="7"/>
        <v>0</v>
      </c>
      <c r="AF23" s="328">
        <f t="shared" si="7"/>
        <v>0</v>
      </c>
    </row>
    <row r="24" spans="1:72" ht="185.25" customHeight="1" x14ac:dyDescent="0.2">
      <c r="A24" s="297"/>
      <c r="B24" s="214"/>
      <c r="C24" s="214"/>
      <c r="D24" s="214"/>
      <c r="E24" s="197"/>
      <c r="F24" s="209"/>
      <c r="G24" s="195" t="s">
        <v>39</v>
      </c>
      <c r="H24" s="196">
        <v>4599018</v>
      </c>
      <c r="I24" s="186" t="s">
        <v>1272</v>
      </c>
      <c r="J24" s="196">
        <v>459901800</v>
      </c>
      <c r="K24" s="195" t="s">
        <v>80</v>
      </c>
      <c r="L24" s="331" t="s">
        <v>42</v>
      </c>
      <c r="M24" s="196">
        <v>5</v>
      </c>
      <c r="N24" s="266" t="s">
        <v>81</v>
      </c>
      <c r="O24" s="195" t="s">
        <v>82</v>
      </c>
      <c r="P24" s="195" t="s">
        <v>1291</v>
      </c>
      <c r="Q24" s="303"/>
      <c r="R24" s="303"/>
      <c r="S24" s="303"/>
      <c r="T24" s="303"/>
      <c r="U24" s="303"/>
      <c r="V24" s="303"/>
      <c r="W24" s="303"/>
      <c r="X24" s="303"/>
      <c r="Y24" s="303"/>
      <c r="Z24" s="303"/>
      <c r="AA24" s="332">
        <f>4*3600000*10</f>
        <v>144000000</v>
      </c>
      <c r="AB24" s="303"/>
      <c r="AC24" s="303"/>
      <c r="AD24" s="305">
        <f t="shared" ref="AD24:AD33" si="8">+Q24+R24+S24+T24+U24+V24+W24+X24+Y24+Z24+AA24+AB24+AC24</f>
        <v>144000000</v>
      </c>
      <c r="AE24" s="305" t="s">
        <v>72</v>
      </c>
      <c r="AF24" s="149" t="s">
        <v>73</v>
      </c>
    </row>
    <row r="25" spans="1:72" ht="143.25" customHeight="1" x14ac:dyDescent="0.2">
      <c r="A25" s="297"/>
      <c r="B25" s="204"/>
      <c r="C25" s="204"/>
      <c r="D25" s="204"/>
      <c r="E25" s="197"/>
      <c r="F25" s="209"/>
      <c r="G25" s="195" t="s">
        <v>39</v>
      </c>
      <c r="H25" s="196">
        <v>4599025</v>
      </c>
      <c r="I25" s="186" t="s">
        <v>83</v>
      </c>
      <c r="J25" s="196">
        <v>459902500</v>
      </c>
      <c r="K25" s="187" t="s">
        <v>84</v>
      </c>
      <c r="L25" s="331" t="s">
        <v>42</v>
      </c>
      <c r="M25" s="197">
        <v>1</v>
      </c>
      <c r="N25" s="266" t="s">
        <v>85</v>
      </c>
      <c r="O25" s="195" t="s">
        <v>86</v>
      </c>
      <c r="P25" s="195" t="s">
        <v>1273</v>
      </c>
      <c r="Q25" s="303"/>
      <c r="R25" s="303"/>
      <c r="S25" s="303"/>
      <c r="T25" s="303"/>
      <c r="U25" s="303"/>
      <c r="V25" s="303"/>
      <c r="W25" s="303"/>
      <c r="X25" s="303"/>
      <c r="Y25" s="303"/>
      <c r="Z25" s="303"/>
      <c r="AA25" s="333">
        <v>72000000</v>
      </c>
      <c r="AB25" s="303"/>
      <c r="AC25" s="303"/>
      <c r="AD25" s="305">
        <f t="shared" si="8"/>
        <v>72000000</v>
      </c>
      <c r="AE25" s="305" t="s">
        <v>72</v>
      </c>
      <c r="AF25" s="149" t="s">
        <v>73</v>
      </c>
    </row>
    <row r="26" spans="1:72" ht="178.5" customHeight="1" x14ac:dyDescent="0.2">
      <c r="A26" s="297"/>
      <c r="B26" s="204"/>
      <c r="C26" s="204"/>
      <c r="D26" s="204"/>
      <c r="E26" s="197"/>
      <c r="F26" s="209"/>
      <c r="G26" s="195" t="s">
        <v>39</v>
      </c>
      <c r="H26" s="196">
        <v>4599025</v>
      </c>
      <c r="I26" s="186" t="s">
        <v>87</v>
      </c>
      <c r="J26" s="196">
        <v>459902500</v>
      </c>
      <c r="K26" s="267" t="s">
        <v>88</v>
      </c>
      <c r="L26" s="334" t="s">
        <v>42</v>
      </c>
      <c r="M26" s="220">
        <v>1</v>
      </c>
      <c r="N26" s="266" t="s">
        <v>89</v>
      </c>
      <c r="O26" s="195" t="s">
        <v>90</v>
      </c>
      <c r="P26" s="195" t="s">
        <v>1274</v>
      </c>
      <c r="Q26" s="303"/>
      <c r="R26" s="303"/>
      <c r="S26" s="303"/>
      <c r="T26" s="303"/>
      <c r="U26" s="303"/>
      <c r="V26" s="303"/>
      <c r="W26" s="303"/>
      <c r="X26" s="303"/>
      <c r="Y26" s="303"/>
      <c r="Z26" s="303"/>
      <c r="AA26" s="333">
        <f>(6*3600000*10)+64000000</f>
        <v>280000000</v>
      </c>
      <c r="AB26" s="303"/>
      <c r="AC26" s="303"/>
      <c r="AD26" s="305">
        <f t="shared" si="8"/>
        <v>280000000</v>
      </c>
      <c r="AE26" s="305" t="s">
        <v>72</v>
      </c>
      <c r="AF26" s="149" t="s">
        <v>73</v>
      </c>
    </row>
    <row r="27" spans="1:72" ht="153.75" customHeight="1" x14ac:dyDescent="0.2">
      <c r="A27" s="297"/>
      <c r="B27" s="204"/>
      <c r="C27" s="204"/>
      <c r="D27" s="204"/>
      <c r="E27" s="197"/>
      <c r="F27" s="209"/>
      <c r="G27" s="195" t="s">
        <v>91</v>
      </c>
      <c r="H27" s="196">
        <v>4599031</v>
      </c>
      <c r="I27" s="186" t="s">
        <v>93</v>
      </c>
      <c r="J27" s="196">
        <v>459903101</v>
      </c>
      <c r="K27" s="267" t="s">
        <v>94</v>
      </c>
      <c r="L27" s="335" t="s">
        <v>42</v>
      </c>
      <c r="M27" s="196">
        <v>12</v>
      </c>
      <c r="N27" s="748" t="s">
        <v>95</v>
      </c>
      <c r="O27" s="744" t="s">
        <v>96</v>
      </c>
      <c r="P27" s="744" t="s">
        <v>97</v>
      </c>
      <c r="Q27" s="303"/>
      <c r="R27" s="303"/>
      <c r="S27" s="303"/>
      <c r="T27" s="303"/>
      <c r="U27" s="303"/>
      <c r="V27" s="303"/>
      <c r="W27" s="303"/>
      <c r="X27" s="303"/>
      <c r="Y27" s="303"/>
      <c r="Z27" s="303"/>
      <c r="AA27" s="329">
        <f>10*3600000*1</f>
        <v>36000000</v>
      </c>
      <c r="AB27" s="303"/>
      <c r="AC27" s="303"/>
      <c r="AD27" s="305">
        <f t="shared" si="8"/>
        <v>36000000</v>
      </c>
      <c r="AE27" s="305" t="s">
        <v>72</v>
      </c>
      <c r="AF27" s="149" t="s">
        <v>73</v>
      </c>
    </row>
    <row r="28" spans="1:72" s="82" customFormat="1" ht="106.5" customHeight="1" x14ac:dyDescent="0.2">
      <c r="A28" s="573"/>
      <c r="B28" s="194"/>
      <c r="C28" s="194"/>
      <c r="D28" s="194"/>
      <c r="E28" s="190"/>
      <c r="F28" s="674"/>
      <c r="G28" s="679" t="s">
        <v>91</v>
      </c>
      <c r="H28" s="190">
        <v>4599031</v>
      </c>
      <c r="I28" s="679" t="s">
        <v>99</v>
      </c>
      <c r="J28" s="190">
        <v>459903101</v>
      </c>
      <c r="K28" s="676" t="s">
        <v>100</v>
      </c>
      <c r="L28" s="690" t="s">
        <v>42</v>
      </c>
      <c r="M28" s="190">
        <v>12</v>
      </c>
      <c r="N28" s="748"/>
      <c r="O28" s="744"/>
      <c r="P28" s="744"/>
      <c r="Q28" s="303"/>
      <c r="R28" s="303"/>
      <c r="S28" s="303"/>
      <c r="T28" s="303"/>
      <c r="U28" s="303"/>
      <c r="V28" s="303"/>
      <c r="W28" s="303"/>
      <c r="X28" s="303"/>
      <c r="Y28" s="303"/>
      <c r="Z28" s="303"/>
      <c r="AA28" s="329">
        <f>10*3600000*1</f>
        <v>36000000</v>
      </c>
      <c r="AB28" s="303"/>
      <c r="AC28" s="303"/>
      <c r="AD28" s="575">
        <f t="shared" si="8"/>
        <v>36000000</v>
      </c>
      <c r="AE28" s="575" t="s">
        <v>72</v>
      </c>
      <c r="AF28" s="577" t="s">
        <v>73</v>
      </c>
    </row>
    <row r="29" spans="1:72" s="82" customFormat="1" ht="111" customHeight="1" x14ac:dyDescent="0.2">
      <c r="A29" s="573"/>
      <c r="B29" s="194"/>
      <c r="C29" s="194"/>
      <c r="D29" s="194"/>
      <c r="E29" s="190"/>
      <c r="F29" s="674"/>
      <c r="G29" s="679" t="s">
        <v>91</v>
      </c>
      <c r="H29" s="190">
        <v>4599031</v>
      </c>
      <c r="I29" s="679" t="s">
        <v>101</v>
      </c>
      <c r="J29" s="190">
        <v>459903101</v>
      </c>
      <c r="K29" s="676" t="s">
        <v>100</v>
      </c>
      <c r="L29" s="690" t="s">
        <v>42</v>
      </c>
      <c r="M29" s="190">
        <v>12</v>
      </c>
      <c r="N29" s="748"/>
      <c r="O29" s="744"/>
      <c r="P29" s="744"/>
      <c r="Q29" s="303"/>
      <c r="R29" s="303"/>
      <c r="S29" s="303"/>
      <c r="T29" s="303"/>
      <c r="U29" s="303"/>
      <c r="V29" s="303"/>
      <c r="W29" s="303"/>
      <c r="X29" s="303"/>
      <c r="Y29" s="303"/>
      <c r="Z29" s="303"/>
      <c r="AA29" s="329">
        <f>10*3600000*1</f>
        <v>36000000</v>
      </c>
      <c r="AB29" s="303"/>
      <c r="AC29" s="303"/>
      <c r="AD29" s="575">
        <f t="shared" si="8"/>
        <v>36000000</v>
      </c>
      <c r="AE29" s="575" t="s">
        <v>72</v>
      </c>
      <c r="AF29" s="577" t="s">
        <v>73</v>
      </c>
    </row>
    <row r="30" spans="1:72" s="82" customFormat="1" ht="136.5" customHeight="1" x14ac:dyDescent="0.2">
      <c r="A30" s="573"/>
      <c r="B30" s="194"/>
      <c r="C30" s="194"/>
      <c r="D30" s="194"/>
      <c r="E30" s="190"/>
      <c r="F30" s="674"/>
      <c r="G30" s="679" t="s">
        <v>91</v>
      </c>
      <c r="H30" s="190">
        <v>4599031</v>
      </c>
      <c r="I30" s="679" t="s">
        <v>102</v>
      </c>
      <c r="J30" s="190">
        <v>459903101</v>
      </c>
      <c r="K30" s="691" t="s">
        <v>100</v>
      </c>
      <c r="L30" s="690" t="s">
        <v>42</v>
      </c>
      <c r="M30" s="190">
        <v>12</v>
      </c>
      <c r="N30" s="748"/>
      <c r="O30" s="744"/>
      <c r="P30" s="744"/>
      <c r="Q30" s="303"/>
      <c r="R30" s="303"/>
      <c r="S30" s="303"/>
      <c r="T30" s="303"/>
      <c r="U30" s="303"/>
      <c r="V30" s="303"/>
      <c r="W30" s="303"/>
      <c r="X30" s="303"/>
      <c r="Y30" s="303"/>
      <c r="Z30" s="303"/>
      <c r="AA30" s="329">
        <f>10*3600000*1+24000000-24000000</f>
        <v>36000000</v>
      </c>
      <c r="AB30" s="303"/>
      <c r="AC30" s="303"/>
      <c r="AD30" s="575">
        <f t="shared" si="8"/>
        <v>36000000</v>
      </c>
      <c r="AE30" s="575" t="s">
        <v>72</v>
      </c>
      <c r="AF30" s="577" t="s">
        <v>73</v>
      </c>
    </row>
    <row r="31" spans="1:72" s="82" customFormat="1" ht="144" customHeight="1" x14ac:dyDescent="0.2">
      <c r="A31" s="573"/>
      <c r="B31" s="194"/>
      <c r="C31" s="194"/>
      <c r="D31" s="194"/>
      <c r="E31" s="190"/>
      <c r="F31" s="674"/>
      <c r="G31" s="679" t="s">
        <v>91</v>
      </c>
      <c r="H31" s="190">
        <v>4599031</v>
      </c>
      <c r="I31" s="679" t="s">
        <v>104</v>
      </c>
      <c r="J31" s="190">
        <v>459903101</v>
      </c>
      <c r="K31" s="676" t="s">
        <v>100</v>
      </c>
      <c r="L31" s="690" t="s">
        <v>42</v>
      </c>
      <c r="M31" s="190">
        <v>12</v>
      </c>
      <c r="N31" s="748"/>
      <c r="O31" s="744"/>
      <c r="P31" s="744"/>
      <c r="Q31" s="303"/>
      <c r="R31" s="303"/>
      <c r="S31" s="303"/>
      <c r="T31" s="303"/>
      <c r="U31" s="303"/>
      <c r="V31" s="303"/>
      <c r="W31" s="303"/>
      <c r="X31" s="303"/>
      <c r="Y31" s="303"/>
      <c r="Z31" s="303"/>
      <c r="AA31" s="329">
        <f>10*3600000*1+24000000</f>
        <v>60000000</v>
      </c>
      <c r="AB31" s="303"/>
      <c r="AC31" s="303"/>
      <c r="AD31" s="575">
        <f t="shared" si="8"/>
        <v>60000000</v>
      </c>
      <c r="AE31" s="575" t="s">
        <v>72</v>
      </c>
      <c r="AF31" s="577" t="s">
        <v>73</v>
      </c>
    </row>
    <row r="32" spans="1:72" s="82" customFormat="1" ht="106.5" customHeight="1" x14ac:dyDescent="0.2">
      <c r="A32" s="573"/>
      <c r="B32" s="194"/>
      <c r="C32" s="194"/>
      <c r="D32" s="194"/>
      <c r="E32" s="190"/>
      <c r="F32" s="674"/>
      <c r="G32" s="679" t="s">
        <v>91</v>
      </c>
      <c r="H32" s="190">
        <v>4599031</v>
      </c>
      <c r="I32" s="679" t="s">
        <v>105</v>
      </c>
      <c r="J32" s="190">
        <v>459903101</v>
      </c>
      <c r="K32" s="676" t="s">
        <v>100</v>
      </c>
      <c r="L32" s="690" t="s">
        <v>42</v>
      </c>
      <c r="M32" s="190">
        <v>12</v>
      </c>
      <c r="N32" s="748"/>
      <c r="O32" s="744"/>
      <c r="P32" s="744"/>
      <c r="Q32" s="303"/>
      <c r="R32" s="303"/>
      <c r="S32" s="303"/>
      <c r="T32" s="303"/>
      <c r="U32" s="303"/>
      <c r="V32" s="303"/>
      <c r="W32" s="303"/>
      <c r="X32" s="303"/>
      <c r="Y32" s="303"/>
      <c r="Z32" s="303"/>
      <c r="AA32" s="329">
        <f>10*3600000*1</f>
        <v>36000000</v>
      </c>
      <c r="AB32" s="303"/>
      <c r="AC32" s="303"/>
      <c r="AD32" s="575">
        <f t="shared" si="8"/>
        <v>36000000</v>
      </c>
      <c r="AE32" s="575" t="s">
        <v>72</v>
      </c>
      <c r="AF32" s="577" t="s">
        <v>73</v>
      </c>
    </row>
    <row r="33" spans="1:72" ht="138" customHeight="1" x14ac:dyDescent="0.2">
      <c r="A33" s="297"/>
      <c r="B33" s="210"/>
      <c r="C33" s="210"/>
      <c r="D33" s="210"/>
      <c r="E33" s="202"/>
      <c r="F33" s="209"/>
      <c r="G33" s="195" t="s">
        <v>39</v>
      </c>
      <c r="H33" s="196">
        <v>4599023</v>
      </c>
      <c r="I33" s="186" t="s">
        <v>40</v>
      </c>
      <c r="J33" s="196">
        <v>459902300</v>
      </c>
      <c r="K33" s="267" t="s">
        <v>41</v>
      </c>
      <c r="L33" s="331" t="s">
        <v>42</v>
      </c>
      <c r="M33" s="244">
        <v>18</v>
      </c>
      <c r="N33" s="266" t="s">
        <v>106</v>
      </c>
      <c r="O33" s="191" t="s">
        <v>107</v>
      </c>
      <c r="P33" s="191" t="s">
        <v>108</v>
      </c>
      <c r="Q33" s="297"/>
      <c r="R33" s="297"/>
      <c r="S33" s="297"/>
      <c r="T33" s="297"/>
      <c r="U33" s="297"/>
      <c r="V33" s="297"/>
      <c r="W33" s="297"/>
      <c r="X33" s="297"/>
      <c r="Y33" s="297"/>
      <c r="Z33" s="297"/>
      <c r="AA33" s="329">
        <v>72000000</v>
      </c>
      <c r="AB33" s="297"/>
      <c r="AC33" s="297"/>
      <c r="AD33" s="305">
        <f t="shared" si="8"/>
        <v>72000000</v>
      </c>
      <c r="AE33" s="305" t="s">
        <v>72</v>
      </c>
      <c r="AF33" s="149" t="s">
        <v>73</v>
      </c>
    </row>
    <row r="34" spans="1:72" s="122" customFormat="1" ht="27" customHeight="1" x14ac:dyDescent="0.2">
      <c r="A34" s="315"/>
      <c r="B34" s="336"/>
      <c r="C34" s="336"/>
      <c r="D34" s="336"/>
      <c r="E34" s="337"/>
      <c r="F34" s="338"/>
      <c r="G34" s="319"/>
      <c r="H34" s="337"/>
      <c r="I34" s="319"/>
      <c r="J34" s="320"/>
      <c r="K34" s="318"/>
      <c r="L34" s="338"/>
      <c r="M34" s="320"/>
      <c r="N34" s="338"/>
      <c r="O34" s="318"/>
      <c r="P34" s="318"/>
      <c r="Q34" s="315"/>
      <c r="R34" s="315"/>
      <c r="S34" s="315"/>
      <c r="T34" s="315"/>
      <c r="U34" s="315"/>
      <c r="V34" s="315"/>
      <c r="W34" s="315"/>
      <c r="X34" s="315"/>
      <c r="Y34" s="315"/>
      <c r="Z34" s="315"/>
      <c r="AA34" s="339"/>
      <c r="AB34" s="315"/>
      <c r="AC34" s="315"/>
      <c r="AD34" s="315"/>
      <c r="AE34" s="315"/>
      <c r="AF34" s="338"/>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row>
    <row r="35" spans="1:72" s="658" customFormat="1" ht="33.75" customHeight="1" x14ac:dyDescent="0.2">
      <c r="A35" s="56" t="s">
        <v>1192</v>
      </c>
      <c r="B35" s="56"/>
      <c r="C35" s="56"/>
      <c r="D35" s="56"/>
      <c r="E35" s="57"/>
      <c r="F35" s="58"/>
      <c r="G35" s="650"/>
      <c r="H35" s="653"/>
      <c r="I35" s="650"/>
      <c r="J35" s="654"/>
      <c r="K35" s="655"/>
      <c r="L35" s="656"/>
      <c r="M35" s="654"/>
      <c r="N35" s="58"/>
      <c r="O35" s="655"/>
      <c r="P35" s="655"/>
      <c r="Q35" s="651">
        <f>Q36</f>
        <v>0</v>
      </c>
      <c r="R35" s="651">
        <f t="shared" ref="R35:AD37" si="9">R36</f>
        <v>0</v>
      </c>
      <c r="S35" s="651">
        <f t="shared" si="9"/>
        <v>0</v>
      </c>
      <c r="T35" s="651">
        <f t="shared" si="9"/>
        <v>0</v>
      </c>
      <c r="U35" s="651">
        <f t="shared" si="9"/>
        <v>0</v>
      </c>
      <c r="V35" s="651">
        <f t="shared" si="9"/>
        <v>0</v>
      </c>
      <c r="W35" s="651">
        <f t="shared" si="9"/>
        <v>0</v>
      </c>
      <c r="X35" s="651">
        <f t="shared" si="9"/>
        <v>0</v>
      </c>
      <c r="Y35" s="651">
        <f t="shared" si="9"/>
        <v>0</v>
      </c>
      <c r="Z35" s="651">
        <f t="shared" si="9"/>
        <v>0</v>
      </c>
      <c r="AA35" s="651">
        <f t="shared" si="9"/>
        <v>1840000000</v>
      </c>
      <c r="AB35" s="651">
        <f t="shared" si="9"/>
        <v>0</v>
      </c>
      <c r="AC35" s="651">
        <f t="shared" si="9"/>
        <v>250000000</v>
      </c>
      <c r="AD35" s="651">
        <f t="shared" si="9"/>
        <v>2090000000</v>
      </c>
      <c r="AE35" s="651"/>
      <c r="AF35" s="652"/>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row>
    <row r="36" spans="1:72" ht="30.75" customHeight="1" x14ac:dyDescent="0.2">
      <c r="A36" s="297"/>
      <c r="B36" s="280">
        <v>4</v>
      </c>
      <c r="C36" s="771" t="s">
        <v>37</v>
      </c>
      <c r="D36" s="772"/>
      <c r="E36" s="772"/>
      <c r="F36" s="772"/>
      <c r="G36" s="773"/>
      <c r="H36" s="281"/>
      <c r="I36" s="282"/>
      <c r="J36" s="280"/>
      <c r="K36" s="283"/>
      <c r="L36" s="284"/>
      <c r="M36" s="280"/>
      <c r="N36" s="285"/>
      <c r="O36" s="283"/>
      <c r="P36" s="283"/>
      <c r="Q36" s="286">
        <f>Q37</f>
        <v>0</v>
      </c>
      <c r="R36" s="286">
        <f t="shared" si="9"/>
        <v>0</v>
      </c>
      <c r="S36" s="286">
        <f t="shared" si="9"/>
        <v>0</v>
      </c>
      <c r="T36" s="286">
        <f t="shared" si="9"/>
        <v>0</v>
      </c>
      <c r="U36" s="286">
        <f t="shared" si="9"/>
        <v>0</v>
      </c>
      <c r="V36" s="286">
        <f t="shared" si="9"/>
        <v>0</v>
      </c>
      <c r="W36" s="286">
        <f t="shared" si="9"/>
        <v>0</v>
      </c>
      <c r="X36" s="286">
        <f t="shared" si="9"/>
        <v>0</v>
      </c>
      <c r="Y36" s="286">
        <f t="shared" si="9"/>
        <v>0</v>
      </c>
      <c r="Z36" s="286">
        <f t="shared" si="9"/>
        <v>0</v>
      </c>
      <c r="AA36" s="286">
        <f t="shared" si="9"/>
        <v>1840000000</v>
      </c>
      <c r="AB36" s="286">
        <f t="shared" si="9"/>
        <v>0</v>
      </c>
      <c r="AC36" s="286">
        <f t="shared" si="9"/>
        <v>250000000</v>
      </c>
      <c r="AD36" s="286">
        <f>AD37</f>
        <v>2090000000</v>
      </c>
      <c r="AE36" s="286"/>
      <c r="AF36" s="340"/>
    </row>
    <row r="37" spans="1:72" s="9" customFormat="1" ht="27.75" customHeight="1" x14ac:dyDescent="0.25">
      <c r="A37" s="279"/>
      <c r="B37" s="194"/>
      <c r="C37" s="159">
        <v>45</v>
      </c>
      <c r="D37" s="156" t="s">
        <v>1181</v>
      </c>
      <c r="E37" s="287"/>
      <c r="F37" s="288"/>
      <c r="G37" s="289"/>
      <c r="H37" s="290"/>
      <c r="I37" s="291"/>
      <c r="J37" s="292"/>
      <c r="K37" s="293"/>
      <c r="L37" s="291"/>
      <c r="M37" s="294"/>
      <c r="N37" s="295"/>
      <c r="O37" s="295"/>
      <c r="P37" s="296"/>
      <c r="Q37" s="296">
        <f>Q38</f>
        <v>0</v>
      </c>
      <c r="R37" s="296">
        <f t="shared" si="9"/>
        <v>0</v>
      </c>
      <c r="S37" s="296">
        <f t="shared" si="9"/>
        <v>0</v>
      </c>
      <c r="T37" s="296">
        <f t="shared" si="9"/>
        <v>0</v>
      </c>
      <c r="U37" s="296">
        <f t="shared" si="9"/>
        <v>0</v>
      </c>
      <c r="V37" s="296">
        <f t="shared" si="9"/>
        <v>0</v>
      </c>
      <c r="W37" s="296">
        <f t="shared" si="9"/>
        <v>0</v>
      </c>
      <c r="X37" s="296">
        <f t="shared" si="9"/>
        <v>0</v>
      </c>
      <c r="Y37" s="296">
        <f t="shared" si="9"/>
        <v>0</v>
      </c>
      <c r="Z37" s="296">
        <f t="shared" si="9"/>
        <v>0</v>
      </c>
      <c r="AA37" s="296">
        <f t="shared" si="9"/>
        <v>1840000000</v>
      </c>
      <c r="AB37" s="296">
        <f t="shared" si="9"/>
        <v>0</v>
      </c>
      <c r="AC37" s="296">
        <f t="shared" si="9"/>
        <v>250000000</v>
      </c>
      <c r="AD37" s="296">
        <f t="shared" si="9"/>
        <v>2090000000</v>
      </c>
      <c r="AE37" s="341"/>
      <c r="AF37" s="341"/>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row>
    <row r="38" spans="1:72" ht="30" customHeight="1" x14ac:dyDescent="0.2">
      <c r="A38" s="297"/>
      <c r="B38" s="204"/>
      <c r="C38" s="204"/>
      <c r="D38" s="204"/>
      <c r="E38" s="298">
        <v>4599</v>
      </c>
      <c r="F38" s="188" t="s">
        <v>1322</v>
      </c>
      <c r="G38" s="188"/>
      <c r="H38" s="342"/>
      <c r="I38" s="308"/>
      <c r="J38" s="342"/>
      <c r="K38" s="343"/>
      <c r="L38" s="343"/>
      <c r="M38" s="343"/>
      <c r="N38" s="311"/>
      <c r="O38" s="299"/>
      <c r="P38" s="299"/>
      <c r="Q38" s="300">
        <f>SUM(Q39:Q40)</f>
        <v>0</v>
      </c>
      <c r="R38" s="300">
        <f t="shared" ref="R38:AD38" si="10">SUM(R39:R40)</f>
        <v>0</v>
      </c>
      <c r="S38" s="300">
        <f t="shared" si="10"/>
        <v>0</v>
      </c>
      <c r="T38" s="300">
        <f t="shared" si="10"/>
        <v>0</v>
      </c>
      <c r="U38" s="300">
        <f t="shared" si="10"/>
        <v>0</v>
      </c>
      <c r="V38" s="300">
        <f t="shared" si="10"/>
        <v>0</v>
      </c>
      <c r="W38" s="300">
        <f t="shared" si="10"/>
        <v>0</v>
      </c>
      <c r="X38" s="300">
        <f t="shared" si="10"/>
        <v>0</v>
      </c>
      <c r="Y38" s="300">
        <f t="shared" si="10"/>
        <v>0</v>
      </c>
      <c r="Z38" s="300">
        <f t="shared" si="10"/>
        <v>0</v>
      </c>
      <c r="AA38" s="300">
        <f t="shared" si="10"/>
        <v>1840000000</v>
      </c>
      <c r="AB38" s="300">
        <f t="shared" si="10"/>
        <v>0</v>
      </c>
      <c r="AC38" s="300">
        <f t="shared" si="10"/>
        <v>250000000</v>
      </c>
      <c r="AD38" s="300">
        <f t="shared" si="10"/>
        <v>2090000000</v>
      </c>
      <c r="AE38" s="300"/>
      <c r="AF38" s="312"/>
    </row>
    <row r="39" spans="1:72" ht="171" customHeight="1" x14ac:dyDescent="0.2">
      <c r="A39" s="297"/>
      <c r="B39" s="204"/>
      <c r="C39" s="204"/>
      <c r="D39" s="204"/>
      <c r="E39" s="200"/>
      <c r="F39" s="209"/>
      <c r="G39" s="195" t="s">
        <v>110</v>
      </c>
      <c r="H39" s="196">
        <v>4599002</v>
      </c>
      <c r="I39" s="260" t="s">
        <v>111</v>
      </c>
      <c r="J39" s="196">
        <v>459900201</v>
      </c>
      <c r="K39" s="313" t="s">
        <v>112</v>
      </c>
      <c r="L39" s="209" t="s">
        <v>42</v>
      </c>
      <c r="M39" s="215">
        <v>1</v>
      </c>
      <c r="N39" s="266" t="s">
        <v>113</v>
      </c>
      <c r="O39" s="187" t="s">
        <v>114</v>
      </c>
      <c r="P39" s="195" t="s">
        <v>115</v>
      </c>
      <c r="Q39" s="344"/>
      <c r="R39" s="344"/>
      <c r="S39" s="303"/>
      <c r="T39" s="344"/>
      <c r="U39" s="344"/>
      <c r="V39" s="344"/>
      <c r="W39" s="344"/>
      <c r="X39" s="344"/>
      <c r="Y39" s="344"/>
      <c r="Z39" s="344"/>
      <c r="AA39" s="332">
        <f>670000000+900000000</f>
        <v>1570000000</v>
      </c>
      <c r="AB39" s="344"/>
      <c r="AC39" s="345">
        <v>250000000</v>
      </c>
      <c r="AD39" s="305">
        <f>+Q39+R39+S39+T39+U39+V39+W39+X39+Y39+Z39+AA39+AB39+AC39</f>
        <v>1820000000</v>
      </c>
      <c r="AE39" s="305" t="s">
        <v>116</v>
      </c>
      <c r="AF39" s="149" t="s">
        <v>117</v>
      </c>
    </row>
    <row r="40" spans="1:72" ht="145.5" customHeight="1" x14ac:dyDescent="0.2">
      <c r="A40" s="297"/>
      <c r="B40" s="204"/>
      <c r="C40" s="204"/>
      <c r="D40" s="204"/>
      <c r="E40" s="200"/>
      <c r="F40" s="209"/>
      <c r="G40" s="195" t="s">
        <v>110</v>
      </c>
      <c r="H40" s="196">
        <v>4599002</v>
      </c>
      <c r="I40" s="260" t="s">
        <v>1275</v>
      </c>
      <c r="J40" s="196">
        <v>459900200</v>
      </c>
      <c r="K40" s="313" t="s">
        <v>1197</v>
      </c>
      <c r="L40" s="209" t="s">
        <v>42</v>
      </c>
      <c r="M40" s="215">
        <v>1</v>
      </c>
      <c r="N40" s="266" t="s">
        <v>118</v>
      </c>
      <c r="O40" s="187" t="s">
        <v>1225</v>
      </c>
      <c r="P40" s="195" t="s">
        <v>1287</v>
      </c>
      <c r="Q40" s="303"/>
      <c r="R40" s="303"/>
      <c r="S40" s="303"/>
      <c r="T40" s="303"/>
      <c r="U40" s="303"/>
      <c r="V40" s="303"/>
      <c r="W40" s="303"/>
      <c r="X40" s="303"/>
      <c r="Y40" s="303"/>
      <c r="Z40" s="303"/>
      <c r="AA40" s="346">
        <v>270000000</v>
      </c>
      <c r="AB40" s="303"/>
      <c r="AC40" s="303"/>
      <c r="AD40" s="305">
        <f>+Q40+R40+S40+T40+U40+V40+W40+X40+Y40+Z40+AA40+AB40+AC40</f>
        <v>270000000</v>
      </c>
      <c r="AE40" s="305" t="s">
        <v>116</v>
      </c>
      <c r="AF40" s="149" t="s">
        <v>117</v>
      </c>
    </row>
    <row r="41" spans="1:72" s="122" customFormat="1" ht="22.5" customHeight="1" x14ac:dyDescent="0.2">
      <c r="A41" s="315"/>
      <c r="B41" s="336"/>
      <c r="C41" s="336"/>
      <c r="D41" s="336"/>
      <c r="E41" s="337"/>
      <c r="F41" s="315"/>
      <c r="G41" s="319"/>
      <c r="H41" s="337"/>
      <c r="I41" s="319"/>
      <c r="J41" s="320"/>
      <c r="K41" s="318"/>
      <c r="L41" s="315"/>
      <c r="M41" s="320"/>
      <c r="N41" s="347"/>
      <c r="O41" s="318"/>
      <c r="P41" s="318"/>
      <c r="Q41" s="315"/>
      <c r="R41" s="315"/>
      <c r="S41" s="315"/>
      <c r="T41" s="315"/>
      <c r="U41" s="315"/>
      <c r="V41" s="315"/>
      <c r="W41" s="315"/>
      <c r="X41" s="315"/>
      <c r="Y41" s="315"/>
      <c r="Z41" s="315"/>
      <c r="AA41" s="315"/>
      <c r="AB41" s="315"/>
      <c r="AC41" s="315"/>
      <c r="AD41" s="315"/>
      <c r="AE41" s="315"/>
      <c r="AF41" s="338"/>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row>
    <row r="42" spans="1:72" s="658" customFormat="1" ht="30.75" customHeight="1" x14ac:dyDescent="0.2">
      <c r="A42" s="56" t="s">
        <v>119</v>
      </c>
      <c r="B42" s="56"/>
      <c r="C42" s="56"/>
      <c r="D42" s="56"/>
      <c r="E42" s="57"/>
      <c r="F42" s="58"/>
      <c r="G42" s="650"/>
      <c r="H42" s="653"/>
      <c r="I42" s="650"/>
      <c r="J42" s="654"/>
      <c r="K42" s="655"/>
      <c r="L42" s="656"/>
      <c r="M42" s="654"/>
      <c r="N42" s="58"/>
      <c r="O42" s="655"/>
      <c r="P42" s="655"/>
      <c r="Q42" s="651">
        <f t="shared" ref="Q42:AD42" si="11">Q43+Q59+Q79</f>
        <v>4469330595</v>
      </c>
      <c r="R42" s="651">
        <f t="shared" si="11"/>
        <v>0</v>
      </c>
      <c r="S42" s="651">
        <f t="shared" si="11"/>
        <v>0</v>
      </c>
      <c r="T42" s="651">
        <f t="shared" si="11"/>
        <v>0</v>
      </c>
      <c r="U42" s="651">
        <f t="shared" si="11"/>
        <v>0</v>
      </c>
      <c r="V42" s="651">
        <f t="shared" si="11"/>
        <v>0</v>
      </c>
      <c r="W42" s="651">
        <f t="shared" si="11"/>
        <v>0</v>
      </c>
      <c r="X42" s="651">
        <f t="shared" si="11"/>
        <v>0</v>
      </c>
      <c r="Y42" s="651">
        <f t="shared" si="11"/>
        <v>0</v>
      </c>
      <c r="Z42" s="651">
        <f t="shared" si="11"/>
        <v>2753011221</v>
      </c>
      <c r="AA42" s="651">
        <f t="shared" si="11"/>
        <v>779750000</v>
      </c>
      <c r="AB42" s="651">
        <f t="shared" si="11"/>
        <v>0</v>
      </c>
      <c r="AC42" s="651">
        <f t="shared" si="11"/>
        <v>0</v>
      </c>
      <c r="AD42" s="651">
        <f t="shared" si="11"/>
        <v>8002091816</v>
      </c>
      <c r="AE42" s="651"/>
      <c r="AF42" s="651"/>
      <c r="AG42" s="657"/>
      <c r="AH42" s="657"/>
      <c r="AI42" s="657"/>
      <c r="AJ42" s="657"/>
      <c r="AK42" s="657"/>
      <c r="AL42" s="657"/>
      <c r="AM42" s="657"/>
      <c r="AN42" s="657"/>
      <c r="AO42" s="657"/>
      <c r="AP42" s="657"/>
      <c r="AQ42" s="657"/>
      <c r="AR42" s="657"/>
      <c r="AS42" s="657"/>
      <c r="AT42" s="657"/>
      <c r="AU42" s="657"/>
      <c r="AV42" s="657"/>
      <c r="AW42" s="657"/>
      <c r="AX42" s="657"/>
      <c r="AY42" s="657"/>
      <c r="AZ42" s="657"/>
      <c r="BA42" s="657"/>
      <c r="BB42" s="657"/>
      <c r="BC42" s="657"/>
      <c r="BD42" s="657"/>
      <c r="BE42" s="657"/>
      <c r="BF42" s="657"/>
      <c r="BG42" s="657"/>
      <c r="BH42" s="657"/>
      <c r="BI42" s="657"/>
      <c r="BJ42" s="657"/>
      <c r="BK42" s="657"/>
      <c r="BL42" s="657"/>
      <c r="BM42" s="657"/>
      <c r="BN42" s="657"/>
      <c r="BO42" s="657"/>
      <c r="BP42" s="657"/>
      <c r="BQ42" s="657"/>
      <c r="BR42" s="657"/>
      <c r="BS42" s="657"/>
      <c r="BT42" s="657"/>
    </row>
    <row r="43" spans="1:72" ht="23.25" customHeight="1" x14ac:dyDescent="0.2">
      <c r="A43" s="297"/>
      <c r="B43" s="280">
        <v>1</v>
      </c>
      <c r="C43" s="158" t="s">
        <v>120</v>
      </c>
      <c r="D43" s="348"/>
      <c r="E43" s="155"/>
      <c r="F43" s="155"/>
      <c r="G43" s="155"/>
      <c r="H43" s="281"/>
      <c r="I43" s="282"/>
      <c r="J43" s="280"/>
      <c r="K43" s="283"/>
      <c r="L43" s="284"/>
      <c r="M43" s="280"/>
      <c r="N43" s="285"/>
      <c r="O43" s="283"/>
      <c r="P43" s="283"/>
      <c r="Q43" s="286">
        <f>Q44+Q47+Q50+Q53+Q56</f>
        <v>3919330595</v>
      </c>
      <c r="R43" s="286">
        <f t="shared" ref="R43:AC43" si="12">R44+R47+R50+R53+R56</f>
        <v>0</v>
      </c>
      <c r="S43" s="286">
        <f t="shared" si="12"/>
        <v>0</v>
      </c>
      <c r="T43" s="286">
        <f t="shared" si="12"/>
        <v>0</v>
      </c>
      <c r="U43" s="286">
        <f t="shared" si="12"/>
        <v>0</v>
      </c>
      <c r="V43" s="286">
        <f t="shared" si="12"/>
        <v>0</v>
      </c>
      <c r="W43" s="286">
        <f t="shared" si="12"/>
        <v>0</v>
      </c>
      <c r="X43" s="286">
        <f t="shared" si="12"/>
        <v>0</v>
      </c>
      <c r="Y43" s="286">
        <f t="shared" si="12"/>
        <v>0</v>
      </c>
      <c r="Z43" s="286">
        <f t="shared" si="12"/>
        <v>0</v>
      </c>
      <c r="AA43" s="286">
        <f t="shared" si="12"/>
        <v>91750000</v>
      </c>
      <c r="AB43" s="286">
        <f t="shared" si="12"/>
        <v>0</v>
      </c>
      <c r="AC43" s="286">
        <f t="shared" si="12"/>
        <v>0</v>
      </c>
      <c r="AD43" s="286">
        <f>AD44+AD47+AD50+AD53+AD56</f>
        <v>4011080595</v>
      </c>
      <c r="AE43" s="286"/>
      <c r="AF43" s="286"/>
    </row>
    <row r="44" spans="1:72" s="9" customFormat="1" ht="27.75" customHeight="1" x14ac:dyDescent="0.25">
      <c r="A44" s="279"/>
      <c r="B44" s="194"/>
      <c r="C44" s="159">
        <v>12</v>
      </c>
      <c r="D44" s="156" t="s">
        <v>1182</v>
      </c>
      <c r="E44" s="287"/>
      <c r="F44" s="288"/>
      <c r="G44" s="289"/>
      <c r="H44" s="290"/>
      <c r="I44" s="291"/>
      <c r="J44" s="292"/>
      <c r="K44" s="293"/>
      <c r="L44" s="291"/>
      <c r="M44" s="294"/>
      <c r="N44" s="295"/>
      <c r="O44" s="295"/>
      <c r="P44" s="296"/>
      <c r="Q44" s="296">
        <f>Q45</f>
        <v>0</v>
      </c>
      <c r="R44" s="296">
        <f t="shared" ref="R44:AD44" si="13">R45</f>
        <v>0</v>
      </c>
      <c r="S44" s="296">
        <f t="shared" si="13"/>
        <v>0</v>
      </c>
      <c r="T44" s="296">
        <f t="shared" si="13"/>
        <v>0</v>
      </c>
      <c r="U44" s="296">
        <f t="shared" si="13"/>
        <v>0</v>
      </c>
      <c r="V44" s="296">
        <f t="shared" si="13"/>
        <v>0</v>
      </c>
      <c r="W44" s="296">
        <f t="shared" si="13"/>
        <v>0</v>
      </c>
      <c r="X44" s="296">
        <f t="shared" si="13"/>
        <v>0</v>
      </c>
      <c r="Y44" s="296">
        <f t="shared" si="13"/>
        <v>0</v>
      </c>
      <c r="Z44" s="296">
        <f t="shared" si="13"/>
        <v>0</v>
      </c>
      <c r="AA44" s="296">
        <f t="shared" si="13"/>
        <v>23750000</v>
      </c>
      <c r="AB44" s="296">
        <f t="shared" si="13"/>
        <v>0</v>
      </c>
      <c r="AC44" s="296">
        <f t="shared" si="13"/>
        <v>0</v>
      </c>
      <c r="AD44" s="296">
        <f t="shared" si="13"/>
        <v>23750000</v>
      </c>
      <c r="AE44" s="296"/>
      <c r="AF44" s="296"/>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row>
    <row r="45" spans="1:72" ht="33" customHeight="1" x14ac:dyDescent="0.2">
      <c r="A45" s="297"/>
      <c r="B45" s="204"/>
      <c r="C45" s="204"/>
      <c r="D45" s="204"/>
      <c r="E45" s="309">
        <v>1202</v>
      </c>
      <c r="F45" s="188" t="s">
        <v>121</v>
      </c>
      <c r="G45" s="188"/>
      <c r="H45" s="307"/>
      <c r="I45" s="308"/>
      <c r="J45" s="309"/>
      <c r="K45" s="299"/>
      <c r="L45" s="310"/>
      <c r="M45" s="309"/>
      <c r="N45" s="311"/>
      <c r="O45" s="299"/>
      <c r="P45" s="299"/>
      <c r="Q45" s="300">
        <f t="shared" ref="Q45:AD45" si="14">Q46</f>
        <v>0</v>
      </c>
      <c r="R45" s="300">
        <f t="shared" si="14"/>
        <v>0</v>
      </c>
      <c r="S45" s="300">
        <f t="shared" si="14"/>
        <v>0</v>
      </c>
      <c r="T45" s="300">
        <f t="shared" si="14"/>
        <v>0</v>
      </c>
      <c r="U45" s="300">
        <f t="shared" si="14"/>
        <v>0</v>
      </c>
      <c r="V45" s="300">
        <f t="shared" si="14"/>
        <v>0</v>
      </c>
      <c r="W45" s="300">
        <f t="shared" si="14"/>
        <v>0</v>
      </c>
      <c r="X45" s="300">
        <f t="shared" si="14"/>
        <v>0</v>
      </c>
      <c r="Y45" s="300">
        <f t="shared" si="14"/>
        <v>0</v>
      </c>
      <c r="Z45" s="300">
        <f t="shared" si="14"/>
        <v>0</v>
      </c>
      <c r="AA45" s="300">
        <f>AA46</f>
        <v>23750000</v>
      </c>
      <c r="AB45" s="300">
        <f t="shared" si="14"/>
        <v>0</v>
      </c>
      <c r="AC45" s="300">
        <f t="shared" si="14"/>
        <v>0</v>
      </c>
      <c r="AD45" s="300">
        <f t="shared" si="14"/>
        <v>23750000</v>
      </c>
      <c r="AE45" s="300"/>
      <c r="AF45" s="300"/>
    </row>
    <row r="46" spans="1:72" s="82" customFormat="1" ht="217.5" customHeight="1" x14ac:dyDescent="0.2">
      <c r="A46" s="573"/>
      <c r="B46" s="194"/>
      <c r="C46" s="194"/>
      <c r="D46" s="194"/>
      <c r="E46" s="574"/>
      <c r="F46" s="266"/>
      <c r="G46" s="192" t="s">
        <v>122</v>
      </c>
      <c r="H46" s="190">
        <v>1202019</v>
      </c>
      <c r="I46" s="677" t="s">
        <v>1324</v>
      </c>
      <c r="J46" s="198">
        <v>120201900</v>
      </c>
      <c r="K46" s="193" t="s">
        <v>123</v>
      </c>
      <c r="L46" s="266" t="s">
        <v>54</v>
      </c>
      <c r="M46" s="445">
        <v>3</v>
      </c>
      <c r="N46" s="266" t="s">
        <v>124</v>
      </c>
      <c r="O46" s="191" t="s">
        <v>1226</v>
      </c>
      <c r="P46" s="191" t="s">
        <v>125</v>
      </c>
      <c r="Q46" s="350"/>
      <c r="R46" s="303"/>
      <c r="S46" s="303"/>
      <c r="T46" s="303"/>
      <c r="U46" s="303"/>
      <c r="V46" s="303"/>
      <c r="W46" s="303"/>
      <c r="X46" s="303"/>
      <c r="Y46" s="303"/>
      <c r="Z46" s="303"/>
      <c r="AA46" s="329">
        <v>23750000</v>
      </c>
      <c r="AB46" s="303"/>
      <c r="AC46" s="351"/>
      <c r="AD46" s="575">
        <f>+Q46+R46+S46+T46+U46+V46+W46+X46+Y46+Z46+AA46+AB46+AC46</f>
        <v>23750000</v>
      </c>
      <c r="AE46" s="576" t="s">
        <v>126</v>
      </c>
      <c r="AF46" s="577" t="s">
        <v>127</v>
      </c>
    </row>
    <row r="47" spans="1:72" s="9" customFormat="1" ht="27.75" customHeight="1" x14ac:dyDescent="0.25">
      <c r="A47" s="279"/>
      <c r="B47" s="194"/>
      <c r="C47" s="159">
        <v>19</v>
      </c>
      <c r="D47" s="156" t="s">
        <v>1183</v>
      </c>
      <c r="E47" s="287"/>
      <c r="F47" s="288"/>
      <c r="G47" s="289"/>
      <c r="H47" s="290"/>
      <c r="I47" s="291"/>
      <c r="J47" s="292"/>
      <c r="K47" s="293"/>
      <c r="L47" s="291"/>
      <c r="M47" s="294"/>
      <c r="N47" s="295"/>
      <c r="O47" s="295"/>
      <c r="P47" s="296"/>
      <c r="Q47" s="296">
        <f>Q48</f>
        <v>0</v>
      </c>
      <c r="R47" s="296">
        <f t="shared" ref="R47:AD47" si="15">R48</f>
        <v>0</v>
      </c>
      <c r="S47" s="296">
        <f t="shared" si="15"/>
        <v>0</v>
      </c>
      <c r="T47" s="296">
        <f t="shared" si="15"/>
        <v>0</v>
      </c>
      <c r="U47" s="296">
        <f t="shared" si="15"/>
        <v>0</v>
      </c>
      <c r="V47" s="296">
        <f t="shared" si="15"/>
        <v>0</v>
      </c>
      <c r="W47" s="296">
        <f t="shared" si="15"/>
        <v>0</v>
      </c>
      <c r="X47" s="296">
        <f t="shared" si="15"/>
        <v>0</v>
      </c>
      <c r="Y47" s="296">
        <f t="shared" si="15"/>
        <v>0</v>
      </c>
      <c r="Z47" s="296">
        <f t="shared" si="15"/>
        <v>0</v>
      </c>
      <c r="AA47" s="296">
        <f t="shared" si="15"/>
        <v>38000000</v>
      </c>
      <c r="AB47" s="296">
        <f t="shared" si="15"/>
        <v>0</v>
      </c>
      <c r="AC47" s="296">
        <f t="shared" si="15"/>
        <v>0</v>
      </c>
      <c r="AD47" s="296">
        <f t="shared" si="15"/>
        <v>38000000</v>
      </c>
      <c r="AE47" s="341"/>
      <c r="AF47" s="341"/>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row>
    <row r="48" spans="1:72" ht="35.25" customHeight="1" x14ac:dyDescent="0.2">
      <c r="A48" s="297"/>
      <c r="B48" s="204"/>
      <c r="C48" s="204"/>
      <c r="D48" s="204"/>
      <c r="E48" s="309">
        <v>1906</v>
      </c>
      <c r="F48" s="188" t="s">
        <v>1325</v>
      </c>
      <c r="G48" s="188"/>
      <c r="H48" s="307"/>
      <c r="I48" s="308"/>
      <c r="J48" s="309"/>
      <c r="K48" s="299"/>
      <c r="L48" s="310"/>
      <c r="M48" s="309"/>
      <c r="N48" s="311"/>
      <c r="O48" s="299"/>
      <c r="P48" s="299"/>
      <c r="Q48" s="300">
        <f t="shared" ref="Q48:AD48" si="16">Q49</f>
        <v>0</v>
      </c>
      <c r="R48" s="300">
        <f t="shared" si="16"/>
        <v>0</v>
      </c>
      <c r="S48" s="300">
        <f t="shared" si="16"/>
        <v>0</v>
      </c>
      <c r="T48" s="300">
        <f t="shared" si="16"/>
        <v>0</v>
      </c>
      <c r="U48" s="300">
        <f t="shared" si="16"/>
        <v>0</v>
      </c>
      <c r="V48" s="300">
        <f t="shared" si="16"/>
        <v>0</v>
      </c>
      <c r="W48" s="300">
        <f t="shared" si="16"/>
        <v>0</v>
      </c>
      <c r="X48" s="300">
        <f t="shared" si="16"/>
        <v>0</v>
      </c>
      <c r="Y48" s="300">
        <f t="shared" si="16"/>
        <v>0</v>
      </c>
      <c r="Z48" s="300">
        <f t="shared" si="16"/>
        <v>0</v>
      </c>
      <c r="AA48" s="300">
        <f t="shared" si="16"/>
        <v>38000000</v>
      </c>
      <c r="AB48" s="300">
        <f t="shared" si="16"/>
        <v>0</v>
      </c>
      <c r="AC48" s="300">
        <f t="shared" si="16"/>
        <v>0</v>
      </c>
      <c r="AD48" s="300">
        <f t="shared" si="16"/>
        <v>38000000</v>
      </c>
      <c r="AE48" s="300"/>
      <c r="AF48" s="312"/>
    </row>
    <row r="49" spans="1:71" s="82" customFormat="1" ht="156.75" customHeight="1" x14ac:dyDescent="0.2">
      <c r="A49" s="573"/>
      <c r="B49" s="194"/>
      <c r="C49" s="194"/>
      <c r="D49" s="194"/>
      <c r="E49" s="574"/>
      <c r="F49" s="266"/>
      <c r="G49" s="192" t="s">
        <v>128</v>
      </c>
      <c r="H49" s="190">
        <v>1906015</v>
      </c>
      <c r="I49" s="193" t="s">
        <v>129</v>
      </c>
      <c r="J49" s="383">
        <v>190601500</v>
      </c>
      <c r="K49" s="353" t="s">
        <v>130</v>
      </c>
      <c r="L49" s="266" t="s">
        <v>54</v>
      </c>
      <c r="M49" s="301">
        <v>1</v>
      </c>
      <c r="N49" s="266" t="s">
        <v>131</v>
      </c>
      <c r="O49" s="191" t="s">
        <v>1227</v>
      </c>
      <c r="P49" s="191" t="s">
        <v>132</v>
      </c>
      <c r="Q49" s="350"/>
      <c r="R49" s="303"/>
      <c r="S49" s="303"/>
      <c r="T49" s="303"/>
      <c r="U49" s="303"/>
      <c r="V49" s="303"/>
      <c r="W49" s="303"/>
      <c r="X49" s="303"/>
      <c r="Y49" s="303"/>
      <c r="Z49" s="303"/>
      <c r="AA49" s="329">
        <v>38000000</v>
      </c>
      <c r="AB49" s="303"/>
      <c r="AC49" s="351"/>
      <c r="AD49" s="575">
        <f>+Q49+R49+S49+T49+U49+V49+W49+X49+Y49+Z49+AA49+AB49+AC49</f>
        <v>38000000</v>
      </c>
      <c r="AE49" s="576" t="s">
        <v>126</v>
      </c>
      <c r="AF49" s="577" t="s">
        <v>127</v>
      </c>
    </row>
    <row r="50" spans="1:71" s="9" customFormat="1" ht="27.75" customHeight="1" x14ac:dyDescent="0.25">
      <c r="A50" s="279"/>
      <c r="B50" s="194"/>
      <c r="C50" s="159">
        <v>22</v>
      </c>
      <c r="D50" s="156" t="s">
        <v>231</v>
      </c>
      <c r="E50" s="287"/>
      <c r="F50" s="288"/>
      <c r="G50" s="289"/>
      <c r="H50" s="290"/>
      <c r="I50" s="291"/>
      <c r="J50" s="292"/>
      <c r="K50" s="293"/>
      <c r="L50" s="291"/>
      <c r="M50" s="294"/>
      <c r="N50" s="295"/>
      <c r="O50" s="295"/>
      <c r="P50" s="296"/>
      <c r="Q50" s="296">
        <f>Q51</f>
        <v>2083257220</v>
      </c>
      <c r="R50" s="296">
        <f t="shared" ref="R50:AD50" si="17">R51</f>
        <v>0</v>
      </c>
      <c r="S50" s="296">
        <f t="shared" si="17"/>
        <v>0</v>
      </c>
      <c r="T50" s="296">
        <f t="shared" si="17"/>
        <v>0</v>
      </c>
      <c r="U50" s="296">
        <f t="shared" si="17"/>
        <v>0</v>
      </c>
      <c r="V50" s="296">
        <f t="shared" si="17"/>
        <v>0</v>
      </c>
      <c r="W50" s="296">
        <f t="shared" si="17"/>
        <v>0</v>
      </c>
      <c r="X50" s="296">
        <f t="shared" si="17"/>
        <v>0</v>
      </c>
      <c r="Y50" s="296">
        <f t="shared" si="17"/>
        <v>0</v>
      </c>
      <c r="Z50" s="296">
        <f t="shared" si="17"/>
        <v>0</v>
      </c>
      <c r="AA50" s="296">
        <f t="shared" si="17"/>
        <v>0</v>
      </c>
      <c r="AB50" s="296">
        <f t="shared" si="17"/>
        <v>0</v>
      </c>
      <c r="AC50" s="296">
        <f t="shared" si="17"/>
        <v>0</v>
      </c>
      <c r="AD50" s="296">
        <f t="shared" si="17"/>
        <v>2083257220</v>
      </c>
      <c r="AE50" s="341"/>
      <c r="AF50" s="341"/>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row>
    <row r="51" spans="1:71" ht="30" customHeight="1" x14ac:dyDescent="0.2">
      <c r="A51" s="297"/>
      <c r="B51" s="204"/>
      <c r="C51" s="204"/>
      <c r="D51" s="204"/>
      <c r="E51" s="309">
        <v>2201</v>
      </c>
      <c r="F51" s="188" t="s">
        <v>1326</v>
      </c>
      <c r="G51" s="188"/>
      <c r="H51" s="326"/>
      <c r="I51" s="327"/>
      <c r="J51" s="309"/>
      <c r="K51" s="299"/>
      <c r="L51" s="310"/>
      <c r="M51" s="309"/>
      <c r="N51" s="311"/>
      <c r="O51" s="299"/>
      <c r="P51" s="299"/>
      <c r="Q51" s="300">
        <f t="shared" ref="Q51:AD51" si="18">Q52</f>
        <v>2083257220</v>
      </c>
      <c r="R51" s="300">
        <f t="shared" si="18"/>
        <v>0</v>
      </c>
      <c r="S51" s="300">
        <f t="shared" si="18"/>
        <v>0</v>
      </c>
      <c r="T51" s="300">
        <f t="shared" si="18"/>
        <v>0</v>
      </c>
      <c r="U51" s="300">
        <f t="shared" si="18"/>
        <v>0</v>
      </c>
      <c r="V51" s="300">
        <f t="shared" si="18"/>
        <v>0</v>
      </c>
      <c r="W51" s="300">
        <f t="shared" si="18"/>
        <v>0</v>
      </c>
      <c r="X51" s="300">
        <f t="shared" si="18"/>
        <v>0</v>
      </c>
      <c r="Y51" s="300">
        <f t="shared" si="18"/>
        <v>0</v>
      </c>
      <c r="Z51" s="300">
        <f t="shared" si="18"/>
        <v>0</v>
      </c>
      <c r="AA51" s="300">
        <f t="shared" si="18"/>
        <v>0</v>
      </c>
      <c r="AB51" s="300">
        <f t="shared" si="18"/>
        <v>0</v>
      </c>
      <c r="AC51" s="300">
        <f t="shared" si="18"/>
        <v>0</v>
      </c>
      <c r="AD51" s="300">
        <f t="shared" si="18"/>
        <v>2083257220</v>
      </c>
      <c r="AE51" s="300"/>
      <c r="AF51" s="312"/>
    </row>
    <row r="52" spans="1:71" ht="173.25" customHeight="1" x14ac:dyDescent="0.2">
      <c r="A52" s="297"/>
      <c r="B52" s="204"/>
      <c r="C52" s="204"/>
      <c r="D52" s="204"/>
      <c r="E52" s="200"/>
      <c r="F52" s="209"/>
      <c r="G52" s="195" t="s">
        <v>134</v>
      </c>
      <c r="H52" s="196">
        <v>2201062</v>
      </c>
      <c r="I52" s="186" t="s">
        <v>1327</v>
      </c>
      <c r="J52" s="196">
        <v>220106200</v>
      </c>
      <c r="K52" s="187" t="s">
        <v>136</v>
      </c>
      <c r="L52" s="209" t="s">
        <v>54</v>
      </c>
      <c r="M52" s="261">
        <v>15</v>
      </c>
      <c r="N52" s="266" t="s">
        <v>137</v>
      </c>
      <c r="O52" s="187" t="s">
        <v>1228</v>
      </c>
      <c r="P52" s="187" t="s">
        <v>1208</v>
      </c>
      <c r="Q52" s="354">
        <v>2083257220</v>
      </c>
      <c r="R52" s="303"/>
      <c r="S52" s="303"/>
      <c r="T52" s="303"/>
      <c r="U52" s="303"/>
      <c r="V52" s="303"/>
      <c r="W52" s="303"/>
      <c r="X52" s="303"/>
      <c r="Y52" s="303"/>
      <c r="Z52" s="303"/>
      <c r="AA52" s="329"/>
      <c r="AB52" s="303"/>
      <c r="AC52" s="351"/>
      <c r="AD52" s="305">
        <f>+Q52+R52+S52+T52+U52+V52+W52+X52+Y52+Z52+AA52+AB52+AC52</f>
        <v>2083257220</v>
      </c>
      <c r="AE52" s="352" t="s">
        <v>126</v>
      </c>
      <c r="AF52" s="149" t="s">
        <v>127</v>
      </c>
    </row>
    <row r="53" spans="1:71" s="9" customFormat="1" ht="27.75" customHeight="1" x14ac:dyDescent="0.25">
      <c r="A53" s="279"/>
      <c r="B53" s="194"/>
      <c r="C53" s="159">
        <v>33</v>
      </c>
      <c r="D53" s="156" t="s">
        <v>1184</v>
      </c>
      <c r="E53" s="287"/>
      <c r="F53" s="288"/>
      <c r="G53" s="289"/>
      <c r="H53" s="290"/>
      <c r="I53" s="291"/>
      <c r="J53" s="292"/>
      <c r="K53" s="293"/>
      <c r="L53" s="291"/>
      <c r="M53" s="294"/>
      <c r="N53" s="295"/>
      <c r="O53" s="295"/>
      <c r="P53" s="296"/>
      <c r="Q53" s="296">
        <f>Q54</f>
        <v>0</v>
      </c>
      <c r="R53" s="296">
        <f t="shared" ref="R53:AC53" si="19">R54</f>
        <v>0</v>
      </c>
      <c r="S53" s="296">
        <f t="shared" si="19"/>
        <v>0</v>
      </c>
      <c r="T53" s="296">
        <f t="shared" si="19"/>
        <v>0</v>
      </c>
      <c r="U53" s="296">
        <f t="shared" si="19"/>
        <v>0</v>
      </c>
      <c r="V53" s="296">
        <f t="shared" si="19"/>
        <v>0</v>
      </c>
      <c r="W53" s="296">
        <f t="shared" si="19"/>
        <v>0</v>
      </c>
      <c r="X53" s="296">
        <f t="shared" si="19"/>
        <v>0</v>
      </c>
      <c r="Y53" s="296">
        <f t="shared" si="19"/>
        <v>0</v>
      </c>
      <c r="Z53" s="296">
        <f t="shared" si="19"/>
        <v>0</v>
      </c>
      <c r="AA53" s="296">
        <f t="shared" si="19"/>
        <v>30000000</v>
      </c>
      <c r="AB53" s="296">
        <f t="shared" si="19"/>
        <v>0</v>
      </c>
      <c r="AC53" s="296">
        <f t="shared" si="19"/>
        <v>0</v>
      </c>
      <c r="AD53" s="296">
        <f>AD54</f>
        <v>30000000</v>
      </c>
      <c r="AE53" s="341"/>
      <c r="AF53" s="341"/>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row>
    <row r="54" spans="1:71" ht="33" customHeight="1" x14ac:dyDescent="0.2">
      <c r="A54" s="297"/>
      <c r="B54" s="204"/>
      <c r="C54" s="204"/>
      <c r="D54" s="204"/>
      <c r="E54" s="309">
        <v>3301</v>
      </c>
      <c r="F54" s="188" t="s">
        <v>138</v>
      </c>
      <c r="G54" s="188"/>
      <c r="H54" s="326"/>
      <c r="I54" s="327"/>
      <c r="J54" s="309"/>
      <c r="K54" s="299"/>
      <c r="L54" s="310"/>
      <c r="M54" s="309"/>
      <c r="N54" s="311"/>
      <c r="O54" s="299"/>
      <c r="P54" s="299"/>
      <c r="Q54" s="300">
        <f>SUM(Q55)</f>
        <v>0</v>
      </c>
      <c r="R54" s="300">
        <f t="shared" ref="R54:Z54" si="20">SUM(R55:R58)</f>
        <v>0</v>
      </c>
      <c r="S54" s="300">
        <f t="shared" si="20"/>
        <v>0</v>
      </c>
      <c r="T54" s="300">
        <f t="shared" si="20"/>
        <v>0</v>
      </c>
      <c r="U54" s="300">
        <f t="shared" si="20"/>
        <v>0</v>
      </c>
      <c r="V54" s="300">
        <f t="shared" si="20"/>
        <v>0</v>
      </c>
      <c r="W54" s="300">
        <f t="shared" si="20"/>
        <v>0</v>
      </c>
      <c r="X54" s="300">
        <f t="shared" si="20"/>
        <v>0</v>
      </c>
      <c r="Y54" s="300">
        <f t="shared" si="20"/>
        <v>0</v>
      </c>
      <c r="Z54" s="300">
        <f t="shared" si="20"/>
        <v>0</v>
      </c>
      <c r="AA54" s="300">
        <f>SUM(AA55)</f>
        <v>30000000</v>
      </c>
      <c r="AB54" s="300">
        <f>SUM(AB55:AB58)</f>
        <v>0</v>
      </c>
      <c r="AC54" s="300">
        <f>SUM(AC55:AC58)</f>
        <v>0</v>
      </c>
      <c r="AD54" s="300">
        <f>SUM(AD55)</f>
        <v>30000000</v>
      </c>
      <c r="AE54" s="300"/>
      <c r="AF54" s="312"/>
    </row>
    <row r="55" spans="1:71" ht="96" customHeight="1" x14ac:dyDescent="0.2">
      <c r="A55" s="297"/>
      <c r="B55" s="204"/>
      <c r="C55" s="204"/>
      <c r="D55" s="204"/>
      <c r="E55" s="200"/>
      <c r="F55" s="211"/>
      <c r="G55" s="195" t="s">
        <v>139</v>
      </c>
      <c r="H55" s="197" t="s">
        <v>140</v>
      </c>
      <c r="I55" s="195" t="s">
        <v>141</v>
      </c>
      <c r="J55" s="198" t="s">
        <v>142</v>
      </c>
      <c r="K55" s="193" t="s">
        <v>143</v>
      </c>
      <c r="L55" s="209" t="s">
        <v>54</v>
      </c>
      <c r="M55" s="261">
        <v>2</v>
      </c>
      <c r="N55" s="266" t="s">
        <v>144</v>
      </c>
      <c r="O55" s="187" t="s">
        <v>1229</v>
      </c>
      <c r="P55" s="187" t="s">
        <v>145</v>
      </c>
      <c r="Q55" s="303"/>
      <c r="R55" s="303"/>
      <c r="S55" s="303"/>
      <c r="T55" s="303"/>
      <c r="U55" s="303"/>
      <c r="V55" s="303"/>
      <c r="W55" s="303"/>
      <c r="X55" s="303"/>
      <c r="Y55" s="303"/>
      <c r="Z55" s="303"/>
      <c r="AA55" s="355">
        <v>30000000</v>
      </c>
      <c r="AB55" s="303"/>
      <c r="AC55" s="303"/>
      <c r="AD55" s="575">
        <f>+Q55+R55+S55+T55+U55+V55+W55+X55+Y55+Z55+AA55+AB55+AC55</f>
        <v>30000000</v>
      </c>
      <c r="AE55" s="352" t="s">
        <v>126</v>
      </c>
      <c r="AF55" s="149" t="s">
        <v>127</v>
      </c>
    </row>
    <row r="56" spans="1:71" s="9" customFormat="1" ht="27.75" customHeight="1" x14ac:dyDescent="0.25">
      <c r="A56" s="279"/>
      <c r="B56" s="194"/>
      <c r="C56" s="159">
        <v>43</v>
      </c>
      <c r="D56" s="156" t="s">
        <v>1230</v>
      </c>
      <c r="E56" s="287"/>
      <c r="F56" s="288"/>
      <c r="G56" s="289"/>
      <c r="H56" s="290"/>
      <c r="I56" s="291"/>
      <c r="J56" s="292"/>
      <c r="K56" s="293"/>
      <c r="L56" s="291"/>
      <c r="M56" s="294"/>
      <c r="N56" s="295"/>
      <c r="O56" s="295"/>
      <c r="P56" s="296"/>
      <c r="Q56" s="296">
        <f>Q57</f>
        <v>1836073375</v>
      </c>
      <c r="R56" s="296">
        <f t="shared" ref="R56:AD56" si="21">R57</f>
        <v>0</v>
      </c>
      <c r="S56" s="296">
        <f t="shared" si="21"/>
        <v>0</v>
      </c>
      <c r="T56" s="296">
        <f t="shared" si="21"/>
        <v>0</v>
      </c>
      <c r="U56" s="296">
        <f t="shared" si="21"/>
        <v>0</v>
      </c>
      <c r="V56" s="296">
        <f t="shared" si="21"/>
        <v>0</v>
      </c>
      <c r="W56" s="296">
        <f t="shared" si="21"/>
        <v>0</v>
      </c>
      <c r="X56" s="296">
        <f t="shared" si="21"/>
        <v>0</v>
      </c>
      <c r="Y56" s="296">
        <f t="shared" si="21"/>
        <v>0</v>
      </c>
      <c r="Z56" s="296">
        <f t="shared" si="21"/>
        <v>0</v>
      </c>
      <c r="AA56" s="296">
        <f t="shared" si="21"/>
        <v>0</v>
      </c>
      <c r="AB56" s="296">
        <f t="shared" si="21"/>
        <v>0</v>
      </c>
      <c r="AC56" s="296">
        <f t="shared" si="21"/>
        <v>0</v>
      </c>
      <c r="AD56" s="296">
        <f t="shared" si="21"/>
        <v>1836073375</v>
      </c>
      <c r="AE56" s="341"/>
      <c r="AF56" s="341"/>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row>
    <row r="57" spans="1:71" ht="28.5" customHeight="1" x14ac:dyDescent="0.2">
      <c r="A57" s="297"/>
      <c r="B57" s="204"/>
      <c r="C57" s="204"/>
      <c r="D57" s="204"/>
      <c r="E57" s="309">
        <v>4301</v>
      </c>
      <c r="F57" s="188" t="s">
        <v>1328</v>
      </c>
      <c r="G57" s="188"/>
      <c r="H57" s="307"/>
      <c r="I57" s="308"/>
      <c r="J57" s="309"/>
      <c r="K57" s="299"/>
      <c r="L57" s="299"/>
      <c r="M57" s="309"/>
      <c r="N57" s="311"/>
      <c r="O57" s="299"/>
      <c r="P57" s="299"/>
      <c r="Q57" s="300">
        <f t="shared" ref="Q57:AD57" si="22">Q58</f>
        <v>1836073375</v>
      </c>
      <c r="R57" s="300">
        <f t="shared" si="22"/>
        <v>0</v>
      </c>
      <c r="S57" s="300">
        <f t="shared" si="22"/>
        <v>0</v>
      </c>
      <c r="T57" s="300">
        <f t="shared" si="22"/>
        <v>0</v>
      </c>
      <c r="U57" s="300">
        <f t="shared" si="22"/>
        <v>0</v>
      </c>
      <c r="V57" s="300">
        <f t="shared" si="22"/>
        <v>0</v>
      </c>
      <c r="W57" s="300">
        <f t="shared" si="22"/>
        <v>0</v>
      </c>
      <c r="X57" s="300">
        <f t="shared" si="22"/>
        <v>0</v>
      </c>
      <c r="Y57" s="300">
        <f t="shared" si="22"/>
        <v>0</v>
      </c>
      <c r="Z57" s="300">
        <f t="shared" si="22"/>
        <v>0</v>
      </c>
      <c r="AA57" s="300">
        <f t="shared" si="22"/>
        <v>0</v>
      </c>
      <c r="AB57" s="300">
        <f t="shared" si="22"/>
        <v>0</v>
      </c>
      <c r="AC57" s="300">
        <f t="shared" si="22"/>
        <v>0</v>
      </c>
      <c r="AD57" s="300">
        <f t="shared" si="22"/>
        <v>1836073375</v>
      </c>
      <c r="AE57" s="300"/>
      <c r="AF57" s="312"/>
    </row>
    <row r="58" spans="1:71" ht="161.25" customHeight="1" x14ac:dyDescent="0.2">
      <c r="A58" s="297"/>
      <c r="B58" s="204"/>
      <c r="C58" s="204"/>
      <c r="D58" s="204"/>
      <c r="E58" s="200"/>
      <c r="F58" s="209"/>
      <c r="G58" s="195" t="s">
        <v>146</v>
      </c>
      <c r="H58" s="196">
        <v>4301004</v>
      </c>
      <c r="I58" s="225" t="s">
        <v>1329</v>
      </c>
      <c r="J58" s="196">
        <v>430100401</v>
      </c>
      <c r="K58" s="225" t="s">
        <v>1330</v>
      </c>
      <c r="L58" s="209" t="s">
        <v>54</v>
      </c>
      <c r="M58" s="261">
        <v>3</v>
      </c>
      <c r="N58" s="266" t="s">
        <v>149</v>
      </c>
      <c r="O58" s="187" t="s">
        <v>1209</v>
      </c>
      <c r="P58" s="187" t="s">
        <v>1210</v>
      </c>
      <c r="Q58" s="356">
        <f>1800000000+16073375+20000000</f>
        <v>1836073375</v>
      </c>
      <c r="R58" s="303"/>
      <c r="S58" s="303"/>
      <c r="T58" s="303"/>
      <c r="U58" s="303"/>
      <c r="V58" s="303"/>
      <c r="W58" s="303"/>
      <c r="X58" s="303"/>
      <c r="Y58" s="303"/>
      <c r="Z58" s="303"/>
      <c r="AA58" s="329"/>
      <c r="AB58" s="303"/>
      <c r="AC58" s="303"/>
      <c r="AD58" s="305">
        <f>+Q58+R58+S58+T58+U58+V58+W58+X58+Y58+Z58+AA58+AB58+AC58</f>
        <v>1836073375</v>
      </c>
      <c r="AE58" s="352" t="s">
        <v>126</v>
      </c>
      <c r="AF58" s="149" t="s">
        <v>127</v>
      </c>
    </row>
    <row r="59" spans="1:71" ht="30.75" customHeight="1" x14ac:dyDescent="0.2">
      <c r="A59" s="297"/>
      <c r="B59" s="280">
        <v>3</v>
      </c>
      <c r="C59" s="158" t="s">
        <v>150</v>
      </c>
      <c r="D59" s="348"/>
      <c r="E59" s="155"/>
      <c r="F59" s="155"/>
      <c r="G59" s="357"/>
      <c r="H59" s="358"/>
      <c r="I59" s="359"/>
      <c r="J59" s="360"/>
      <c r="K59" s="361"/>
      <c r="L59" s="362"/>
      <c r="M59" s="360"/>
      <c r="N59" s="363"/>
      <c r="O59" s="361"/>
      <c r="P59" s="364"/>
      <c r="Q59" s="286">
        <f>Q60+Q65+Q69</f>
        <v>550000000</v>
      </c>
      <c r="R59" s="286">
        <f t="shared" ref="R59:AC59" si="23">R60+R65+R69</f>
        <v>0</v>
      </c>
      <c r="S59" s="286">
        <f t="shared" si="23"/>
        <v>0</v>
      </c>
      <c r="T59" s="286">
        <f t="shared" si="23"/>
        <v>0</v>
      </c>
      <c r="U59" s="286">
        <f t="shared" si="23"/>
        <v>0</v>
      </c>
      <c r="V59" s="286">
        <f t="shared" si="23"/>
        <v>0</v>
      </c>
      <c r="W59" s="286">
        <f t="shared" si="23"/>
        <v>0</v>
      </c>
      <c r="X59" s="286">
        <f t="shared" si="23"/>
        <v>0</v>
      </c>
      <c r="Y59" s="286">
        <f t="shared" si="23"/>
        <v>0</v>
      </c>
      <c r="Z59" s="286">
        <f t="shared" si="23"/>
        <v>2753011221</v>
      </c>
      <c r="AA59" s="286">
        <f t="shared" si="23"/>
        <v>610000000</v>
      </c>
      <c r="AB59" s="286">
        <f t="shared" si="23"/>
        <v>0</v>
      </c>
      <c r="AC59" s="286">
        <f t="shared" si="23"/>
        <v>0</v>
      </c>
      <c r="AD59" s="286">
        <f>AD60+AD65+AD69</f>
        <v>3913011221</v>
      </c>
      <c r="AE59" s="286">
        <f>AE61+AE66+AE70+AE72</f>
        <v>0</v>
      </c>
      <c r="AF59" s="340"/>
    </row>
    <row r="60" spans="1:71" s="9" customFormat="1" ht="27.75" customHeight="1" x14ac:dyDescent="0.25">
      <c r="A60" s="279"/>
      <c r="B60" s="194"/>
      <c r="C60" s="159">
        <v>24</v>
      </c>
      <c r="D60" s="156" t="s">
        <v>155</v>
      </c>
      <c r="E60" s="287"/>
      <c r="F60" s="288"/>
      <c r="G60" s="289"/>
      <c r="H60" s="290"/>
      <c r="I60" s="291"/>
      <c r="J60" s="292"/>
      <c r="K60" s="293"/>
      <c r="L60" s="291"/>
      <c r="M60" s="294"/>
      <c r="N60" s="292"/>
      <c r="O60" s="292"/>
      <c r="P60" s="365"/>
      <c r="Q60" s="296">
        <f>Q61</f>
        <v>0</v>
      </c>
      <c r="R60" s="296">
        <f t="shared" ref="R60:AD60" si="24">R61</f>
        <v>0</v>
      </c>
      <c r="S60" s="296">
        <f t="shared" si="24"/>
        <v>0</v>
      </c>
      <c r="T60" s="296">
        <f t="shared" si="24"/>
        <v>0</v>
      </c>
      <c r="U60" s="296">
        <f t="shared" si="24"/>
        <v>0</v>
      </c>
      <c r="V60" s="296">
        <f t="shared" si="24"/>
        <v>0</v>
      </c>
      <c r="W60" s="296">
        <f t="shared" si="24"/>
        <v>0</v>
      </c>
      <c r="X60" s="296">
        <f t="shared" si="24"/>
        <v>0</v>
      </c>
      <c r="Y60" s="296">
        <f t="shared" si="24"/>
        <v>0</v>
      </c>
      <c r="Z60" s="296">
        <f t="shared" si="24"/>
        <v>0</v>
      </c>
      <c r="AA60" s="296">
        <f t="shared" si="24"/>
        <v>390000000</v>
      </c>
      <c r="AB60" s="296">
        <f t="shared" si="24"/>
        <v>0</v>
      </c>
      <c r="AC60" s="296">
        <f t="shared" si="24"/>
        <v>0</v>
      </c>
      <c r="AD60" s="296">
        <f t="shared" si="24"/>
        <v>390000000</v>
      </c>
      <c r="AE60" s="341"/>
      <c r="AF60" s="341"/>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row>
    <row r="61" spans="1:71" ht="26.25" customHeight="1" x14ac:dyDescent="0.2">
      <c r="A61" s="297"/>
      <c r="B61" s="204"/>
      <c r="C61" s="204"/>
      <c r="D61" s="204"/>
      <c r="E61" s="309">
        <v>2402</v>
      </c>
      <c r="F61" s="188" t="s">
        <v>151</v>
      </c>
      <c r="G61" s="366"/>
      <c r="H61" s="367"/>
      <c r="I61" s="368"/>
      <c r="J61" s="369"/>
      <c r="K61" s="370"/>
      <c r="L61" s="371"/>
      <c r="M61" s="369"/>
      <c r="N61" s="372"/>
      <c r="O61" s="370"/>
      <c r="P61" s="373"/>
      <c r="Q61" s="300">
        <f>SUM(Q62:Q64)</f>
        <v>0</v>
      </c>
      <c r="R61" s="300">
        <f t="shared" ref="R61:AD61" si="25">SUM(R62:R64)</f>
        <v>0</v>
      </c>
      <c r="S61" s="300">
        <f t="shared" si="25"/>
        <v>0</v>
      </c>
      <c r="T61" s="300">
        <f t="shared" si="25"/>
        <v>0</v>
      </c>
      <c r="U61" s="300">
        <f t="shared" si="25"/>
        <v>0</v>
      </c>
      <c r="V61" s="300">
        <f t="shared" si="25"/>
        <v>0</v>
      </c>
      <c r="W61" s="300">
        <f t="shared" si="25"/>
        <v>0</v>
      </c>
      <c r="X61" s="300">
        <f t="shared" si="25"/>
        <v>0</v>
      </c>
      <c r="Y61" s="300">
        <f t="shared" si="25"/>
        <v>0</v>
      </c>
      <c r="Z61" s="300">
        <f t="shared" si="25"/>
        <v>0</v>
      </c>
      <c r="AA61" s="300">
        <f t="shared" si="25"/>
        <v>390000000</v>
      </c>
      <c r="AB61" s="300">
        <f t="shared" si="25"/>
        <v>0</v>
      </c>
      <c r="AC61" s="300">
        <f t="shared" si="25"/>
        <v>0</v>
      </c>
      <c r="AD61" s="300">
        <f t="shared" si="25"/>
        <v>390000000</v>
      </c>
      <c r="AE61" s="300"/>
      <c r="AF61" s="312"/>
    </row>
    <row r="62" spans="1:71" ht="125.25" customHeight="1" x14ac:dyDescent="0.2">
      <c r="A62" s="297"/>
      <c r="B62" s="204"/>
      <c r="C62" s="204"/>
      <c r="D62" s="204"/>
      <c r="E62" s="200"/>
      <c r="F62" s="209"/>
      <c r="G62" s="195" t="s">
        <v>152</v>
      </c>
      <c r="H62" s="196">
        <v>2402022</v>
      </c>
      <c r="I62" s="225" t="s">
        <v>153</v>
      </c>
      <c r="J62" s="196">
        <v>240202200</v>
      </c>
      <c r="K62" s="193" t="s">
        <v>154</v>
      </c>
      <c r="L62" s="674" t="s">
        <v>42</v>
      </c>
      <c r="M62" s="385">
        <v>1</v>
      </c>
      <c r="N62" s="748" t="s">
        <v>156</v>
      </c>
      <c r="O62" s="744" t="s">
        <v>1231</v>
      </c>
      <c r="P62" s="744" t="s">
        <v>1211</v>
      </c>
      <c r="Q62" s="303"/>
      <c r="R62" s="303"/>
      <c r="S62" s="375"/>
      <c r="T62" s="303"/>
      <c r="U62" s="303"/>
      <c r="V62" s="303"/>
      <c r="W62" s="303"/>
      <c r="X62" s="303"/>
      <c r="Y62" s="303"/>
      <c r="Z62" s="303"/>
      <c r="AA62" s="376">
        <v>100000000</v>
      </c>
      <c r="AB62" s="303"/>
      <c r="AC62" s="303"/>
      <c r="AD62" s="305">
        <f>+Q62+R62+S62+T62+U62+V62+W62+X62+Y62+Z62+AA62+AB62+AC62</f>
        <v>100000000</v>
      </c>
      <c r="AE62" s="352" t="s">
        <v>126</v>
      </c>
      <c r="AF62" s="149" t="s">
        <v>127</v>
      </c>
    </row>
    <row r="63" spans="1:71" ht="144.75" customHeight="1" x14ac:dyDescent="0.2">
      <c r="A63" s="297"/>
      <c r="B63" s="204"/>
      <c r="C63" s="204"/>
      <c r="D63" s="204"/>
      <c r="E63" s="200"/>
      <c r="F63" s="209"/>
      <c r="G63" s="193" t="s">
        <v>152</v>
      </c>
      <c r="H63" s="221">
        <v>2402041</v>
      </c>
      <c r="I63" s="225" t="s">
        <v>157</v>
      </c>
      <c r="J63" s="203">
        <v>240204100</v>
      </c>
      <c r="K63" s="193" t="s">
        <v>158</v>
      </c>
      <c r="L63" s="209" t="s">
        <v>42</v>
      </c>
      <c r="M63" s="374">
        <v>130</v>
      </c>
      <c r="N63" s="748"/>
      <c r="O63" s="744"/>
      <c r="P63" s="744"/>
      <c r="Q63" s="303"/>
      <c r="R63" s="303"/>
      <c r="S63" s="354"/>
      <c r="T63" s="303"/>
      <c r="U63" s="303"/>
      <c r="V63" s="303"/>
      <c r="W63" s="303"/>
      <c r="X63" s="303"/>
      <c r="Y63" s="303"/>
      <c r="Z63" s="303"/>
      <c r="AA63" s="376">
        <v>250000000</v>
      </c>
      <c r="AB63" s="303"/>
      <c r="AC63" s="303"/>
      <c r="AD63" s="305">
        <f>+Q63+R63+S63+T63+U63+V63+W63+X63+Y63+Z63+AA63+AB63+AC63</f>
        <v>250000000</v>
      </c>
      <c r="AE63" s="352" t="s">
        <v>126</v>
      </c>
      <c r="AF63" s="149" t="s">
        <v>127</v>
      </c>
    </row>
    <row r="64" spans="1:71" ht="121.5" customHeight="1" x14ac:dyDescent="0.2">
      <c r="A64" s="297"/>
      <c r="B64" s="204"/>
      <c r="C64" s="204"/>
      <c r="D64" s="204"/>
      <c r="E64" s="200"/>
      <c r="F64" s="209"/>
      <c r="G64" s="193" t="s">
        <v>152</v>
      </c>
      <c r="H64" s="196">
        <v>2402118</v>
      </c>
      <c r="I64" s="186" t="s">
        <v>159</v>
      </c>
      <c r="J64" s="196">
        <v>240211800</v>
      </c>
      <c r="K64" s="187" t="s">
        <v>160</v>
      </c>
      <c r="L64" s="209" t="s">
        <v>54</v>
      </c>
      <c r="M64" s="261">
        <v>6</v>
      </c>
      <c r="N64" s="266" t="s">
        <v>161</v>
      </c>
      <c r="O64" s="192" t="s">
        <v>162</v>
      </c>
      <c r="P64" s="192" t="s">
        <v>163</v>
      </c>
      <c r="Q64" s="303"/>
      <c r="R64" s="303"/>
      <c r="S64" s="375"/>
      <c r="T64" s="303"/>
      <c r="U64" s="303"/>
      <c r="V64" s="303"/>
      <c r="W64" s="303"/>
      <c r="X64" s="303"/>
      <c r="Y64" s="303"/>
      <c r="Z64" s="303"/>
      <c r="AA64" s="376">
        <v>40000000</v>
      </c>
      <c r="AB64" s="303"/>
      <c r="AC64" s="303"/>
      <c r="AD64" s="305">
        <f>+Q64+R64+S64+T64+U64+V64+W64+X64+Y64+Z64+AA64+AB64+AC64</f>
        <v>40000000</v>
      </c>
      <c r="AE64" s="352" t="s">
        <v>126</v>
      </c>
      <c r="AF64" s="149" t="s">
        <v>127</v>
      </c>
    </row>
    <row r="65" spans="1:71" s="9" customFormat="1" ht="27.75" customHeight="1" x14ac:dyDescent="0.25">
      <c r="A65" s="279"/>
      <c r="B65" s="194"/>
      <c r="C65" s="159">
        <v>32</v>
      </c>
      <c r="D65" s="156" t="s">
        <v>1185</v>
      </c>
      <c r="E65" s="287"/>
      <c r="F65" s="288"/>
      <c r="G65" s="289"/>
      <c r="H65" s="290"/>
      <c r="I65" s="291"/>
      <c r="J65" s="292"/>
      <c r="K65" s="293"/>
      <c r="L65" s="291"/>
      <c r="M65" s="294"/>
      <c r="N65" s="295"/>
      <c r="O65" s="295"/>
      <c r="P65" s="296"/>
      <c r="Q65" s="296">
        <f>Q66</f>
        <v>0</v>
      </c>
      <c r="R65" s="296">
        <f t="shared" ref="R65:AD65" si="26">R66</f>
        <v>0</v>
      </c>
      <c r="S65" s="296">
        <f t="shared" si="26"/>
        <v>0</v>
      </c>
      <c r="T65" s="296">
        <f t="shared" si="26"/>
        <v>0</v>
      </c>
      <c r="U65" s="296">
        <f t="shared" si="26"/>
        <v>0</v>
      </c>
      <c r="V65" s="296">
        <f t="shared" si="26"/>
        <v>0</v>
      </c>
      <c r="W65" s="296">
        <f t="shared" si="26"/>
        <v>0</v>
      </c>
      <c r="X65" s="296">
        <f t="shared" si="26"/>
        <v>0</v>
      </c>
      <c r="Y65" s="296">
        <f t="shared" si="26"/>
        <v>0</v>
      </c>
      <c r="Z65" s="296">
        <f t="shared" si="26"/>
        <v>0</v>
      </c>
      <c r="AA65" s="296">
        <f t="shared" si="26"/>
        <v>200000000</v>
      </c>
      <c r="AB65" s="296">
        <f t="shared" si="26"/>
        <v>0</v>
      </c>
      <c r="AC65" s="296">
        <f t="shared" si="26"/>
        <v>0</v>
      </c>
      <c r="AD65" s="296">
        <f t="shared" si="26"/>
        <v>200000000</v>
      </c>
      <c r="AE65" s="341"/>
      <c r="AF65" s="341"/>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row>
    <row r="66" spans="1:71" ht="28.5" customHeight="1" x14ac:dyDescent="0.2">
      <c r="A66" s="297"/>
      <c r="B66" s="204"/>
      <c r="C66" s="204"/>
      <c r="D66" s="204"/>
      <c r="E66" s="309">
        <v>3205</v>
      </c>
      <c r="F66" s="188" t="s">
        <v>164</v>
      </c>
      <c r="G66" s="377"/>
      <c r="H66" s="377"/>
      <c r="I66" s="366"/>
      <c r="J66" s="309"/>
      <c r="K66" s="299"/>
      <c r="L66" s="310"/>
      <c r="M66" s="309"/>
      <c r="N66" s="311"/>
      <c r="O66" s="299"/>
      <c r="P66" s="299"/>
      <c r="Q66" s="300">
        <f>SUM(Q67:Q68)</f>
        <v>0</v>
      </c>
      <c r="R66" s="300">
        <f t="shared" ref="R66:AD66" si="27">SUM(R67:R68)</f>
        <v>0</v>
      </c>
      <c r="S66" s="300">
        <f t="shared" si="27"/>
        <v>0</v>
      </c>
      <c r="T66" s="300">
        <f t="shared" si="27"/>
        <v>0</v>
      </c>
      <c r="U66" s="300">
        <f t="shared" si="27"/>
        <v>0</v>
      </c>
      <c r="V66" s="300">
        <f t="shared" si="27"/>
        <v>0</v>
      </c>
      <c r="W66" s="300">
        <f t="shared" si="27"/>
        <v>0</v>
      </c>
      <c r="X66" s="300">
        <f t="shared" si="27"/>
        <v>0</v>
      </c>
      <c r="Y66" s="300">
        <f t="shared" si="27"/>
        <v>0</v>
      </c>
      <c r="Z66" s="300">
        <f t="shared" si="27"/>
        <v>0</v>
      </c>
      <c r="AA66" s="300">
        <f t="shared" si="27"/>
        <v>200000000</v>
      </c>
      <c r="AB66" s="300">
        <f t="shared" si="27"/>
        <v>0</v>
      </c>
      <c r="AC66" s="300">
        <f t="shared" si="27"/>
        <v>0</v>
      </c>
      <c r="AD66" s="300">
        <f t="shared" si="27"/>
        <v>200000000</v>
      </c>
      <c r="AE66" s="300"/>
      <c r="AF66" s="312"/>
    </row>
    <row r="67" spans="1:71" ht="135" customHeight="1" x14ac:dyDescent="0.2">
      <c r="A67" s="297"/>
      <c r="B67" s="204"/>
      <c r="C67" s="204"/>
      <c r="D67" s="204"/>
      <c r="E67" s="200"/>
      <c r="F67" s="209"/>
      <c r="G67" s="195" t="s">
        <v>165</v>
      </c>
      <c r="H67" s="198">
        <v>3205010</v>
      </c>
      <c r="I67" s="195" t="s">
        <v>166</v>
      </c>
      <c r="J67" s="198" t="s">
        <v>167</v>
      </c>
      <c r="K67" s="187" t="s">
        <v>168</v>
      </c>
      <c r="L67" s="378" t="s">
        <v>54</v>
      </c>
      <c r="M67" s="261">
        <v>2</v>
      </c>
      <c r="N67" s="266" t="s">
        <v>169</v>
      </c>
      <c r="O67" s="187" t="s">
        <v>1232</v>
      </c>
      <c r="P67" s="187" t="s">
        <v>170</v>
      </c>
      <c r="Q67" s="303" t="s">
        <v>38</v>
      </c>
      <c r="R67" s="303"/>
      <c r="S67" s="375"/>
      <c r="T67" s="303"/>
      <c r="U67" s="303"/>
      <c r="V67" s="303"/>
      <c r="W67" s="303"/>
      <c r="X67" s="303"/>
      <c r="Y67" s="303"/>
      <c r="Z67" s="303"/>
      <c r="AA67" s="379">
        <v>100000000</v>
      </c>
      <c r="AB67" s="303"/>
      <c r="AC67" s="303"/>
      <c r="AD67" s="305">
        <f>SUM(Q67:AC67)</f>
        <v>100000000</v>
      </c>
      <c r="AE67" s="352" t="s">
        <v>126</v>
      </c>
      <c r="AF67" s="149" t="s">
        <v>127</v>
      </c>
    </row>
    <row r="68" spans="1:71" ht="157.5" customHeight="1" x14ac:dyDescent="0.2">
      <c r="A68" s="297"/>
      <c r="B68" s="204"/>
      <c r="C68" s="204"/>
      <c r="D68" s="204"/>
      <c r="E68" s="200"/>
      <c r="F68" s="209"/>
      <c r="G68" s="195" t="s">
        <v>171</v>
      </c>
      <c r="H68" s="198">
        <v>3205021</v>
      </c>
      <c r="I68" s="195" t="s">
        <v>172</v>
      </c>
      <c r="J68" s="198">
        <v>320502100</v>
      </c>
      <c r="K68" s="187" t="s">
        <v>173</v>
      </c>
      <c r="L68" s="378" t="s">
        <v>54</v>
      </c>
      <c r="M68" s="261">
        <v>2</v>
      </c>
      <c r="N68" s="266" t="s">
        <v>174</v>
      </c>
      <c r="O68" s="187" t="s">
        <v>175</v>
      </c>
      <c r="P68" s="187" t="s">
        <v>176</v>
      </c>
      <c r="Q68" s="303"/>
      <c r="R68" s="303"/>
      <c r="S68" s="380">
        <v>0</v>
      </c>
      <c r="T68" s="303"/>
      <c r="U68" s="303"/>
      <c r="V68" s="303"/>
      <c r="W68" s="303"/>
      <c r="X68" s="303"/>
      <c r="Y68" s="303"/>
      <c r="Z68" s="303"/>
      <c r="AA68" s="379">
        <v>100000000</v>
      </c>
      <c r="AB68" s="303"/>
      <c r="AC68" s="303"/>
      <c r="AD68" s="305">
        <f>SUM(Q68:AC68)</f>
        <v>100000000</v>
      </c>
      <c r="AE68" s="352" t="s">
        <v>126</v>
      </c>
      <c r="AF68" s="149" t="s">
        <v>127</v>
      </c>
    </row>
    <row r="69" spans="1:71" s="9" customFormat="1" ht="27.75" customHeight="1" x14ac:dyDescent="0.25">
      <c r="A69" s="279"/>
      <c r="B69" s="194"/>
      <c r="C69" s="681">
        <v>40</v>
      </c>
      <c r="D69" s="156" t="s">
        <v>1358</v>
      </c>
      <c r="E69" s="287"/>
      <c r="F69" s="288"/>
      <c r="G69" s="289"/>
      <c r="H69" s="290"/>
      <c r="I69" s="291"/>
      <c r="J69" s="292"/>
      <c r="K69" s="293"/>
      <c r="L69" s="291"/>
      <c r="M69" s="294"/>
      <c r="N69" s="295"/>
      <c r="O69" s="295"/>
      <c r="P69" s="296"/>
      <c r="Q69" s="296">
        <f>Q70+Q72</f>
        <v>550000000</v>
      </c>
      <c r="R69" s="296">
        <f t="shared" ref="R69:AD69" si="28">R70+R72</f>
        <v>0</v>
      </c>
      <c r="S69" s="296">
        <f t="shared" si="28"/>
        <v>0</v>
      </c>
      <c r="T69" s="296">
        <f t="shared" si="28"/>
        <v>0</v>
      </c>
      <c r="U69" s="296">
        <f t="shared" si="28"/>
        <v>0</v>
      </c>
      <c r="V69" s="296">
        <f t="shared" si="28"/>
        <v>0</v>
      </c>
      <c r="W69" s="296">
        <f t="shared" si="28"/>
        <v>0</v>
      </c>
      <c r="X69" s="296">
        <f t="shared" si="28"/>
        <v>0</v>
      </c>
      <c r="Y69" s="296">
        <f t="shared" si="28"/>
        <v>0</v>
      </c>
      <c r="Z69" s="296">
        <f t="shared" si="28"/>
        <v>2753011221</v>
      </c>
      <c r="AA69" s="296">
        <f t="shared" si="28"/>
        <v>20000000</v>
      </c>
      <c r="AB69" s="296">
        <f t="shared" si="28"/>
        <v>0</v>
      </c>
      <c r="AC69" s="296">
        <f t="shared" si="28"/>
        <v>0</v>
      </c>
      <c r="AD69" s="296">
        <f t="shared" si="28"/>
        <v>3323011221</v>
      </c>
      <c r="AE69" s="341"/>
      <c r="AF69" s="341"/>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row>
    <row r="70" spans="1:71" ht="28.5" customHeight="1" x14ac:dyDescent="0.2">
      <c r="A70" s="297"/>
      <c r="B70" s="204"/>
      <c r="C70" s="204"/>
      <c r="D70" s="204"/>
      <c r="E70" s="309">
        <v>4001</v>
      </c>
      <c r="F70" s="188" t="s">
        <v>177</v>
      </c>
      <c r="G70" s="366"/>
      <c r="H70" s="307"/>
      <c r="I70" s="308"/>
      <c r="J70" s="309"/>
      <c r="K70" s="299"/>
      <c r="L70" s="310"/>
      <c r="M70" s="309"/>
      <c r="N70" s="311"/>
      <c r="O70" s="299"/>
      <c r="P70" s="299"/>
      <c r="Q70" s="300">
        <f>Q71</f>
        <v>100000000</v>
      </c>
      <c r="R70" s="300">
        <f t="shared" ref="R70:AD70" si="29">R71</f>
        <v>0</v>
      </c>
      <c r="S70" s="300">
        <f t="shared" si="29"/>
        <v>0</v>
      </c>
      <c r="T70" s="300">
        <f t="shared" si="29"/>
        <v>0</v>
      </c>
      <c r="U70" s="300">
        <f t="shared" si="29"/>
        <v>0</v>
      </c>
      <c r="V70" s="300">
        <f t="shared" si="29"/>
        <v>0</v>
      </c>
      <c r="W70" s="300">
        <f t="shared" si="29"/>
        <v>0</v>
      </c>
      <c r="X70" s="300">
        <f t="shared" si="29"/>
        <v>0</v>
      </c>
      <c r="Y70" s="300">
        <f t="shared" si="29"/>
        <v>0</v>
      </c>
      <c r="Z70" s="300">
        <f t="shared" si="29"/>
        <v>0</v>
      </c>
      <c r="AA70" s="300">
        <f t="shared" si="29"/>
        <v>20000000</v>
      </c>
      <c r="AB70" s="300">
        <f t="shared" si="29"/>
        <v>0</v>
      </c>
      <c r="AC70" s="300">
        <f t="shared" si="29"/>
        <v>0</v>
      </c>
      <c r="AD70" s="300">
        <f t="shared" si="29"/>
        <v>120000000</v>
      </c>
      <c r="AE70" s="300"/>
      <c r="AF70" s="312"/>
    </row>
    <row r="71" spans="1:71" ht="126.75" customHeight="1" x14ac:dyDescent="0.2">
      <c r="A71" s="297"/>
      <c r="B71" s="204"/>
      <c r="C71" s="204"/>
      <c r="D71" s="204"/>
      <c r="E71" s="200"/>
      <c r="F71" s="209"/>
      <c r="G71" s="195" t="s">
        <v>178</v>
      </c>
      <c r="H71" s="199">
        <v>4001015</v>
      </c>
      <c r="I71" s="195" t="s">
        <v>179</v>
      </c>
      <c r="J71" s="219" t="s">
        <v>180</v>
      </c>
      <c r="K71" s="246" t="s">
        <v>181</v>
      </c>
      <c r="L71" s="209" t="s">
        <v>54</v>
      </c>
      <c r="M71" s="261">
        <v>50</v>
      </c>
      <c r="N71" s="266" t="s">
        <v>182</v>
      </c>
      <c r="O71" s="191" t="s">
        <v>183</v>
      </c>
      <c r="P71" s="191" t="s">
        <v>184</v>
      </c>
      <c r="Q71" s="303">
        <v>100000000</v>
      </c>
      <c r="R71" s="303"/>
      <c r="S71" s="375"/>
      <c r="T71" s="303"/>
      <c r="U71" s="303"/>
      <c r="V71" s="303"/>
      <c r="W71" s="303"/>
      <c r="X71" s="303"/>
      <c r="Y71" s="303"/>
      <c r="Z71" s="303"/>
      <c r="AA71" s="329">
        <v>20000000</v>
      </c>
      <c r="AB71" s="303"/>
      <c r="AC71" s="303"/>
      <c r="AD71" s="305">
        <f>+Q71+R71+S71+T71+U71+V71+W71+X71+Y71+Z71+AA71+AB71+AC71</f>
        <v>120000000</v>
      </c>
      <c r="AE71" s="352" t="s">
        <v>126</v>
      </c>
      <c r="AF71" s="149" t="s">
        <v>127</v>
      </c>
    </row>
    <row r="72" spans="1:71" ht="33" customHeight="1" x14ac:dyDescent="0.2">
      <c r="A72" s="297"/>
      <c r="B72" s="204"/>
      <c r="C72" s="204"/>
      <c r="D72" s="204"/>
      <c r="E72" s="309">
        <v>4003</v>
      </c>
      <c r="F72" s="188" t="s">
        <v>185</v>
      </c>
      <c r="G72" s="366"/>
      <c r="H72" s="307"/>
      <c r="I72" s="308"/>
      <c r="J72" s="309"/>
      <c r="K72" s="299"/>
      <c r="L72" s="310"/>
      <c r="M72" s="309"/>
      <c r="N72" s="311"/>
      <c r="O72" s="299"/>
      <c r="P72" s="299"/>
      <c r="Q72" s="300">
        <f>SUM(Q73:Q78)</f>
        <v>450000000</v>
      </c>
      <c r="R72" s="300">
        <f t="shared" ref="R72:AD72" si="30">SUM(R73:R78)</f>
        <v>0</v>
      </c>
      <c r="S72" s="300">
        <f t="shared" si="30"/>
        <v>0</v>
      </c>
      <c r="T72" s="300">
        <f t="shared" si="30"/>
        <v>0</v>
      </c>
      <c r="U72" s="300">
        <f t="shared" si="30"/>
        <v>0</v>
      </c>
      <c r="V72" s="300">
        <f t="shared" si="30"/>
        <v>0</v>
      </c>
      <c r="W72" s="300">
        <f t="shared" si="30"/>
        <v>0</v>
      </c>
      <c r="X72" s="300">
        <f t="shared" si="30"/>
        <v>0</v>
      </c>
      <c r="Y72" s="300">
        <f t="shared" si="30"/>
        <v>0</v>
      </c>
      <c r="Z72" s="300">
        <f t="shared" si="30"/>
        <v>2753011221</v>
      </c>
      <c r="AA72" s="300">
        <f t="shared" si="30"/>
        <v>0</v>
      </c>
      <c r="AB72" s="300">
        <f t="shared" si="30"/>
        <v>0</v>
      </c>
      <c r="AC72" s="300">
        <f t="shared" si="30"/>
        <v>0</v>
      </c>
      <c r="AD72" s="300">
        <f t="shared" si="30"/>
        <v>3203011221</v>
      </c>
      <c r="AE72" s="300">
        <f>SUM(AE73:AE78)</f>
        <v>0</v>
      </c>
      <c r="AF72" s="312">
        <f>SUM(AF73:AF78)</f>
        <v>0</v>
      </c>
    </row>
    <row r="73" spans="1:71" ht="117" customHeight="1" x14ac:dyDescent="0.2">
      <c r="A73" s="297"/>
      <c r="B73" s="204"/>
      <c r="C73" s="204"/>
      <c r="D73" s="204"/>
      <c r="E73" s="200"/>
      <c r="F73" s="381"/>
      <c r="G73" s="193" t="s">
        <v>186</v>
      </c>
      <c r="H73" s="196">
        <v>4003006</v>
      </c>
      <c r="I73" s="186" t="s">
        <v>188</v>
      </c>
      <c r="J73" s="196">
        <v>400300600</v>
      </c>
      <c r="K73" s="267" t="s">
        <v>189</v>
      </c>
      <c r="L73" s="222" t="s">
        <v>42</v>
      </c>
      <c r="M73" s="382">
        <v>1</v>
      </c>
      <c r="N73" s="747" t="s">
        <v>190</v>
      </c>
      <c r="O73" s="753" t="s">
        <v>191</v>
      </c>
      <c r="P73" s="749" t="s">
        <v>192</v>
      </c>
      <c r="Q73" s="303"/>
      <c r="R73" s="303"/>
      <c r="S73" s="375"/>
      <c r="T73" s="303"/>
      <c r="U73" s="303"/>
      <c r="V73" s="303"/>
      <c r="W73" s="303"/>
      <c r="X73" s="303"/>
      <c r="Y73" s="303"/>
      <c r="Z73" s="303">
        <v>100000000</v>
      </c>
      <c r="AA73" s="329"/>
      <c r="AB73" s="303"/>
      <c r="AC73" s="303"/>
      <c r="AD73" s="305">
        <f t="shared" ref="AD73:AD78" si="31">+Q73+R73+S73+T73+U73+V73+W73+X73+Y73+Z73+AA73+AB73+AC73</f>
        <v>100000000</v>
      </c>
      <c r="AE73" s="352" t="s">
        <v>126</v>
      </c>
      <c r="AF73" s="149" t="s">
        <v>127</v>
      </c>
    </row>
    <row r="74" spans="1:71" ht="60" customHeight="1" x14ac:dyDescent="0.2">
      <c r="A74" s="297"/>
      <c r="B74" s="204"/>
      <c r="C74" s="204"/>
      <c r="D74" s="204"/>
      <c r="E74" s="200"/>
      <c r="F74" s="381"/>
      <c r="G74" s="193" t="s">
        <v>193</v>
      </c>
      <c r="H74" s="198">
        <v>4003018</v>
      </c>
      <c r="I74" s="193" t="s">
        <v>194</v>
      </c>
      <c r="J74" s="198">
        <v>400301802</v>
      </c>
      <c r="K74" s="224" t="s">
        <v>195</v>
      </c>
      <c r="L74" s="209" t="s">
        <v>54</v>
      </c>
      <c r="M74" s="374">
        <v>1</v>
      </c>
      <c r="N74" s="747"/>
      <c r="O74" s="753"/>
      <c r="P74" s="749"/>
      <c r="Q74" s="303"/>
      <c r="R74" s="303"/>
      <c r="S74" s="375"/>
      <c r="T74" s="303"/>
      <c r="U74" s="303"/>
      <c r="V74" s="303"/>
      <c r="W74" s="303"/>
      <c r="X74" s="303"/>
      <c r="Y74" s="303"/>
      <c r="Z74" s="303">
        <v>729000000</v>
      </c>
      <c r="AA74" s="329"/>
      <c r="AB74" s="303"/>
      <c r="AC74" s="303"/>
      <c r="AD74" s="305">
        <f t="shared" si="31"/>
        <v>729000000</v>
      </c>
      <c r="AE74" s="352" t="s">
        <v>126</v>
      </c>
      <c r="AF74" s="149" t="s">
        <v>127</v>
      </c>
    </row>
    <row r="75" spans="1:71" ht="67.5" customHeight="1" x14ac:dyDescent="0.2">
      <c r="A75" s="297"/>
      <c r="B75" s="204"/>
      <c r="C75" s="204"/>
      <c r="D75" s="204"/>
      <c r="E75" s="200"/>
      <c r="F75" s="381"/>
      <c r="G75" s="193" t="s">
        <v>186</v>
      </c>
      <c r="H75" s="198">
        <v>4003025</v>
      </c>
      <c r="I75" s="193" t="s">
        <v>196</v>
      </c>
      <c r="J75" s="383">
        <v>400302500</v>
      </c>
      <c r="K75" s="384" t="s">
        <v>197</v>
      </c>
      <c r="L75" s="385" t="s">
        <v>54</v>
      </c>
      <c r="M75" s="374">
        <v>4</v>
      </c>
      <c r="N75" s="747"/>
      <c r="O75" s="753"/>
      <c r="P75" s="749"/>
      <c r="Q75" s="303">
        <v>450000000</v>
      </c>
      <c r="R75" s="303"/>
      <c r="S75" s="375"/>
      <c r="T75" s="303"/>
      <c r="U75" s="303"/>
      <c r="V75" s="303"/>
      <c r="W75" s="303"/>
      <c r="X75" s="303"/>
      <c r="Y75" s="303"/>
      <c r="Z75" s="303">
        <v>230774762</v>
      </c>
      <c r="AA75" s="329"/>
      <c r="AB75" s="303"/>
      <c r="AC75" s="303"/>
      <c r="AD75" s="305">
        <f t="shared" si="31"/>
        <v>680774762</v>
      </c>
      <c r="AE75" s="352" t="s">
        <v>126</v>
      </c>
      <c r="AF75" s="149" t="s">
        <v>127</v>
      </c>
    </row>
    <row r="76" spans="1:71" ht="72" customHeight="1" x14ac:dyDescent="0.2">
      <c r="A76" s="297"/>
      <c r="B76" s="204"/>
      <c r="C76" s="204"/>
      <c r="D76" s="204"/>
      <c r="E76" s="200"/>
      <c r="F76" s="381"/>
      <c r="G76" s="193" t="s">
        <v>186</v>
      </c>
      <c r="H76" s="198">
        <v>4003028</v>
      </c>
      <c r="I76" s="193" t="s">
        <v>198</v>
      </c>
      <c r="J76" s="198">
        <v>400302801</v>
      </c>
      <c r="K76" s="224" t="s">
        <v>199</v>
      </c>
      <c r="L76" s="209" t="s">
        <v>42</v>
      </c>
      <c r="M76" s="374">
        <v>4</v>
      </c>
      <c r="N76" s="747"/>
      <c r="O76" s="753"/>
      <c r="P76" s="749"/>
      <c r="Q76" s="303"/>
      <c r="R76" s="303"/>
      <c r="S76" s="375"/>
      <c r="T76" s="303"/>
      <c r="U76" s="303"/>
      <c r="V76" s="303"/>
      <c r="W76" s="303"/>
      <c r="X76" s="303"/>
      <c r="Y76" s="303"/>
      <c r="Z76" s="303">
        <v>279000000</v>
      </c>
      <c r="AA76" s="329"/>
      <c r="AB76" s="303"/>
      <c r="AC76" s="303"/>
      <c r="AD76" s="305">
        <f t="shared" si="31"/>
        <v>279000000</v>
      </c>
      <c r="AE76" s="352" t="s">
        <v>126</v>
      </c>
      <c r="AF76" s="149" t="s">
        <v>127</v>
      </c>
    </row>
    <row r="77" spans="1:71" ht="78.75" customHeight="1" x14ac:dyDescent="0.2">
      <c r="A77" s="297"/>
      <c r="B77" s="204"/>
      <c r="C77" s="204"/>
      <c r="D77" s="204"/>
      <c r="E77" s="200"/>
      <c r="F77" s="381"/>
      <c r="G77" s="193" t="s">
        <v>186</v>
      </c>
      <c r="H77" s="198">
        <v>4003042</v>
      </c>
      <c r="I77" s="193" t="s">
        <v>200</v>
      </c>
      <c r="J77" s="198">
        <v>400304200</v>
      </c>
      <c r="K77" s="224" t="s">
        <v>201</v>
      </c>
      <c r="L77" s="209" t="s">
        <v>54</v>
      </c>
      <c r="M77" s="374">
        <v>3</v>
      </c>
      <c r="N77" s="747"/>
      <c r="O77" s="753"/>
      <c r="P77" s="749"/>
      <c r="Q77" s="303"/>
      <c r="R77" s="303"/>
      <c r="S77" s="375"/>
      <c r="T77" s="303"/>
      <c r="U77" s="303"/>
      <c r="V77" s="303"/>
      <c r="W77" s="303"/>
      <c r="X77" s="303"/>
      <c r="Y77" s="303"/>
      <c r="Z77" s="303">
        <v>629000000</v>
      </c>
      <c r="AA77" s="329"/>
      <c r="AB77" s="303"/>
      <c r="AC77" s="303"/>
      <c r="AD77" s="305">
        <f t="shared" si="31"/>
        <v>629000000</v>
      </c>
      <c r="AE77" s="352" t="s">
        <v>126</v>
      </c>
      <c r="AF77" s="149" t="s">
        <v>127</v>
      </c>
    </row>
    <row r="78" spans="1:71" ht="89.25" customHeight="1" x14ac:dyDescent="0.2">
      <c r="A78" s="297"/>
      <c r="B78" s="204"/>
      <c r="C78" s="204"/>
      <c r="D78" s="204"/>
      <c r="E78" s="200"/>
      <c r="F78" s="381"/>
      <c r="G78" s="193" t="s">
        <v>186</v>
      </c>
      <c r="H78" s="198" t="s">
        <v>202</v>
      </c>
      <c r="I78" s="193" t="s">
        <v>203</v>
      </c>
      <c r="J78" s="383">
        <v>400302600</v>
      </c>
      <c r="K78" s="384" t="s">
        <v>204</v>
      </c>
      <c r="L78" s="385" t="s">
        <v>54</v>
      </c>
      <c r="M78" s="374">
        <v>1</v>
      </c>
      <c r="N78" s="747"/>
      <c r="O78" s="753"/>
      <c r="P78" s="749"/>
      <c r="Q78" s="303"/>
      <c r="R78" s="303"/>
      <c r="S78" s="375"/>
      <c r="T78" s="303"/>
      <c r="U78" s="303"/>
      <c r="V78" s="303"/>
      <c r="W78" s="303"/>
      <c r="X78" s="303"/>
      <c r="Y78" s="303"/>
      <c r="Z78" s="303">
        <v>785236459</v>
      </c>
      <c r="AA78" s="329"/>
      <c r="AB78" s="303"/>
      <c r="AC78" s="303"/>
      <c r="AD78" s="305">
        <f t="shared" si="31"/>
        <v>785236459</v>
      </c>
      <c r="AE78" s="352" t="s">
        <v>126</v>
      </c>
      <c r="AF78" s="149" t="s">
        <v>127</v>
      </c>
    </row>
    <row r="79" spans="1:71" ht="25.5" customHeight="1" x14ac:dyDescent="0.2">
      <c r="A79" s="297"/>
      <c r="B79" s="280">
        <v>4</v>
      </c>
      <c r="C79" s="155" t="s">
        <v>37</v>
      </c>
      <c r="D79" s="348"/>
      <c r="E79" s="155" t="s">
        <v>37</v>
      </c>
      <c r="F79" s="155"/>
      <c r="G79" s="155"/>
      <c r="H79" s="281"/>
      <c r="I79" s="282"/>
      <c r="J79" s="280"/>
      <c r="K79" s="283"/>
      <c r="L79" s="284"/>
      <c r="M79" s="280"/>
      <c r="N79" s="285"/>
      <c r="O79" s="283"/>
      <c r="P79" s="283"/>
      <c r="Q79" s="286">
        <f>Q80</f>
        <v>0</v>
      </c>
      <c r="R79" s="286">
        <f t="shared" ref="R79:AC79" si="32">R80</f>
        <v>0</v>
      </c>
      <c r="S79" s="286">
        <f t="shared" si="32"/>
        <v>0</v>
      </c>
      <c r="T79" s="286">
        <f t="shared" si="32"/>
        <v>0</v>
      </c>
      <c r="U79" s="286">
        <f t="shared" si="32"/>
        <v>0</v>
      </c>
      <c r="V79" s="286">
        <f t="shared" si="32"/>
        <v>0</v>
      </c>
      <c r="W79" s="286">
        <f t="shared" si="32"/>
        <v>0</v>
      </c>
      <c r="X79" s="286">
        <f t="shared" si="32"/>
        <v>0</v>
      </c>
      <c r="Y79" s="286">
        <f t="shared" si="32"/>
        <v>0</v>
      </c>
      <c r="Z79" s="286">
        <f t="shared" si="32"/>
        <v>0</v>
      </c>
      <c r="AA79" s="286">
        <f t="shared" si="32"/>
        <v>78000000</v>
      </c>
      <c r="AB79" s="286">
        <f t="shared" si="32"/>
        <v>0</v>
      </c>
      <c r="AC79" s="286">
        <f t="shared" si="32"/>
        <v>0</v>
      </c>
      <c r="AD79" s="286">
        <f>AD80</f>
        <v>78000000</v>
      </c>
      <c r="AE79" s="286"/>
      <c r="AF79" s="340"/>
    </row>
    <row r="80" spans="1:71" s="9" customFormat="1" ht="27.75" customHeight="1" x14ac:dyDescent="0.25">
      <c r="A80" s="279"/>
      <c r="B80" s="194"/>
      <c r="C80" s="159">
        <v>45</v>
      </c>
      <c r="D80" s="156" t="s">
        <v>1181</v>
      </c>
      <c r="E80" s="287"/>
      <c r="F80" s="288"/>
      <c r="G80" s="289"/>
      <c r="H80" s="290"/>
      <c r="I80" s="291"/>
      <c r="J80" s="292"/>
      <c r="K80" s="293"/>
      <c r="L80" s="291"/>
      <c r="M80" s="294"/>
      <c r="N80" s="295"/>
      <c r="O80" s="295"/>
      <c r="P80" s="296"/>
      <c r="Q80" s="296">
        <f>Q81+Q83</f>
        <v>0</v>
      </c>
      <c r="R80" s="296">
        <f t="shared" ref="R80:AD80" si="33">R81+R83</f>
        <v>0</v>
      </c>
      <c r="S80" s="296">
        <f t="shared" si="33"/>
        <v>0</v>
      </c>
      <c r="T80" s="296">
        <f t="shared" si="33"/>
        <v>0</v>
      </c>
      <c r="U80" s="296">
        <f t="shared" si="33"/>
        <v>0</v>
      </c>
      <c r="V80" s="296">
        <f t="shared" si="33"/>
        <v>0</v>
      </c>
      <c r="W80" s="296">
        <f t="shared" si="33"/>
        <v>0</v>
      </c>
      <c r="X80" s="296">
        <f t="shared" si="33"/>
        <v>0</v>
      </c>
      <c r="Y80" s="296">
        <f t="shared" si="33"/>
        <v>0</v>
      </c>
      <c r="Z80" s="296">
        <f t="shared" si="33"/>
        <v>0</v>
      </c>
      <c r="AA80" s="296">
        <f t="shared" si="33"/>
        <v>78000000</v>
      </c>
      <c r="AB80" s="296">
        <f t="shared" si="33"/>
        <v>0</v>
      </c>
      <c r="AC80" s="296">
        <f t="shared" si="33"/>
        <v>0</v>
      </c>
      <c r="AD80" s="296">
        <f t="shared" si="33"/>
        <v>78000000</v>
      </c>
      <c r="AE80" s="341"/>
      <c r="AF80" s="341"/>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row>
    <row r="81" spans="1:72" ht="27.75" customHeight="1" x14ac:dyDescent="0.2">
      <c r="A81" s="297"/>
      <c r="B81" s="204"/>
      <c r="C81" s="204"/>
      <c r="D81" s="204"/>
      <c r="E81" s="309">
        <v>4599</v>
      </c>
      <c r="F81" s="188" t="s">
        <v>1322</v>
      </c>
      <c r="G81" s="366"/>
      <c r="H81" s="387"/>
      <c r="I81" s="308"/>
      <c r="J81" s="309"/>
      <c r="K81" s="299"/>
      <c r="L81" s="310"/>
      <c r="M81" s="309"/>
      <c r="N81" s="311"/>
      <c r="O81" s="299"/>
      <c r="P81" s="299"/>
      <c r="Q81" s="300">
        <f>Q82</f>
        <v>0</v>
      </c>
      <c r="R81" s="300">
        <f t="shared" ref="R81:AD81" si="34">R82</f>
        <v>0</v>
      </c>
      <c r="S81" s="300">
        <f t="shared" si="34"/>
        <v>0</v>
      </c>
      <c r="T81" s="300">
        <f t="shared" si="34"/>
        <v>0</v>
      </c>
      <c r="U81" s="300">
        <f t="shared" si="34"/>
        <v>0</v>
      </c>
      <c r="V81" s="300">
        <f t="shared" si="34"/>
        <v>0</v>
      </c>
      <c r="W81" s="300">
        <f t="shared" si="34"/>
        <v>0</v>
      </c>
      <c r="X81" s="300">
        <f t="shared" si="34"/>
        <v>0</v>
      </c>
      <c r="Y81" s="300">
        <f t="shared" si="34"/>
        <v>0</v>
      </c>
      <c r="Z81" s="300">
        <f t="shared" si="34"/>
        <v>0</v>
      </c>
      <c r="AA81" s="300">
        <f t="shared" si="34"/>
        <v>40000000</v>
      </c>
      <c r="AB81" s="300">
        <f t="shared" si="34"/>
        <v>0</v>
      </c>
      <c r="AC81" s="300">
        <f t="shared" si="34"/>
        <v>0</v>
      </c>
      <c r="AD81" s="300">
        <f t="shared" si="34"/>
        <v>40000000</v>
      </c>
      <c r="AE81" s="300"/>
      <c r="AF81" s="312"/>
    </row>
    <row r="82" spans="1:72" ht="130.5" customHeight="1" x14ac:dyDescent="0.2">
      <c r="A82" s="297"/>
      <c r="B82" s="204"/>
      <c r="C82" s="204"/>
      <c r="D82" s="204"/>
      <c r="E82" s="200"/>
      <c r="F82" s="222" t="s">
        <v>38</v>
      </c>
      <c r="G82" s="195" t="s">
        <v>39</v>
      </c>
      <c r="H82" s="203" t="s">
        <v>205</v>
      </c>
      <c r="I82" s="186" t="s">
        <v>1331</v>
      </c>
      <c r="J82" s="203">
        <v>459901600</v>
      </c>
      <c r="K82" s="187" t="s">
        <v>206</v>
      </c>
      <c r="L82" s="209" t="s">
        <v>42</v>
      </c>
      <c r="M82" s="261">
        <v>4</v>
      </c>
      <c r="N82" s="266" t="s">
        <v>207</v>
      </c>
      <c r="O82" s="191" t="s">
        <v>1212</v>
      </c>
      <c r="P82" s="191" t="s">
        <v>1213</v>
      </c>
      <c r="Q82" s="388"/>
      <c r="R82" s="303"/>
      <c r="S82" s="303"/>
      <c r="T82" s="303"/>
      <c r="U82" s="303"/>
      <c r="V82" s="303"/>
      <c r="W82" s="303"/>
      <c r="X82" s="303"/>
      <c r="Y82" s="303"/>
      <c r="Z82" s="303"/>
      <c r="AA82" s="329">
        <v>40000000</v>
      </c>
      <c r="AB82" s="389"/>
      <c r="AC82" s="303"/>
      <c r="AD82" s="305">
        <f>+Q82+R82+S82+T82+U82+V82+W82+X82+Y82+Z82+AA82+AB82+AC82</f>
        <v>40000000</v>
      </c>
      <c r="AE82" s="352" t="s">
        <v>126</v>
      </c>
      <c r="AF82" s="149" t="s">
        <v>127</v>
      </c>
    </row>
    <row r="83" spans="1:72" ht="29.25" customHeight="1" x14ac:dyDescent="0.2">
      <c r="A83" s="297"/>
      <c r="B83" s="204"/>
      <c r="C83" s="204"/>
      <c r="D83" s="204"/>
      <c r="E83" s="309">
        <v>4502</v>
      </c>
      <c r="F83" s="188" t="s">
        <v>1323</v>
      </c>
      <c r="G83" s="366"/>
      <c r="H83" s="307"/>
      <c r="I83" s="308"/>
      <c r="J83" s="309"/>
      <c r="K83" s="299"/>
      <c r="L83" s="310"/>
      <c r="M83" s="309"/>
      <c r="N83" s="311"/>
      <c r="O83" s="299"/>
      <c r="P83" s="299"/>
      <c r="Q83" s="300">
        <f>Q84</f>
        <v>0</v>
      </c>
      <c r="R83" s="300">
        <f t="shared" ref="R83:AD83" si="35">R84</f>
        <v>0</v>
      </c>
      <c r="S83" s="300">
        <f t="shared" si="35"/>
        <v>0</v>
      </c>
      <c r="T83" s="300">
        <f t="shared" si="35"/>
        <v>0</v>
      </c>
      <c r="U83" s="300">
        <f t="shared" si="35"/>
        <v>0</v>
      </c>
      <c r="V83" s="300">
        <f t="shared" si="35"/>
        <v>0</v>
      </c>
      <c r="W83" s="300">
        <f t="shared" si="35"/>
        <v>0</v>
      </c>
      <c r="X83" s="300">
        <f t="shared" si="35"/>
        <v>0</v>
      </c>
      <c r="Y83" s="300">
        <f t="shared" si="35"/>
        <v>0</v>
      </c>
      <c r="Z83" s="300">
        <f t="shared" si="35"/>
        <v>0</v>
      </c>
      <c r="AA83" s="300">
        <f t="shared" si="35"/>
        <v>38000000</v>
      </c>
      <c r="AB83" s="300">
        <f t="shared" si="35"/>
        <v>0</v>
      </c>
      <c r="AC83" s="300">
        <f t="shared" si="35"/>
        <v>0</v>
      </c>
      <c r="AD83" s="300">
        <f t="shared" si="35"/>
        <v>38000000</v>
      </c>
      <c r="AE83" s="300"/>
      <c r="AF83" s="312"/>
    </row>
    <row r="84" spans="1:72" ht="147.75" customHeight="1" x14ac:dyDescent="0.2">
      <c r="A84" s="297"/>
      <c r="B84" s="204"/>
      <c r="C84" s="204"/>
      <c r="D84" s="204"/>
      <c r="E84" s="200"/>
      <c r="F84" s="209"/>
      <c r="G84" s="195" t="s">
        <v>66</v>
      </c>
      <c r="H84" s="198">
        <v>4502003</v>
      </c>
      <c r="I84" s="193" t="s">
        <v>208</v>
      </c>
      <c r="J84" s="198">
        <v>450200300</v>
      </c>
      <c r="K84" s="193" t="s">
        <v>208</v>
      </c>
      <c r="L84" s="209" t="s">
        <v>54</v>
      </c>
      <c r="M84" s="261">
        <v>2</v>
      </c>
      <c r="N84" s="266" t="s">
        <v>209</v>
      </c>
      <c r="O84" s="191" t="s">
        <v>210</v>
      </c>
      <c r="P84" s="191" t="s">
        <v>211</v>
      </c>
      <c r="Q84" s="388"/>
      <c r="R84" s="303"/>
      <c r="S84" s="303"/>
      <c r="T84" s="303"/>
      <c r="U84" s="303"/>
      <c r="V84" s="303"/>
      <c r="W84" s="303"/>
      <c r="X84" s="303"/>
      <c r="Y84" s="303"/>
      <c r="Z84" s="303"/>
      <c r="AA84" s="329">
        <v>38000000</v>
      </c>
      <c r="AB84" s="297"/>
      <c r="AC84" s="303"/>
      <c r="AD84" s="305">
        <f>+Q84+R84+S84+T84+U84+V84+W84+X84+Y84+Z84+AA84+AB84+AC84</f>
        <v>38000000</v>
      </c>
      <c r="AE84" s="352" t="s">
        <v>126</v>
      </c>
      <c r="AF84" s="149" t="s">
        <v>127</v>
      </c>
    </row>
    <row r="85" spans="1:72" s="122" customFormat="1" ht="30" customHeight="1" x14ac:dyDescent="0.2">
      <c r="A85" s="315"/>
      <c r="B85" s="336"/>
      <c r="C85" s="336"/>
      <c r="D85" s="336"/>
      <c r="E85" s="337"/>
      <c r="F85" s="315"/>
      <c r="G85" s="319"/>
      <c r="H85" s="337"/>
      <c r="I85" s="319"/>
      <c r="J85" s="390"/>
      <c r="K85" s="318"/>
      <c r="L85" s="315"/>
      <c r="M85" s="320"/>
      <c r="N85" s="338"/>
      <c r="O85" s="318"/>
      <c r="P85" s="318"/>
      <c r="Q85" s="315"/>
      <c r="R85" s="315"/>
      <c r="S85" s="315"/>
      <c r="T85" s="315"/>
      <c r="U85" s="315"/>
      <c r="V85" s="315"/>
      <c r="W85" s="315"/>
      <c r="X85" s="315"/>
      <c r="Y85" s="315"/>
      <c r="Z85" s="315"/>
      <c r="AA85" s="315"/>
      <c r="AB85" s="315"/>
      <c r="AC85" s="315"/>
      <c r="AD85" s="315"/>
      <c r="AE85" s="315"/>
      <c r="AF85" s="338"/>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c r="BT85" s="117"/>
    </row>
    <row r="86" spans="1:72" s="658" customFormat="1" ht="36.75" customHeight="1" x14ac:dyDescent="0.2">
      <c r="A86" s="56" t="s">
        <v>212</v>
      </c>
      <c r="B86" s="56"/>
      <c r="C86" s="56"/>
      <c r="D86" s="56"/>
      <c r="E86" s="57"/>
      <c r="F86" s="58"/>
      <c r="G86" s="650"/>
      <c r="H86" s="653"/>
      <c r="I86" s="650"/>
      <c r="J86" s="654"/>
      <c r="K86" s="655"/>
      <c r="L86" s="656"/>
      <c r="M86" s="654"/>
      <c r="N86" s="58"/>
      <c r="O86" s="655"/>
      <c r="P86" s="655"/>
      <c r="Q86" s="651">
        <f t="shared" ref="Q86:AD86" si="36">+Q87+Q111+Q120</f>
        <v>0</v>
      </c>
      <c r="R86" s="651">
        <f t="shared" si="36"/>
        <v>1724182726</v>
      </c>
      <c r="S86" s="651">
        <f t="shared" si="36"/>
        <v>0</v>
      </c>
      <c r="T86" s="651">
        <f t="shared" si="36"/>
        <v>0</v>
      </c>
      <c r="U86" s="651">
        <f t="shared" si="36"/>
        <v>0</v>
      </c>
      <c r="V86" s="651">
        <f t="shared" si="36"/>
        <v>0</v>
      </c>
      <c r="W86" s="651">
        <f t="shared" si="36"/>
        <v>0</v>
      </c>
      <c r="X86" s="651">
        <f t="shared" si="36"/>
        <v>0</v>
      </c>
      <c r="Y86" s="651">
        <f t="shared" si="36"/>
        <v>0</v>
      </c>
      <c r="Z86" s="651">
        <f t="shared" si="36"/>
        <v>0</v>
      </c>
      <c r="AA86" s="651">
        <f t="shared" si="36"/>
        <v>982000000</v>
      </c>
      <c r="AB86" s="651">
        <f t="shared" si="36"/>
        <v>0</v>
      </c>
      <c r="AC86" s="651">
        <f t="shared" si="36"/>
        <v>0</v>
      </c>
      <c r="AD86" s="651">
        <f t="shared" si="36"/>
        <v>2706182726</v>
      </c>
      <c r="AE86" s="651"/>
      <c r="AF86" s="652"/>
      <c r="AG86" s="657"/>
      <c r="AH86" s="657"/>
      <c r="AI86" s="657"/>
      <c r="AJ86" s="657"/>
      <c r="AK86" s="657"/>
      <c r="AL86" s="657"/>
      <c r="AM86" s="657"/>
      <c r="AN86" s="657"/>
      <c r="AO86" s="657"/>
      <c r="AP86" s="657"/>
      <c r="AQ86" s="657"/>
      <c r="AR86" s="657"/>
      <c r="AS86" s="657"/>
      <c r="AT86" s="657"/>
      <c r="AU86" s="657"/>
      <c r="AV86" s="657"/>
      <c r="AW86" s="657"/>
      <c r="AX86" s="657"/>
      <c r="AY86" s="657"/>
      <c r="AZ86" s="657"/>
      <c r="BA86" s="657"/>
      <c r="BB86" s="657"/>
      <c r="BC86" s="657"/>
      <c r="BD86" s="657"/>
      <c r="BE86" s="657"/>
      <c r="BF86" s="657"/>
      <c r="BG86" s="657"/>
      <c r="BH86" s="657"/>
      <c r="BI86" s="657"/>
      <c r="BJ86" s="657"/>
      <c r="BK86" s="657"/>
      <c r="BL86" s="657"/>
      <c r="BM86" s="657"/>
      <c r="BN86" s="657"/>
      <c r="BO86" s="657"/>
      <c r="BP86" s="657"/>
      <c r="BQ86" s="657"/>
      <c r="BR86" s="657"/>
      <c r="BS86" s="657"/>
      <c r="BT86" s="657"/>
    </row>
    <row r="87" spans="1:72" ht="23.25" customHeight="1" x14ac:dyDescent="0.2">
      <c r="A87" s="297"/>
      <c r="B87" s="280">
        <v>1</v>
      </c>
      <c r="C87" s="158" t="s">
        <v>120</v>
      </c>
      <c r="D87" s="348"/>
      <c r="E87" s="155"/>
      <c r="F87" s="155"/>
      <c r="G87" s="155"/>
      <c r="H87" s="281"/>
      <c r="I87" s="282"/>
      <c r="J87" s="280"/>
      <c r="K87" s="283"/>
      <c r="L87" s="391"/>
      <c r="M87" s="280"/>
      <c r="N87" s="285"/>
      <c r="O87" s="283"/>
      <c r="P87" s="283"/>
      <c r="Q87" s="286">
        <f>Q88+Q95+Q98+Q107</f>
        <v>0</v>
      </c>
      <c r="R87" s="286">
        <f>R88+R95+R98+R107</f>
        <v>1724182726</v>
      </c>
      <c r="S87" s="286">
        <f t="shared" ref="S87:AC87" si="37">S88+S95+S98+S107</f>
        <v>0</v>
      </c>
      <c r="T87" s="286">
        <f t="shared" si="37"/>
        <v>0</v>
      </c>
      <c r="U87" s="286">
        <f t="shared" si="37"/>
        <v>0</v>
      </c>
      <c r="V87" s="286">
        <f t="shared" si="37"/>
        <v>0</v>
      </c>
      <c r="W87" s="286">
        <f t="shared" si="37"/>
        <v>0</v>
      </c>
      <c r="X87" s="286">
        <f t="shared" si="37"/>
        <v>0</v>
      </c>
      <c r="Y87" s="286">
        <f t="shared" si="37"/>
        <v>0</v>
      </c>
      <c r="Z87" s="286">
        <f t="shared" si="37"/>
        <v>0</v>
      </c>
      <c r="AA87" s="286">
        <f t="shared" si="37"/>
        <v>476000000</v>
      </c>
      <c r="AB87" s="286">
        <f t="shared" si="37"/>
        <v>0</v>
      </c>
      <c r="AC87" s="286">
        <f t="shared" si="37"/>
        <v>0</v>
      </c>
      <c r="AD87" s="286">
        <f>AD88+AD95+AD98+AD107</f>
        <v>2200182726</v>
      </c>
      <c r="AE87" s="286"/>
      <c r="AF87" s="340"/>
    </row>
    <row r="88" spans="1:72" s="9" customFormat="1" ht="27.75" customHeight="1" x14ac:dyDescent="0.25">
      <c r="A88" s="279"/>
      <c r="B88" s="194"/>
      <c r="C88" s="159">
        <v>12</v>
      </c>
      <c r="D88" s="156" t="s">
        <v>1182</v>
      </c>
      <c r="E88" s="156"/>
      <c r="F88" s="287"/>
      <c r="G88" s="288"/>
      <c r="H88" s="289"/>
      <c r="I88" s="290"/>
      <c r="J88" s="291"/>
      <c r="K88" s="292"/>
      <c r="L88" s="293"/>
      <c r="M88" s="291"/>
      <c r="N88" s="392"/>
      <c r="O88" s="295"/>
      <c r="P88" s="295"/>
      <c r="Q88" s="296">
        <f t="shared" ref="Q88:AD88" si="38">Q89+Q91+Q93</f>
        <v>0</v>
      </c>
      <c r="R88" s="296">
        <f t="shared" si="38"/>
        <v>0</v>
      </c>
      <c r="S88" s="296">
        <f t="shared" si="38"/>
        <v>0</v>
      </c>
      <c r="T88" s="296">
        <f t="shared" si="38"/>
        <v>0</v>
      </c>
      <c r="U88" s="296">
        <f t="shared" si="38"/>
        <v>0</v>
      </c>
      <c r="V88" s="296">
        <f t="shared" si="38"/>
        <v>0</v>
      </c>
      <c r="W88" s="296">
        <f t="shared" si="38"/>
        <v>0</v>
      </c>
      <c r="X88" s="296">
        <f t="shared" si="38"/>
        <v>0</v>
      </c>
      <c r="Y88" s="296">
        <f t="shared" si="38"/>
        <v>0</v>
      </c>
      <c r="Z88" s="296">
        <f t="shared" si="38"/>
        <v>0</v>
      </c>
      <c r="AA88" s="296">
        <f t="shared" si="38"/>
        <v>186000000</v>
      </c>
      <c r="AB88" s="296">
        <f t="shared" si="38"/>
        <v>0</v>
      </c>
      <c r="AC88" s="296">
        <f t="shared" si="38"/>
        <v>0</v>
      </c>
      <c r="AD88" s="296">
        <f t="shared" si="38"/>
        <v>186000000</v>
      </c>
      <c r="AE88" s="296"/>
      <c r="AF88" s="341"/>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row>
    <row r="89" spans="1:72" ht="28.5" customHeight="1" x14ac:dyDescent="0.2">
      <c r="A89" s="297"/>
      <c r="B89" s="204"/>
      <c r="C89" s="204"/>
      <c r="D89" s="204"/>
      <c r="E89" s="309">
        <v>1202</v>
      </c>
      <c r="F89" s="188" t="s">
        <v>121</v>
      </c>
      <c r="G89" s="366"/>
      <c r="H89" s="307"/>
      <c r="I89" s="308"/>
      <c r="J89" s="309"/>
      <c r="K89" s="299"/>
      <c r="L89" s="393"/>
      <c r="M89" s="309"/>
      <c r="N89" s="311"/>
      <c r="O89" s="299"/>
      <c r="P89" s="299"/>
      <c r="Q89" s="394">
        <f t="shared" ref="Q89:AD89" si="39">Q90</f>
        <v>0</v>
      </c>
      <c r="R89" s="394">
        <f t="shared" si="39"/>
        <v>0</v>
      </c>
      <c r="S89" s="394">
        <f t="shared" si="39"/>
        <v>0</v>
      </c>
      <c r="T89" s="394">
        <f t="shared" si="39"/>
        <v>0</v>
      </c>
      <c r="U89" s="394">
        <f t="shared" si="39"/>
        <v>0</v>
      </c>
      <c r="V89" s="394">
        <f t="shared" si="39"/>
        <v>0</v>
      </c>
      <c r="W89" s="394">
        <f t="shared" si="39"/>
        <v>0</v>
      </c>
      <c r="X89" s="394">
        <f t="shared" si="39"/>
        <v>0</v>
      </c>
      <c r="Y89" s="394">
        <f t="shared" si="39"/>
        <v>0</v>
      </c>
      <c r="Z89" s="394">
        <f t="shared" si="39"/>
        <v>0</v>
      </c>
      <c r="AA89" s="394">
        <f t="shared" si="39"/>
        <v>114000000</v>
      </c>
      <c r="AB89" s="394">
        <f t="shared" si="39"/>
        <v>0</v>
      </c>
      <c r="AC89" s="394">
        <f t="shared" si="39"/>
        <v>0</v>
      </c>
      <c r="AD89" s="394">
        <f t="shared" si="39"/>
        <v>114000000</v>
      </c>
      <c r="AE89" s="395"/>
      <c r="AF89" s="312"/>
    </row>
    <row r="90" spans="1:72" ht="186" customHeight="1" x14ac:dyDescent="0.2">
      <c r="A90" s="297"/>
      <c r="B90" s="204"/>
      <c r="C90" s="204"/>
      <c r="D90" s="204"/>
      <c r="E90" s="200"/>
      <c r="F90" s="209"/>
      <c r="G90" s="195" t="s">
        <v>122</v>
      </c>
      <c r="H90" s="197">
        <v>1202004</v>
      </c>
      <c r="I90" s="195" t="s">
        <v>213</v>
      </c>
      <c r="J90" s="198">
        <v>120200400</v>
      </c>
      <c r="K90" s="246" t="s">
        <v>98</v>
      </c>
      <c r="L90" s="209" t="s">
        <v>42</v>
      </c>
      <c r="M90" s="261">
        <v>12</v>
      </c>
      <c r="N90" s="266" t="s">
        <v>214</v>
      </c>
      <c r="O90" s="349" t="s">
        <v>1233</v>
      </c>
      <c r="P90" s="349" t="s">
        <v>215</v>
      </c>
      <c r="Q90" s="303"/>
      <c r="R90" s="396"/>
      <c r="S90" s="303"/>
      <c r="T90" s="303"/>
      <c r="U90" s="303"/>
      <c r="V90" s="303"/>
      <c r="W90" s="303"/>
      <c r="X90" s="303"/>
      <c r="Y90" s="303"/>
      <c r="Z90" s="303"/>
      <c r="AA90" s="329">
        <v>114000000</v>
      </c>
      <c r="AB90" s="303"/>
      <c r="AC90" s="303"/>
      <c r="AD90" s="305">
        <f>+Q90+R90+S90+T90+U90+V90+W90+X90+Y90+Z90+AA90+AB90+AC90</f>
        <v>114000000</v>
      </c>
      <c r="AE90" s="305" t="s">
        <v>216</v>
      </c>
      <c r="AF90" s="149" t="s">
        <v>217</v>
      </c>
    </row>
    <row r="91" spans="1:72" ht="30.75" customHeight="1" x14ac:dyDescent="0.2">
      <c r="A91" s="297"/>
      <c r="B91" s="204"/>
      <c r="C91" s="204"/>
      <c r="D91" s="204"/>
      <c r="E91" s="309">
        <v>1203</v>
      </c>
      <c r="F91" s="188" t="s">
        <v>218</v>
      </c>
      <c r="G91" s="366"/>
      <c r="H91" s="307"/>
      <c r="I91" s="308"/>
      <c r="J91" s="309"/>
      <c r="K91" s="299"/>
      <c r="L91" s="393"/>
      <c r="M91" s="309"/>
      <c r="N91" s="311"/>
      <c r="O91" s="299"/>
      <c r="P91" s="299"/>
      <c r="Q91" s="300">
        <f>Q92</f>
        <v>0</v>
      </c>
      <c r="R91" s="300">
        <f t="shared" ref="R91:AD91" si="40">R92</f>
        <v>0</v>
      </c>
      <c r="S91" s="300">
        <f t="shared" si="40"/>
        <v>0</v>
      </c>
      <c r="T91" s="300">
        <f t="shared" si="40"/>
        <v>0</v>
      </c>
      <c r="U91" s="300">
        <f t="shared" si="40"/>
        <v>0</v>
      </c>
      <c r="V91" s="300">
        <f t="shared" si="40"/>
        <v>0</v>
      </c>
      <c r="W91" s="300">
        <f t="shared" si="40"/>
        <v>0</v>
      </c>
      <c r="X91" s="300">
        <f t="shared" si="40"/>
        <v>0</v>
      </c>
      <c r="Y91" s="300">
        <f t="shared" si="40"/>
        <v>0</v>
      </c>
      <c r="Z91" s="300">
        <f t="shared" si="40"/>
        <v>0</v>
      </c>
      <c r="AA91" s="300">
        <f t="shared" si="40"/>
        <v>36000000</v>
      </c>
      <c r="AB91" s="300">
        <f t="shared" si="40"/>
        <v>0</v>
      </c>
      <c r="AC91" s="300">
        <f t="shared" si="40"/>
        <v>0</v>
      </c>
      <c r="AD91" s="300">
        <f t="shared" si="40"/>
        <v>36000000</v>
      </c>
      <c r="AE91" s="397"/>
      <c r="AF91" s="312"/>
    </row>
    <row r="92" spans="1:72" ht="186" customHeight="1" x14ac:dyDescent="0.2">
      <c r="A92" s="297"/>
      <c r="B92" s="204"/>
      <c r="C92" s="204"/>
      <c r="D92" s="204"/>
      <c r="E92" s="200"/>
      <c r="F92" s="209"/>
      <c r="G92" s="195" t="s">
        <v>122</v>
      </c>
      <c r="H92" s="197">
        <v>1203002</v>
      </c>
      <c r="I92" s="195" t="s">
        <v>219</v>
      </c>
      <c r="J92" s="198">
        <v>120300200</v>
      </c>
      <c r="K92" s="246" t="s">
        <v>220</v>
      </c>
      <c r="L92" s="398" t="s">
        <v>54</v>
      </c>
      <c r="M92" s="261">
        <v>40</v>
      </c>
      <c r="N92" s="266" t="s">
        <v>221</v>
      </c>
      <c r="O92" s="349" t="s">
        <v>1234</v>
      </c>
      <c r="P92" s="349" t="s">
        <v>222</v>
      </c>
      <c r="Q92" s="303"/>
      <c r="R92" s="305"/>
      <c r="S92" s="303"/>
      <c r="T92" s="303"/>
      <c r="U92" s="303"/>
      <c r="V92" s="303"/>
      <c r="W92" s="303"/>
      <c r="X92" s="303"/>
      <c r="Y92" s="303"/>
      <c r="Z92" s="303"/>
      <c r="AA92" s="329">
        <v>36000000</v>
      </c>
      <c r="AB92" s="303"/>
      <c r="AC92" s="399"/>
      <c r="AD92" s="305">
        <f>+Q92+R92+S92+T92+U92+V92+W92+X92+Y92+Z92+AA92+AB92+AC92</f>
        <v>36000000</v>
      </c>
      <c r="AE92" s="305" t="s">
        <v>216</v>
      </c>
      <c r="AF92" s="149" t="s">
        <v>217</v>
      </c>
    </row>
    <row r="93" spans="1:72" ht="27" customHeight="1" x14ac:dyDescent="0.2">
      <c r="A93" s="297"/>
      <c r="B93" s="204"/>
      <c r="C93" s="204"/>
      <c r="D93" s="204"/>
      <c r="E93" s="309">
        <v>1206</v>
      </c>
      <c r="F93" s="188" t="s">
        <v>223</v>
      </c>
      <c r="G93" s="366"/>
      <c r="H93" s="307"/>
      <c r="I93" s="308"/>
      <c r="J93" s="309"/>
      <c r="K93" s="299"/>
      <c r="L93" s="393"/>
      <c r="M93" s="309"/>
      <c r="N93" s="311"/>
      <c r="O93" s="299"/>
      <c r="P93" s="299"/>
      <c r="Q93" s="400">
        <f>Q94</f>
        <v>0</v>
      </c>
      <c r="R93" s="400">
        <f t="shared" ref="R93:AD93" si="41">R94</f>
        <v>0</v>
      </c>
      <c r="S93" s="400">
        <f t="shared" si="41"/>
        <v>0</v>
      </c>
      <c r="T93" s="400">
        <f t="shared" si="41"/>
        <v>0</v>
      </c>
      <c r="U93" s="400">
        <f t="shared" si="41"/>
        <v>0</v>
      </c>
      <c r="V93" s="400">
        <f t="shared" si="41"/>
        <v>0</v>
      </c>
      <c r="W93" s="400">
        <f t="shared" si="41"/>
        <v>0</v>
      </c>
      <c r="X93" s="400">
        <f t="shared" si="41"/>
        <v>0</v>
      </c>
      <c r="Y93" s="400">
        <f t="shared" si="41"/>
        <v>0</v>
      </c>
      <c r="Z93" s="400">
        <f t="shared" si="41"/>
        <v>0</v>
      </c>
      <c r="AA93" s="400">
        <f t="shared" si="41"/>
        <v>36000000</v>
      </c>
      <c r="AB93" s="400">
        <f t="shared" si="41"/>
        <v>0</v>
      </c>
      <c r="AC93" s="400">
        <f t="shared" si="41"/>
        <v>0</v>
      </c>
      <c r="AD93" s="400">
        <f t="shared" si="41"/>
        <v>36000000</v>
      </c>
      <c r="AE93" s="300"/>
      <c r="AF93" s="312"/>
    </row>
    <row r="94" spans="1:72" ht="180" customHeight="1" x14ac:dyDescent="0.2">
      <c r="A94" s="297"/>
      <c r="B94" s="204"/>
      <c r="C94" s="204"/>
      <c r="D94" s="204"/>
      <c r="E94" s="200"/>
      <c r="F94" s="209"/>
      <c r="G94" s="195" t="s">
        <v>122</v>
      </c>
      <c r="H94" s="197">
        <v>1206005</v>
      </c>
      <c r="I94" s="195" t="s">
        <v>224</v>
      </c>
      <c r="J94" s="198">
        <v>120600500</v>
      </c>
      <c r="K94" s="187" t="s">
        <v>1332</v>
      </c>
      <c r="L94" s="398" t="s">
        <v>54</v>
      </c>
      <c r="M94" s="261">
        <v>20</v>
      </c>
      <c r="N94" s="266" t="s">
        <v>225</v>
      </c>
      <c r="O94" s="401" t="s">
        <v>226</v>
      </c>
      <c r="P94" s="401" t="s">
        <v>227</v>
      </c>
      <c r="Q94" s="303"/>
      <c r="R94" s="402"/>
      <c r="S94" s="303"/>
      <c r="T94" s="303"/>
      <c r="U94" s="303"/>
      <c r="V94" s="303"/>
      <c r="W94" s="303"/>
      <c r="X94" s="303"/>
      <c r="Y94" s="303"/>
      <c r="Z94" s="303"/>
      <c r="AA94" s="329">
        <v>36000000</v>
      </c>
      <c r="AB94" s="303"/>
      <c r="AC94" s="303"/>
      <c r="AD94" s="305">
        <f>+Q94+R94+S94+T94+U94+V94+W94+X94+Y94+Z94+AA94+AB94+AC94</f>
        <v>36000000</v>
      </c>
      <c r="AE94" s="305" t="s">
        <v>216</v>
      </c>
      <c r="AF94" s="149" t="s">
        <v>217</v>
      </c>
    </row>
    <row r="95" spans="1:72" s="9" customFormat="1" ht="27.75" customHeight="1" x14ac:dyDescent="0.25">
      <c r="A95" s="279"/>
      <c r="B95" s="194"/>
      <c r="C95" s="159">
        <v>22</v>
      </c>
      <c r="D95" s="156" t="s">
        <v>231</v>
      </c>
      <c r="E95" s="156"/>
      <c r="F95" s="287"/>
      <c r="G95" s="288"/>
      <c r="H95" s="289"/>
      <c r="I95" s="290"/>
      <c r="J95" s="291"/>
      <c r="K95" s="292"/>
      <c r="L95" s="293"/>
      <c r="M95" s="291"/>
      <c r="N95" s="392"/>
      <c r="O95" s="295"/>
      <c r="P95" s="295"/>
      <c r="Q95" s="296">
        <f>Q96</f>
        <v>0</v>
      </c>
      <c r="R95" s="296">
        <f t="shared" ref="R95:AD96" si="42">R96</f>
        <v>0</v>
      </c>
      <c r="S95" s="296">
        <f t="shared" si="42"/>
        <v>0</v>
      </c>
      <c r="T95" s="296">
        <f t="shared" si="42"/>
        <v>0</v>
      </c>
      <c r="U95" s="296">
        <f t="shared" si="42"/>
        <v>0</v>
      </c>
      <c r="V95" s="296">
        <f t="shared" si="42"/>
        <v>0</v>
      </c>
      <c r="W95" s="296">
        <f t="shared" si="42"/>
        <v>0</v>
      </c>
      <c r="X95" s="296">
        <f t="shared" si="42"/>
        <v>0</v>
      </c>
      <c r="Y95" s="296">
        <f t="shared" si="42"/>
        <v>0</v>
      </c>
      <c r="Z95" s="296">
        <f t="shared" si="42"/>
        <v>0</v>
      </c>
      <c r="AA95" s="296">
        <f t="shared" si="42"/>
        <v>30000000</v>
      </c>
      <c r="AB95" s="296">
        <f t="shared" si="42"/>
        <v>0</v>
      </c>
      <c r="AC95" s="296">
        <f t="shared" si="42"/>
        <v>0</v>
      </c>
      <c r="AD95" s="296">
        <f t="shared" si="42"/>
        <v>30000000</v>
      </c>
      <c r="AE95" s="296"/>
      <c r="AF95" s="341"/>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row>
    <row r="96" spans="1:72" ht="27.75" customHeight="1" x14ac:dyDescent="0.2">
      <c r="A96" s="297"/>
      <c r="B96" s="204"/>
      <c r="C96" s="204"/>
      <c r="D96" s="204"/>
      <c r="E96" s="309">
        <v>2201</v>
      </c>
      <c r="F96" s="188" t="s">
        <v>133</v>
      </c>
      <c r="G96" s="366"/>
      <c r="H96" s="307"/>
      <c r="I96" s="308"/>
      <c r="J96" s="309"/>
      <c r="K96" s="299"/>
      <c r="L96" s="393"/>
      <c r="M96" s="309"/>
      <c r="N96" s="311"/>
      <c r="O96" s="299"/>
      <c r="P96" s="299"/>
      <c r="Q96" s="394">
        <f>Q97</f>
        <v>0</v>
      </c>
      <c r="R96" s="394">
        <f t="shared" si="42"/>
        <v>0</v>
      </c>
      <c r="S96" s="394">
        <f t="shared" si="42"/>
        <v>0</v>
      </c>
      <c r="T96" s="394">
        <f t="shared" si="42"/>
        <v>0</v>
      </c>
      <c r="U96" s="394">
        <f t="shared" si="42"/>
        <v>0</v>
      </c>
      <c r="V96" s="394">
        <f t="shared" si="42"/>
        <v>0</v>
      </c>
      <c r="W96" s="394">
        <f t="shared" si="42"/>
        <v>0</v>
      </c>
      <c r="X96" s="394">
        <f t="shared" si="42"/>
        <v>0</v>
      </c>
      <c r="Y96" s="394">
        <f t="shared" si="42"/>
        <v>0</v>
      </c>
      <c r="Z96" s="394">
        <f t="shared" si="42"/>
        <v>0</v>
      </c>
      <c r="AA96" s="394">
        <f t="shared" si="42"/>
        <v>30000000</v>
      </c>
      <c r="AB96" s="394">
        <f t="shared" si="42"/>
        <v>0</v>
      </c>
      <c r="AC96" s="394">
        <f t="shared" si="42"/>
        <v>0</v>
      </c>
      <c r="AD96" s="394">
        <f t="shared" si="42"/>
        <v>30000000</v>
      </c>
      <c r="AE96" s="403"/>
      <c r="AF96" s="404"/>
    </row>
    <row r="97" spans="1:72" ht="129.75" customHeight="1" x14ac:dyDescent="0.2">
      <c r="A97" s="297"/>
      <c r="B97" s="204"/>
      <c r="C97" s="204"/>
      <c r="D97" s="204"/>
      <c r="E97" s="200"/>
      <c r="F97" s="405"/>
      <c r="G97" s="195" t="s">
        <v>228</v>
      </c>
      <c r="H97" s="221">
        <v>2201068</v>
      </c>
      <c r="I97" s="195" t="s">
        <v>229</v>
      </c>
      <c r="J97" s="198">
        <v>220106800</v>
      </c>
      <c r="K97" s="187" t="s">
        <v>230</v>
      </c>
      <c r="L97" s="209" t="s">
        <v>54</v>
      </c>
      <c r="M97" s="261">
        <v>70</v>
      </c>
      <c r="N97" s="266" t="s">
        <v>232</v>
      </c>
      <c r="O97" s="187" t="s">
        <v>233</v>
      </c>
      <c r="P97" s="187" t="s">
        <v>234</v>
      </c>
      <c r="Q97" s="303"/>
      <c r="R97" s="303"/>
      <c r="S97" s="303"/>
      <c r="T97" s="303"/>
      <c r="U97" s="303"/>
      <c r="V97" s="303"/>
      <c r="W97" s="303"/>
      <c r="X97" s="303"/>
      <c r="Y97" s="303"/>
      <c r="Z97" s="303"/>
      <c r="AA97" s="329">
        <v>30000000</v>
      </c>
      <c r="AB97" s="303"/>
      <c r="AC97" s="303"/>
      <c r="AD97" s="305">
        <f>+Q97+R97+S97+T97+U97+V97+W97+X97+Y97+Z97+AA97+AB97+AC97</f>
        <v>30000000</v>
      </c>
      <c r="AE97" s="305" t="s">
        <v>216</v>
      </c>
      <c r="AF97" s="149" t="s">
        <v>217</v>
      </c>
    </row>
    <row r="98" spans="1:72" s="9" customFormat="1" ht="37.5" customHeight="1" x14ac:dyDescent="0.25">
      <c r="A98" s="279"/>
      <c r="B98" s="194"/>
      <c r="C98" s="681">
        <v>41</v>
      </c>
      <c r="D98" s="156" t="s">
        <v>1356</v>
      </c>
      <c r="E98" s="156"/>
      <c r="F98" s="287"/>
      <c r="G98" s="288"/>
      <c r="H98" s="289"/>
      <c r="I98" s="290"/>
      <c r="J98" s="291"/>
      <c r="K98" s="292"/>
      <c r="L98" s="293"/>
      <c r="M98" s="291"/>
      <c r="N98" s="392"/>
      <c r="O98" s="295"/>
      <c r="P98" s="295"/>
      <c r="Q98" s="296">
        <f>Q99+Q105</f>
        <v>0</v>
      </c>
      <c r="R98" s="296">
        <f t="shared" ref="R98:AD98" si="43">R99+R105</f>
        <v>0</v>
      </c>
      <c r="S98" s="296">
        <f t="shared" si="43"/>
        <v>0</v>
      </c>
      <c r="T98" s="296">
        <f t="shared" si="43"/>
        <v>0</v>
      </c>
      <c r="U98" s="296">
        <f t="shared" si="43"/>
        <v>0</v>
      </c>
      <c r="V98" s="296">
        <f t="shared" si="43"/>
        <v>0</v>
      </c>
      <c r="W98" s="296">
        <f t="shared" si="43"/>
        <v>0</v>
      </c>
      <c r="X98" s="296">
        <f t="shared" si="43"/>
        <v>0</v>
      </c>
      <c r="Y98" s="296">
        <f t="shared" si="43"/>
        <v>0</v>
      </c>
      <c r="Z98" s="296">
        <f t="shared" si="43"/>
        <v>0</v>
      </c>
      <c r="AA98" s="296">
        <f t="shared" si="43"/>
        <v>224000000</v>
      </c>
      <c r="AB98" s="296">
        <f t="shared" si="43"/>
        <v>0</v>
      </c>
      <c r="AC98" s="296">
        <f t="shared" si="43"/>
        <v>0</v>
      </c>
      <c r="AD98" s="296">
        <f t="shared" si="43"/>
        <v>224000000</v>
      </c>
      <c r="AE98" s="296">
        <f>AE99</f>
        <v>0</v>
      </c>
      <c r="AF98" s="296">
        <f>AF99</f>
        <v>0</v>
      </c>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row>
    <row r="99" spans="1:72" ht="33.75" customHeight="1" x14ac:dyDescent="0.2">
      <c r="A99" s="297"/>
      <c r="B99" s="204"/>
      <c r="C99" s="204"/>
      <c r="D99" s="204"/>
      <c r="E99" s="309">
        <v>4101</v>
      </c>
      <c r="F99" s="188" t="s">
        <v>235</v>
      </c>
      <c r="G99" s="366"/>
      <c r="H99" s="307"/>
      <c r="I99" s="308"/>
      <c r="J99" s="309"/>
      <c r="K99" s="299"/>
      <c r="L99" s="393"/>
      <c r="M99" s="309"/>
      <c r="N99" s="311"/>
      <c r="O99" s="299"/>
      <c r="P99" s="299"/>
      <c r="Q99" s="300">
        <f>SUM(Q100:Q104)</f>
        <v>0</v>
      </c>
      <c r="R99" s="300">
        <f t="shared" ref="R99:AF99" si="44">SUM(R100:R104)</f>
        <v>0</v>
      </c>
      <c r="S99" s="300">
        <f t="shared" si="44"/>
        <v>0</v>
      </c>
      <c r="T99" s="300">
        <f t="shared" si="44"/>
        <v>0</v>
      </c>
      <c r="U99" s="300">
        <f t="shared" si="44"/>
        <v>0</v>
      </c>
      <c r="V99" s="300">
        <f t="shared" si="44"/>
        <v>0</v>
      </c>
      <c r="W99" s="300">
        <f t="shared" si="44"/>
        <v>0</v>
      </c>
      <c r="X99" s="300">
        <f t="shared" si="44"/>
        <v>0</v>
      </c>
      <c r="Y99" s="300">
        <f t="shared" si="44"/>
        <v>0</v>
      </c>
      <c r="Z99" s="300">
        <f t="shared" si="44"/>
        <v>0</v>
      </c>
      <c r="AA99" s="300">
        <f t="shared" si="44"/>
        <v>206000000</v>
      </c>
      <c r="AB99" s="300">
        <f t="shared" si="44"/>
        <v>0</v>
      </c>
      <c r="AC99" s="300">
        <f t="shared" si="44"/>
        <v>0</v>
      </c>
      <c r="AD99" s="300">
        <f t="shared" si="44"/>
        <v>206000000</v>
      </c>
      <c r="AE99" s="300">
        <f t="shared" si="44"/>
        <v>0</v>
      </c>
      <c r="AF99" s="300">
        <f t="shared" si="44"/>
        <v>0</v>
      </c>
    </row>
    <row r="100" spans="1:72" ht="140.25" customHeight="1" x14ac:dyDescent="0.2">
      <c r="A100" s="297"/>
      <c r="B100" s="204"/>
      <c r="C100" s="204"/>
      <c r="D100" s="204"/>
      <c r="E100" s="197"/>
      <c r="F100" s="209"/>
      <c r="G100" s="195" t="s">
        <v>236</v>
      </c>
      <c r="H100" s="198">
        <v>4101023</v>
      </c>
      <c r="I100" s="195" t="s">
        <v>237</v>
      </c>
      <c r="J100" s="198">
        <v>410102300</v>
      </c>
      <c r="K100" s="246" t="s">
        <v>238</v>
      </c>
      <c r="L100" s="398" t="s">
        <v>54</v>
      </c>
      <c r="M100" s="261">
        <v>500</v>
      </c>
      <c r="N100" s="748" t="s">
        <v>239</v>
      </c>
      <c r="O100" s="746" t="s">
        <v>240</v>
      </c>
      <c r="P100" s="734" t="s">
        <v>241</v>
      </c>
      <c r="Q100" s="303"/>
      <c r="R100" s="303"/>
      <c r="S100" s="303"/>
      <c r="T100" s="303"/>
      <c r="U100" s="303"/>
      <c r="V100" s="303"/>
      <c r="W100" s="303"/>
      <c r="X100" s="303"/>
      <c r="Y100" s="303"/>
      <c r="Z100" s="303"/>
      <c r="AA100" s="329">
        <v>70000000</v>
      </c>
      <c r="AB100" s="303"/>
      <c r="AC100" s="303"/>
      <c r="AD100" s="305">
        <f>+Q100+R100+S100+T100+U100+V100+W100+X100+Y100+Z100+AA100+AB100+AC100</f>
        <v>70000000</v>
      </c>
      <c r="AE100" s="305" t="s">
        <v>216</v>
      </c>
      <c r="AF100" s="149" t="s">
        <v>217</v>
      </c>
    </row>
    <row r="101" spans="1:72" ht="69.75" customHeight="1" x14ac:dyDescent="0.2">
      <c r="A101" s="297"/>
      <c r="B101" s="204"/>
      <c r="C101" s="204"/>
      <c r="D101" s="204"/>
      <c r="E101" s="197"/>
      <c r="F101" s="209"/>
      <c r="G101" s="195" t="s">
        <v>236</v>
      </c>
      <c r="H101" s="198">
        <v>4101025</v>
      </c>
      <c r="I101" s="679" t="s">
        <v>242</v>
      </c>
      <c r="J101" s="198">
        <v>410102511</v>
      </c>
      <c r="K101" s="676" t="s">
        <v>243</v>
      </c>
      <c r="L101" s="398" t="s">
        <v>54</v>
      </c>
      <c r="M101" s="261">
        <v>100</v>
      </c>
      <c r="N101" s="748"/>
      <c r="O101" s="746"/>
      <c r="P101" s="734"/>
      <c r="Q101" s="303"/>
      <c r="R101" s="303"/>
      <c r="S101" s="303"/>
      <c r="T101" s="303"/>
      <c r="U101" s="303"/>
      <c r="V101" s="303"/>
      <c r="W101" s="303"/>
      <c r="X101" s="303"/>
      <c r="Y101" s="303"/>
      <c r="Z101" s="303"/>
      <c r="AA101" s="329">
        <v>40000000</v>
      </c>
      <c r="AB101" s="303"/>
      <c r="AC101" s="303"/>
      <c r="AD101" s="305">
        <f>+Q101+R101+S101+T101+U101+V101+W101+X101+Y101+Z101+AA101+AB101+AC101</f>
        <v>40000000</v>
      </c>
      <c r="AE101" s="305" t="s">
        <v>216</v>
      </c>
      <c r="AF101" s="149" t="s">
        <v>217</v>
      </c>
    </row>
    <row r="102" spans="1:72" ht="69" customHeight="1" x14ac:dyDescent="0.2">
      <c r="A102" s="297"/>
      <c r="B102" s="204"/>
      <c r="C102" s="204"/>
      <c r="D102" s="204"/>
      <c r="E102" s="197"/>
      <c r="F102" s="209"/>
      <c r="G102" s="195" t="s">
        <v>236</v>
      </c>
      <c r="H102" s="198">
        <v>4101038</v>
      </c>
      <c r="I102" s="195" t="s">
        <v>244</v>
      </c>
      <c r="J102" s="198">
        <v>410103800</v>
      </c>
      <c r="K102" s="187" t="s">
        <v>245</v>
      </c>
      <c r="L102" s="398" t="s">
        <v>54</v>
      </c>
      <c r="M102" s="261">
        <v>12</v>
      </c>
      <c r="N102" s="748"/>
      <c r="O102" s="746"/>
      <c r="P102" s="734"/>
      <c r="Q102" s="303"/>
      <c r="R102" s="303"/>
      <c r="S102" s="303"/>
      <c r="T102" s="303"/>
      <c r="U102" s="303"/>
      <c r="V102" s="303"/>
      <c r="W102" s="303"/>
      <c r="X102" s="303"/>
      <c r="Y102" s="303"/>
      <c r="Z102" s="303"/>
      <c r="AA102" s="329">
        <v>41000000</v>
      </c>
      <c r="AB102" s="303"/>
      <c r="AC102" s="303"/>
      <c r="AD102" s="305">
        <f>+Q102+R102+S102+T102+U102+V102+W102+X102+Y102+Z102+AA102+AB102+AC102</f>
        <v>41000000</v>
      </c>
      <c r="AE102" s="305" t="s">
        <v>216</v>
      </c>
      <c r="AF102" s="149" t="s">
        <v>217</v>
      </c>
    </row>
    <row r="103" spans="1:72" ht="109.5" customHeight="1" x14ac:dyDescent="0.2">
      <c r="A103" s="297"/>
      <c r="B103" s="204"/>
      <c r="C103" s="204"/>
      <c r="D103" s="204"/>
      <c r="E103" s="197"/>
      <c r="F103" s="209"/>
      <c r="G103" s="195" t="s">
        <v>246</v>
      </c>
      <c r="H103" s="198">
        <v>4101073</v>
      </c>
      <c r="I103" s="195" t="s">
        <v>247</v>
      </c>
      <c r="J103" s="198">
        <v>410107300</v>
      </c>
      <c r="K103" s="187" t="s">
        <v>248</v>
      </c>
      <c r="L103" s="378" t="s">
        <v>54</v>
      </c>
      <c r="M103" s="261">
        <v>30</v>
      </c>
      <c r="N103" s="748"/>
      <c r="O103" s="746"/>
      <c r="P103" s="734"/>
      <c r="Q103" s="303"/>
      <c r="R103" s="303"/>
      <c r="S103" s="303"/>
      <c r="T103" s="303"/>
      <c r="U103" s="303"/>
      <c r="V103" s="303"/>
      <c r="W103" s="303"/>
      <c r="X103" s="303"/>
      <c r="Y103" s="303"/>
      <c r="Z103" s="303"/>
      <c r="AA103" s="329">
        <v>40000000</v>
      </c>
      <c r="AB103" s="303"/>
      <c r="AC103" s="303"/>
      <c r="AD103" s="305">
        <f>+Q103+R103+S103+T103+U103+V103+W103+X103+Y103+Z103+AA103+AB103+AC103</f>
        <v>40000000</v>
      </c>
      <c r="AE103" s="305" t="s">
        <v>216</v>
      </c>
      <c r="AF103" s="149" t="s">
        <v>217</v>
      </c>
    </row>
    <row r="104" spans="1:72" ht="75" x14ac:dyDescent="0.2">
      <c r="A104" s="297"/>
      <c r="B104" s="204"/>
      <c r="C104" s="204"/>
      <c r="D104" s="204"/>
      <c r="E104" s="197"/>
      <c r="F104" s="209"/>
      <c r="G104" s="195" t="s">
        <v>249</v>
      </c>
      <c r="H104" s="198">
        <v>4101011</v>
      </c>
      <c r="I104" s="195" t="s">
        <v>250</v>
      </c>
      <c r="J104" s="198">
        <v>410101100</v>
      </c>
      <c r="K104" s="187" t="s">
        <v>251</v>
      </c>
      <c r="L104" s="398" t="s">
        <v>54</v>
      </c>
      <c r="M104" s="261">
        <v>2</v>
      </c>
      <c r="N104" s="748"/>
      <c r="O104" s="746"/>
      <c r="P104" s="734"/>
      <c r="Q104" s="303"/>
      <c r="R104" s="303"/>
      <c r="S104" s="303"/>
      <c r="T104" s="303"/>
      <c r="U104" s="303"/>
      <c r="V104" s="303"/>
      <c r="W104" s="303"/>
      <c r="X104" s="303"/>
      <c r="Y104" s="303"/>
      <c r="Z104" s="303"/>
      <c r="AA104" s="329">
        <v>15000000</v>
      </c>
      <c r="AB104" s="303"/>
      <c r="AC104" s="303"/>
      <c r="AD104" s="305">
        <f>+Q104+R104+S104+T104+U104+V104+W104+X104+Y104+Z104+AA104+AB104+AC104</f>
        <v>15000000</v>
      </c>
      <c r="AE104" s="305" t="s">
        <v>216</v>
      </c>
      <c r="AF104" s="149" t="s">
        <v>217</v>
      </c>
    </row>
    <row r="105" spans="1:72" ht="25.5" customHeight="1" x14ac:dyDescent="0.2">
      <c r="A105" s="297"/>
      <c r="B105" s="204"/>
      <c r="C105" s="204"/>
      <c r="D105" s="204"/>
      <c r="E105" s="309">
        <v>4103</v>
      </c>
      <c r="F105" s="188" t="s">
        <v>252</v>
      </c>
      <c r="G105" s="366"/>
      <c r="H105" s="307"/>
      <c r="I105" s="308"/>
      <c r="J105" s="309"/>
      <c r="K105" s="299"/>
      <c r="L105" s="393"/>
      <c r="M105" s="309"/>
      <c r="N105" s="311"/>
      <c r="O105" s="299"/>
      <c r="P105" s="299"/>
      <c r="Q105" s="395">
        <f>Q106</f>
        <v>0</v>
      </c>
      <c r="R105" s="395">
        <f t="shared" ref="R105:AD105" si="45">R106</f>
        <v>0</v>
      </c>
      <c r="S105" s="395">
        <f t="shared" si="45"/>
        <v>0</v>
      </c>
      <c r="T105" s="395">
        <f t="shared" si="45"/>
        <v>0</v>
      </c>
      <c r="U105" s="395">
        <f t="shared" si="45"/>
        <v>0</v>
      </c>
      <c r="V105" s="395">
        <f t="shared" si="45"/>
        <v>0</v>
      </c>
      <c r="W105" s="395">
        <f t="shared" si="45"/>
        <v>0</v>
      </c>
      <c r="X105" s="395">
        <f t="shared" si="45"/>
        <v>0</v>
      </c>
      <c r="Y105" s="395">
        <f t="shared" si="45"/>
        <v>0</v>
      </c>
      <c r="Z105" s="395">
        <f t="shared" si="45"/>
        <v>0</v>
      </c>
      <c r="AA105" s="395">
        <f t="shared" si="45"/>
        <v>18000000</v>
      </c>
      <c r="AB105" s="395">
        <f t="shared" si="45"/>
        <v>0</v>
      </c>
      <c r="AC105" s="395">
        <f t="shared" si="45"/>
        <v>0</v>
      </c>
      <c r="AD105" s="395">
        <f t="shared" si="45"/>
        <v>18000000</v>
      </c>
      <c r="AE105" s="395"/>
      <c r="AF105" s="312"/>
    </row>
    <row r="106" spans="1:72" ht="129.75" customHeight="1" x14ac:dyDescent="0.2">
      <c r="A106" s="297"/>
      <c r="B106" s="204"/>
      <c r="C106" s="204"/>
      <c r="D106" s="204"/>
      <c r="E106" s="197"/>
      <c r="F106" s="209"/>
      <c r="G106" s="195" t="s">
        <v>253</v>
      </c>
      <c r="H106" s="203">
        <v>4103052</v>
      </c>
      <c r="I106" s="186" t="s">
        <v>254</v>
      </c>
      <c r="J106" s="203">
        <v>410305201</v>
      </c>
      <c r="K106" s="187" t="s">
        <v>255</v>
      </c>
      <c r="L106" s="209" t="s">
        <v>54</v>
      </c>
      <c r="M106" s="261">
        <v>25</v>
      </c>
      <c r="N106" s="266" t="s">
        <v>256</v>
      </c>
      <c r="O106" s="195" t="s">
        <v>1235</v>
      </c>
      <c r="P106" s="195" t="s">
        <v>257</v>
      </c>
      <c r="Q106" s="303"/>
      <c r="R106" s="303"/>
      <c r="S106" s="303"/>
      <c r="T106" s="303"/>
      <c r="U106" s="303"/>
      <c r="V106" s="303"/>
      <c r="W106" s="303"/>
      <c r="X106" s="303"/>
      <c r="Y106" s="303"/>
      <c r="Z106" s="303"/>
      <c r="AA106" s="329">
        <v>18000000</v>
      </c>
      <c r="AB106" s="303"/>
      <c r="AC106" s="303"/>
      <c r="AD106" s="305">
        <f>+Q106+R106+S106+T106+U106+V106+W106+X106+Y106+Z106+AA106+AB106+AC106</f>
        <v>18000000</v>
      </c>
      <c r="AE106" s="305" t="s">
        <v>216</v>
      </c>
      <c r="AF106" s="149" t="s">
        <v>217</v>
      </c>
    </row>
    <row r="107" spans="1:72" s="9" customFormat="1" ht="27.75" customHeight="1" x14ac:dyDescent="0.25">
      <c r="A107" s="279"/>
      <c r="B107" s="194"/>
      <c r="C107" s="159">
        <v>45</v>
      </c>
      <c r="D107" s="156" t="s">
        <v>1181</v>
      </c>
      <c r="E107" s="156"/>
      <c r="F107" s="287"/>
      <c r="G107" s="288"/>
      <c r="H107" s="289"/>
      <c r="I107" s="290"/>
      <c r="J107" s="291"/>
      <c r="K107" s="292"/>
      <c r="L107" s="293"/>
      <c r="M107" s="291"/>
      <c r="N107" s="392"/>
      <c r="O107" s="295"/>
      <c r="P107" s="295"/>
      <c r="Q107" s="296">
        <f>Q108</f>
        <v>0</v>
      </c>
      <c r="R107" s="296">
        <f t="shared" ref="R107:AD107" si="46">R108</f>
        <v>1724182726</v>
      </c>
      <c r="S107" s="296">
        <f t="shared" si="46"/>
        <v>0</v>
      </c>
      <c r="T107" s="296">
        <f t="shared" si="46"/>
        <v>0</v>
      </c>
      <c r="U107" s="296">
        <f t="shared" si="46"/>
        <v>0</v>
      </c>
      <c r="V107" s="296">
        <f t="shared" si="46"/>
        <v>0</v>
      </c>
      <c r="W107" s="296">
        <f t="shared" si="46"/>
        <v>0</v>
      </c>
      <c r="X107" s="296">
        <f t="shared" si="46"/>
        <v>0</v>
      </c>
      <c r="Y107" s="296">
        <f t="shared" si="46"/>
        <v>0</v>
      </c>
      <c r="Z107" s="296">
        <f t="shared" si="46"/>
        <v>0</v>
      </c>
      <c r="AA107" s="296">
        <f t="shared" si="46"/>
        <v>36000000</v>
      </c>
      <c r="AB107" s="296">
        <f t="shared" si="46"/>
        <v>0</v>
      </c>
      <c r="AC107" s="296">
        <f t="shared" si="46"/>
        <v>0</v>
      </c>
      <c r="AD107" s="296">
        <f t="shared" si="46"/>
        <v>1760182726</v>
      </c>
      <c r="AE107" s="296"/>
      <c r="AF107" s="341"/>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row>
    <row r="108" spans="1:72" ht="25.5" customHeight="1" x14ac:dyDescent="0.2">
      <c r="A108" s="297"/>
      <c r="B108" s="204"/>
      <c r="C108" s="204"/>
      <c r="D108" s="204"/>
      <c r="E108" s="309">
        <v>4501</v>
      </c>
      <c r="F108" s="731" t="s">
        <v>258</v>
      </c>
      <c r="G108" s="732"/>
      <c r="H108" s="732"/>
      <c r="I108" s="732"/>
      <c r="J108" s="733"/>
      <c r="K108" s="299"/>
      <c r="L108" s="393"/>
      <c r="M108" s="309"/>
      <c r="N108" s="311"/>
      <c r="O108" s="308"/>
      <c r="P108" s="308"/>
      <c r="Q108" s="395">
        <f t="shared" ref="Q108:AD108" si="47">SUM(Q109:Q110)</f>
        <v>0</v>
      </c>
      <c r="R108" s="395">
        <f t="shared" si="47"/>
        <v>1724182726</v>
      </c>
      <c r="S108" s="395">
        <f t="shared" si="47"/>
        <v>0</v>
      </c>
      <c r="T108" s="395">
        <f t="shared" si="47"/>
        <v>0</v>
      </c>
      <c r="U108" s="395">
        <f t="shared" si="47"/>
        <v>0</v>
      </c>
      <c r="V108" s="395">
        <f t="shared" si="47"/>
        <v>0</v>
      </c>
      <c r="W108" s="395">
        <f t="shared" si="47"/>
        <v>0</v>
      </c>
      <c r="X108" s="395">
        <f t="shared" si="47"/>
        <v>0</v>
      </c>
      <c r="Y108" s="395">
        <f t="shared" si="47"/>
        <v>0</v>
      </c>
      <c r="Z108" s="395">
        <f t="shared" si="47"/>
        <v>0</v>
      </c>
      <c r="AA108" s="395">
        <f t="shared" si="47"/>
        <v>36000000</v>
      </c>
      <c r="AB108" s="395">
        <f t="shared" si="47"/>
        <v>0</v>
      </c>
      <c r="AC108" s="395">
        <f t="shared" si="47"/>
        <v>0</v>
      </c>
      <c r="AD108" s="395">
        <f t="shared" si="47"/>
        <v>1760182726</v>
      </c>
      <c r="AE108" s="395"/>
      <c r="AF108" s="312"/>
    </row>
    <row r="109" spans="1:72" ht="188.25" customHeight="1" x14ac:dyDescent="0.2">
      <c r="A109" s="297"/>
      <c r="B109" s="204"/>
      <c r="C109" s="204"/>
      <c r="D109" s="204"/>
      <c r="E109" s="200"/>
      <c r="F109" s="209"/>
      <c r="G109" s="195" t="s">
        <v>122</v>
      </c>
      <c r="H109" s="203">
        <v>4501029</v>
      </c>
      <c r="I109" s="186" t="s">
        <v>259</v>
      </c>
      <c r="J109" s="203">
        <v>450102900</v>
      </c>
      <c r="K109" s="187" t="s">
        <v>260</v>
      </c>
      <c r="L109" s="398" t="s">
        <v>42</v>
      </c>
      <c r="M109" s="261">
        <v>5</v>
      </c>
      <c r="N109" s="266" t="s">
        <v>261</v>
      </c>
      <c r="O109" s="195" t="s">
        <v>1237</v>
      </c>
      <c r="P109" s="195" t="s">
        <v>262</v>
      </c>
      <c r="Q109" s="303"/>
      <c r="R109" s="402">
        <f>1648000000+76182726</f>
        <v>1724182726</v>
      </c>
      <c r="S109" s="303"/>
      <c r="T109" s="303"/>
      <c r="U109" s="303"/>
      <c r="V109" s="303"/>
      <c r="W109" s="303"/>
      <c r="X109" s="303"/>
      <c r="Y109" s="303"/>
      <c r="Z109" s="303"/>
      <c r="AA109" s="329"/>
      <c r="AB109" s="303"/>
      <c r="AC109" s="303"/>
      <c r="AD109" s="305">
        <f>+Q109+R109+S109+T109+U109+V109+W109+X109+Y109+Z109+AA109+AB109+AC109</f>
        <v>1724182726</v>
      </c>
      <c r="AE109" s="305" t="s">
        <v>216</v>
      </c>
      <c r="AF109" s="149" t="s">
        <v>217</v>
      </c>
    </row>
    <row r="110" spans="1:72" ht="188.25" customHeight="1" x14ac:dyDescent="0.2">
      <c r="A110" s="297"/>
      <c r="B110" s="214"/>
      <c r="C110" s="214"/>
      <c r="D110" s="214"/>
      <c r="E110" s="197"/>
      <c r="F110" s="209"/>
      <c r="G110" s="195" t="s">
        <v>122</v>
      </c>
      <c r="H110" s="197">
        <v>4501001</v>
      </c>
      <c r="I110" s="212" t="s">
        <v>92</v>
      </c>
      <c r="J110" s="197">
        <v>450100100</v>
      </c>
      <c r="K110" s="187" t="s">
        <v>1236</v>
      </c>
      <c r="L110" s="398" t="s">
        <v>42</v>
      </c>
      <c r="M110" s="261">
        <v>12</v>
      </c>
      <c r="N110" s="266" t="s">
        <v>269</v>
      </c>
      <c r="O110" s="195" t="s">
        <v>1238</v>
      </c>
      <c r="P110" s="212" t="s">
        <v>270</v>
      </c>
      <c r="Q110" s="187" t="s">
        <v>38</v>
      </c>
      <c r="R110" s="303"/>
      <c r="S110" s="303"/>
      <c r="T110" s="303"/>
      <c r="U110" s="303"/>
      <c r="V110" s="303"/>
      <c r="W110" s="303"/>
      <c r="X110" s="303"/>
      <c r="Y110" s="303"/>
      <c r="Z110" s="303"/>
      <c r="AA110" s="406">
        <v>36000000</v>
      </c>
      <c r="AB110" s="303"/>
      <c r="AC110" s="303"/>
      <c r="AD110" s="305">
        <f>SUM(Q110:AC110)</f>
        <v>36000000</v>
      </c>
      <c r="AE110" s="305" t="s">
        <v>216</v>
      </c>
      <c r="AF110" s="149" t="s">
        <v>217</v>
      </c>
    </row>
    <row r="111" spans="1:72" ht="24.75" customHeight="1" x14ac:dyDescent="0.2">
      <c r="A111" s="297"/>
      <c r="B111" s="280">
        <v>3</v>
      </c>
      <c r="C111" s="155" t="s">
        <v>150</v>
      </c>
      <c r="D111" s="348"/>
      <c r="E111" s="155"/>
      <c r="F111" s="155"/>
      <c r="G111" s="155"/>
      <c r="H111" s="281"/>
      <c r="I111" s="282"/>
      <c r="J111" s="280"/>
      <c r="K111" s="283"/>
      <c r="L111" s="391"/>
      <c r="M111" s="280"/>
      <c r="N111" s="285"/>
      <c r="O111" s="283"/>
      <c r="P111" s="283"/>
      <c r="Q111" s="286">
        <f>Q112+Q115</f>
        <v>0</v>
      </c>
      <c r="R111" s="286">
        <f t="shared" ref="R111:AC111" si="48">R112+R115</f>
        <v>0</v>
      </c>
      <c r="S111" s="286">
        <f t="shared" si="48"/>
        <v>0</v>
      </c>
      <c r="T111" s="286">
        <f t="shared" si="48"/>
        <v>0</v>
      </c>
      <c r="U111" s="286">
        <f t="shared" si="48"/>
        <v>0</v>
      </c>
      <c r="V111" s="286">
        <f t="shared" si="48"/>
        <v>0</v>
      </c>
      <c r="W111" s="286">
        <f t="shared" si="48"/>
        <v>0</v>
      </c>
      <c r="X111" s="286">
        <f t="shared" si="48"/>
        <v>0</v>
      </c>
      <c r="Y111" s="286">
        <f t="shared" si="48"/>
        <v>0</v>
      </c>
      <c r="Z111" s="286">
        <f t="shared" si="48"/>
        <v>0</v>
      </c>
      <c r="AA111" s="286">
        <f t="shared" si="48"/>
        <v>193000000</v>
      </c>
      <c r="AB111" s="286">
        <f t="shared" si="48"/>
        <v>0</v>
      </c>
      <c r="AC111" s="286">
        <f t="shared" si="48"/>
        <v>0</v>
      </c>
      <c r="AD111" s="286">
        <f>AD112+AD115</f>
        <v>193000000</v>
      </c>
      <c r="AE111" s="286"/>
      <c r="AF111" s="340"/>
    </row>
    <row r="112" spans="1:72" s="9" customFormat="1" ht="27.75" customHeight="1" x14ac:dyDescent="0.25">
      <c r="A112" s="279"/>
      <c r="B112" s="194"/>
      <c r="C112" s="159">
        <v>32</v>
      </c>
      <c r="D112" s="156" t="s">
        <v>1185</v>
      </c>
      <c r="E112" s="156"/>
      <c r="F112" s="287"/>
      <c r="G112" s="288"/>
      <c r="H112" s="289"/>
      <c r="I112" s="290"/>
      <c r="J112" s="291"/>
      <c r="K112" s="292"/>
      <c r="L112" s="293"/>
      <c r="M112" s="291"/>
      <c r="N112" s="392"/>
      <c r="O112" s="295"/>
      <c r="P112" s="295"/>
      <c r="Q112" s="296">
        <f>Q113</f>
        <v>0</v>
      </c>
      <c r="R112" s="296">
        <f t="shared" ref="R112:AD112" si="49">R113</f>
        <v>0</v>
      </c>
      <c r="S112" s="296">
        <f t="shared" si="49"/>
        <v>0</v>
      </c>
      <c r="T112" s="296">
        <f t="shared" si="49"/>
        <v>0</v>
      </c>
      <c r="U112" s="296">
        <f t="shared" si="49"/>
        <v>0</v>
      </c>
      <c r="V112" s="296">
        <f t="shared" si="49"/>
        <v>0</v>
      </c>
      <c r="W112" s="296">
        <f t="shared" si="49"/>
        <v>0</v>
      </c>
      <c r="X112" s="296">
        <f t="shared" si="49"/>
        <v>0</v>
      </c>
      <c r="Y112" s="296">
        <f t="shared" si="49"/>
        <v>0</v>
      </c>
      <c r="Z112" s="296">
        <f t="shared" si="49"/>
        <v>0</v>
      </c>
      <c r="AA112" s="296">
        <f t="shared" si="49"/>
        <v>45000000</v>
      </c>
      <c r="AB112" s="296">
        <f t="shared" si="49"/>
        <v>0</v>
      </c>
      <c r="AC112" s="296">
        <f t="shared" si="49"/>
        <v>0</v>
      </c>
      <c r="AD112" s="296">
        <f t="shared" si="49"/>
        <v>45000000</v>
      </c>
      <c r="AE112" s="296"/>
      <c r="AF112" s="341"/>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row>
    <row r="113" spans="1:72" ht="27.75" customHeight="1" x14ac:dyDescent="0.2">
      <c r="A113" s="297"/>
      <c r="B113" s="204"/>
      <c r="C113" s="204"/>
      <c r="D113" s="204"/>
      <c r="E113" s="309">
        <v>3205</v>
      </c>
      <c r="F113" s="188" t="s">
        <v>164</v>
      </c>
      <c r="G113" s="366"/>
      <c r="H113" s="307"/>
      <c r="I113" s="308"/>
      <c r="J113" s="309"/>
      <c r="K113" s="299"/>
      <c r="L113" s="393"/>
      <c r="M113" s="309"/>
      <c r="N113" s="311"/>
      <c r="O113" s="299"/>
      <c r="P113" s="299"/>
      <c r="Q113" s="395">
        <f t="shared" ref="Q113:AD113" si="50">SUM(Q114:Q114)</f>
        <v>0</v>
      </c>
      <c r="R113" s="395">
        <f t="shared" si="50"/>
        <v>0</v>
      </c>
      <c r="S113" s="395">
        <f t="shared" si="50"/>
        <v>0</v>
      </c>
      <c r="T113" s="395">
        <f t="shared" si="50"/>
        <v>0</v>
      </c>
      <c r="U113" s="395">
        <f t="shared" si="50"/>
        <v>0</v>
      </c>
      <c r="V113" s="395">
        <f t="shared" si="50"/>
        <v>0</v>
      </c>
      <c r="W113" s="395">
        <f t="shared" si="50"/>
        <v>0</v>
      </c>
      <c r="X113" s="395">
        <f t="shared" si="50"/>
        <v>0</v>
      </c>
      <c r="Y113" s="395">
        <f t="shared" si="50"/>
        <v>0</v>
      </c>
      <c r="Z113" s="395">
        <f t="shared" si="50"/>
        <v>0</v>
      </c>
      <c r="AA113" s="395">
        <f t="shared" si="50"/>
        <v>45000000</v>
      </c>
      <c r="AB113" s="395">
        <f t="shared" si="50"/>
        <v>0</v>
      </c>
      <c r="AC113" s="395">
        <f t="shared" si="50"/>
        <v>0</v>
      </c>
      <c r="AD113" s="395">
        <f t="shared" si="50"/>
        <v>45000000</v>
      </c>
      <c r="AE113" s="395"/>
      <c r="AF113" s="312"/>
    </row>
    <row r="114" spans="1:72" ht="155.25" customHeight="1" x14ac:dyDescent="0.2">
      <c r="A114" s="297"/>
      <c r="B114" s="204"/>
      <c r="C114" s="204"/>
      <c r="D114" s="204"/>
      <c r="E114" s="200"/>
      <c r="F114" s="209"/>
      <c r="G114" s="195" t="s">
        <v>271</v>
      </c>
      <c r="H114" s="197">
        <v>3205002</v>
      </c>
      <c r="I114" s="195" t="s">
        <v>1271</v>
      </c>
      <c r="J114" s="197">
        <v>320500200</v>
      </c>
      <c r="K114" s="187" t="s">
        <v>1276</v>
      </c>
      <c r="L114" s="378" t="s">
        <v>54</v>
      </c>
      <c r="M114" s="261">
        <v>3</v>
      </c>
      <c r="N114" s="266" t="s">
        <v>272</v>
      </c>
      <c r="O114" s="187" t="s">
        <v>1285</v>
      </c>
      <c r="P114" s="187" t="s">
        <v>273</v>
      </c>
      <c r="Q114" s="303"/>
      <c r="R114" s="303"/>
      <c r="S114" s="303"/>
      <c r="T114" s="303"/>
      <c r="U114" s="303"/>
      <c r="V114" s="303"/>
      <c r="W114" s="303"/>
      <c r="X114" s="303"/>
      <c r="Y114" s="303"/>
      <c r="Z114" s="303"/>
      <c r="AA114" s="407">
        <v>45000000</v>
      </c>
      <c r="AB114" s="303"/>
      <c r="AC114" s="303"/>
      <c r="AD114" s="305">
        <f>+Q114+R114+S114+T114+U114+V114+W114+X114+Y114+Z114+AA114+AB114+AC114</f>
        <v>45000000</v>
      </c>
      <c r="AE114" s="305" t="s">
        <v>216</v>
      </c>
      <c r="AF114" s="149" t="s">
        <v>217</v>
      </c>
    </row>
    <row r="115" spans="1:72" s="9" customFormat="1" ht="27.75" customHeight="1" x14ac:dyDescent="0.25">
      <c r="A115" s="279"/>
      <c r="B115" s="194"/>
      <c r="C115" s="159">
        <v>45</v>
      </c>
      <c r="D115" s="156" t="s">
        <v>1181</v>
      </c>
      <c r="E115" s="156"/>
      <c r="F115" s="287"/>
      <c r="G115" s="288"/>
      <c r="H115" s="289"/>
      <c r="I115" s="290"/>
      <c r="J115" s="291"/>
      <c r="K115" s="292"/>
      <c r="L115" s="293"/>
      <c r="M115" s="291"/>
      <c r="N115" s="392"/>
      <c r="O115" s="295"/>
      <c r="P115" s="295"/>
      <c r="Q115" s="296">
        <f>Q116</f>
        <v>0</v>
      </c>
      <c r="R115" s="296">
        <f>R116</f>
        <v>0</v>
      </c>
      <c r="S115" s="296">
        <f t="shared" ref="S115:AD115" si="51">S116</f>
        <v>0</v>
      </c>
      <c r="T115" s="296">
        <f t="shared" si="51"/>
        <v>0</v>
      </c>
      <c r="U115" s="296">
        <f t="shared" si="51"/>
        <v>0</v>
      </c>
      <c r="V115" s="296">
        <f t="shared" si="51"/>
        <v>0</v>
      </c>
      <c r="W115" s="296">
        <f t="shared" si="51"/>
        <v>0</v>
      </c>
      <c r="X115" s="296">
        <f t="shared" si="51"/>
        <v>0</v>
      </c>
      <c r="Y115" s="296">
        <f t="shared" si="51"/>
        <v>0</v>
      </c>
      <c r="Z115" s="296">
        <f t="shared" si="51"/>
        <v>0</v>
      </c>
      <c r="AA115" s="296">
        <f t="shared" si="51"/>
        <v>148000000</v>
      </c>
      <c r="AB115" s="296">
        <f t="shared" si="51"/>
        <v>0</v>
      </c>
      <c r="AC115" s="296">
        <f t="shared" si="51"/>
        <v>0</v>
      </c>
      <c r="AD115" s="296">
        <f t="shared" si="51"/>
        <v>148000000</v>
      </c>
      <c r="AE115" s="296"/>
      <c r="AF115" s="341"/>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row>
    <row r="116" spans="1:72" ht="30" customHeight="1" x14ac:dyDescent="0.2">
      <c r="A116" s="297"/>
      <c r="B116" s="204"/>
      <c r="C116" s="204"/>
      <c r="D116" s="204"/>
      <c r="E116" s="309">
        <v>4503</v>
      </c>
      <c r="F116" s="188" t="s">
        <v>1333</v>
      </c>
      <c r="G116" s="366"/>
      <c r="H116" s="307"/>
      <c r="I116" s="308"/>
      <c r="J116" s="309"/>
      <c r="K116" s="299"/>
      <c r="L116" s="393"/>
      <c r="M116" s="408"/>
      <c r="N116" s="311"/>
      <c r="O116" s="299"/>
      <c r="P116" s="299"/>
      <c r="Q116" s="395">
        <f>SUM(Q117:Q119)</f>
        <v>0</v>
      </c>
      <c r="R116" s="395">
        <f>SUM(R117:R119)</f>
        <v>0</v>
      </c>
      <c r="S116" s="395">
        <f t="shared" ref="S116:AD116" si="52">SUM(S117:S119)</f>
        <v>0</v>
      </c>
      <c r="T116" s="395">
        <f t="shared" si="52"/>
        <v>0</v>
      </c>
      <c r="U116" s="395">
        <f t="shared" si="52"/>
        <v>0</v>
      </c>
      <c r="V116" s="395">
        <f t="shared" si="52"/>
        <v>0</v>
      </c>
      <c r="W116" s="395">
        <f t="shared" si="52"/>
        <v>0</v>
      </c>
      <c r="X116" s="395">
        <f t="shared" si="52"/>
        <v>0</v>
      </c>
      <c r="Y116" s="395">
        <f t="shared" si="52"/>
        <v>0</v>
      </c>
      <c r="Z116" s="395">
        <f t="shared" si="52"/>
        <v>0</v>
      </c>
      <c r="AA116" s="395">
        <f t="shared" si="52"/>
        <v>148000000</v>
      </c>
      <c r="AB116" s="395">
        <f t="shared" si="52"/>
        <v>0</v>
      </c>
      <c r="AC116" s="395">
        <f t="shared" si="52"/>
        <v>0</v>
      </c>
      <c r="AD116" s="395">
        <f t="shared" si="52"/>
        <v>148000000</v>
      </c>
      <c r="AE116" s="395"/>
      <c r="AF116" s="312"/>
    </row>
    <row r="117" spans="1:72" ht="90" customHeight="1" x14ac:dyDescent="0.2">
      <c r="A117" s="297"/>
      <c r="B117" s="204"/>
      <c r="C117" s="204"/>
      <c r="D117" s="204"/>
      <c r="E117" s="200"/>
      <c r="F117" s="405"/>
      <c r="G117" s="195" t="s">
        <v>274</v>
      </c>
      <c r="H117" s="197">
        <v>4503002</v>
      </c>
      <c r="I117" s="195" t="s">
        <v>275</v>
      </c>
      <c r="J117" s="197">
        <v>450300200</v>
      </c>
      <c r="K117" s="187" t="s">
        <v>276</v>
      </c>
      <c r="L117" s="234" t="s">
        <v>54</v>
      </c>
      <c r="M117" s="261">
        <v>4000</v>
      </c>
      <c r="N117" s="748" t="s">
        <v>277</v>
      </c>
      <c r="O117" s="756" t="s">
        <v>278</v>
      </c>
      <c r="P117" s="756" t="s">
        <v>279</v>
      </c>
      <c r="Q117" s="303"/>
      <c r="R117" s="303"/>
      <c r="S117" s="303"/>
      <c r="T117" s="303"/>
      <c r="U117" s="303"/>
      <c r="V117" s="303"/>
      <c r="W117" s="303"/>
      <c r="X117" s="303"/>
      <c r="Y117" s="303"/>
      <c r="Z117" s="303"/>
      <c r="AA117" s="329">
        <v>18000000</v>
      </c>
      <c r="AB117" s="303"/>
      <c r="AC117" s="303"/>
      <c r="AD117" s="305">
        <f>+Q117+R117+S117+T117+U117+V117+W117+X117+Y117+Z117+AA117+AB117+AC117</f>
        <v>18000000</v>
      </c>
      <c r="AE117" s="305" t="s">
        <v>216</v>
      </c>
      <c r="AF117" s="149" t="s">
        <v>217</v>
      </c>
    </row>
    <row r="118" spans="1:72" ht="83.25" customHeight="1" x14ac:dyDescent="0.2">
      <c r="A118" s="297"/>
      <c r="B118" s="204"/>
      <c r="C118" s="204"/>
      <c r="D118" s="204"/>
      <c r="E118" s="200"/>
      <c r="F118" s="405"/>
      <c r="G118" s="195" t="s">
        <v>280</v>
      </c>
      <c r="H118" s="197">
        <v>4503003</v>
      </c>
      <c r="I118" s="195" t="s">
        <v>92</v>
      </c>
      <c r="J118" s="197">
        <v>450300300</v>
      </c>
      <c r="K118" s="187" t="s">
        <v>103</v>
      </c>
      <c r="L118" s="209" t="s">
        <v>42</v>
      </c>
      <c r="M118" s="409">
        <v>12</v>
      </c>
      <c r="N118" s="748"/>
      <c r="O118" s="756"/>
      <c r="P118" s="756"/>
      <c r="Q118" s="303"/>
      <c r="R118" s="303"/>
      <c r="S118" s="303"/>
      <c r="T118" s="303"/>
      <c r="U118" s="303"/>
      <c r="V118" s="303"/>
      <c r="W118" s="303"/>
      <c r="X118" s="303"/>
      <c r="Y118" s="303"/>
      <c r="Z118" s="303"/>
      <c r="AA118" s="329">
        <v>100000000</v>
      </c>
      <c r="AB118" s="303"/>
      <c r="AC118" s="303"/>
      <c r="AD118" s="305">
        <f>+Q118+R118+S118+T118+U118+V118+W118+X118+Y118+Z118+AA118+AB118+AC118</f>
        <v>100000000</v>
      </c>
      <c r="AE118" s="305" t="s">
        <v>216</v>
      </c>
      <c r="AF118" s="149" t="s">
        <v>217</v>
      </c>
    </row>
    <row r="119" spans="1:72" ht="113.25" customHeight="1" x14ac:dyDescent="0.2">
      <c r="A119" s="297"/>
      <c r="B119" s="204"/>
      <c r="C119" s="204"/>
      <c r="D119" s="204"/>
      <c r="E119" s="200"/>
      <c r="F119" s="405"/>
      <c r="G119" s="195" t="s">
        <v>280</v>
      </c>
      <c r="H119" s="196">
        <v>4503016</v>
      </c>
      <c r="I119" s="186" t="s">
        <v>281</v>
      </c>
      <c r="J119" s="196">
        <v>450301600</v>
      </c>
      <c r="K119" s="187" t="s">
        <v>282</v>
      </c>
      <c r="L119" s="209" t="s">
        <v>42</v>
      </c>
      <c r="M119" s="261">
        <v>1</v>
      </c>
      <c r="N119" s="748"/>
      <c r="O119" s="756"/>
      <c r="P119" s="756"/>
      <c r="Q119" s="303"/>
      <c r="R119" s="303"/>
      <c r="S119" s="303"/>
      <c r="T119" s="303"/>
      <c r="U119" s="303"/>
      <c r="V119" s="303"/>
      <c r="W119" s="303"/>
      <c r="X119" s="303"/>
      <c r="Y119" s="303"/>
      <c r="Z119" s="303"/>
      <c r="AA119" s="329">
        <v>30000000</v>
      </c>
      <c r="AB119" s="303"/>
      <c r="AC119" s="303"/>
      <c r="AD119" s="305">
        <f>+Q119+R119+S119+T119+U119+V119+W119+X119+Y119+Z119+AA119+AB119+AC119</f>
        <v>30000000</v>
      </c>
      <c r="AE119" s="305" t="s">
        <v>216</v>
      </c>
      <c r="AF119" s="149" t="s">
        <v>217</v>
      </c>
    </row>
    <row r="120" spans="1:72" ht="28.5" customHeight="1" x14ac:dyDescent="0.2">
      <c r="A120" s="297"/>
      <c r="B120" s="280">
        <v>4</v>
      </c>
      <c r="C120" s="155" t="s">
        <v>37</v>
      </c>
      <c r="D120" s="155"/>
      <c r="E120" s="155"/>
      <c r="F120" s="155"/>
      <c r="G120" s="155"/>
      <c r="H120" s="281"/>
      <c r="I120" s="282"/>
      <c r="J120" s="280"/>
      <c r="K120" s="283"/>
      <c r="L120" s="391"/>
      <c r="M120" s="280"/>
      <c r="N120" s="285"/>
      <c r="O120" s="283"/>
      <c r="P120" s="283"/>
      <c r="Q120" s="286">
        <f>Q121</f>
        <v>0</v>
      </c>
      <c r="R120" s="286">
        <f t="shared" ref="R120:AD121" si="53">R121</f>
        <v>0</v>
      </c>
      <c r="S120" s="286">
        <f t="shared" si="53"/>
        <v>0</v>
      </c>
      <c r="T120" s="286">
        <f t="shared" si="53"/>
        <v>0</v>
      </c>
      <c r="U120" s="286">
        <f t="shared" si="53"/>
        <v>0</v>
      </c>
      <c r="V120" s="286">
        <f t="shared" si="53"/>
        <v>0</v>
      </c>
      <c r="W120" s="286">
        <f t="shared" si="53"/>
        <v>0</v>
      </c>
      <c r="X120" s="286">
        <f t="shared" si="53"/>
        <v>0</v>
      </c>
      <c r="Y120" s="286">
        <f t="shared" si="53"/>
        <v>0</v>
      </c>
      <c r="Z120" s="286">
        <f t="shared" si="53"/>
        <v>0</v>
      </c>
      <c r="AA120" s="286">
        <f t="shared" si="53"/>
        <v>313000000</v>
      </c>
      <c r="AB120" s="286">
        <f t="shared" si="53"/>
        <v>0</v>
      </c>
      <c r="AC120" s="286">
        <f t="shared" si="53"/>
        <v>0</v>
      </c>
      <c r="AD120" s="286">
        <f>AD121</f>
        <v>313000000</v>
      </c>
      <c r="AE120" s="286"/>
      <c r="AF120" s="340"/>
    </row>
    <row r="121" spans="1:72" s="9" customFormat="1" ht="27.75" customHeight="1" x14ac:dyDescent="0.25">
      <c r="A121" s="279"/>
      <c r="B121" s="194"/>
      <c r="C121" s="159">
        <v>45</v>
      </c>
      <c r="D121" s="156" t="s">
        <v>1181</v>
      </c>
      <c r="E121" s="156"/>
      <c r="F121" s="287"/>
      <c r="G121" s="288"/>
      <c r="H121" s="289"/>
      <c r="I121" s="290"/>
      <c r="J121" s="291"/>
      <c r="K121" s="292"/>
      <c r="L121" s="293"/>
      <c r="M121" s="291"/>
      <c r="N121" s="392"/>
      <c r="O121" s="295"/>
      <c r="P121" s="295"/>
      <c r="Q121" s="296">
        <f>Q122</f>
        <v>0</v>
      </c>
      <c r="R121" s="296">
        <f t="shared" si="53"/>
        <v>0</v>
      </c>
      <c r="S121" s="296">
        <f t="shared" si="53"/>
        <v>0</v>
      </c>
      <c r="T121" s="296">
        <f t="shared" si="53"/>
        <v>0</v>
      </c>
      <c r="U121" s="296">
        <f t="shared" si="53"/>
        <v>0</v>
      </c>
      <c r="V121" s="296">
        <f t="shared" si="53"/>
        <v>0</v>
      </c>
      <c r="W121" s="296">
        <f t="shared" si="53"/>
        <v>0</v>
      </c>
      <c r="X121" s="296">
        <f t="shared" si="53"/>
        <v>0</v>
      </c>
      <c r="Y121" s="296">
        <f t="shared" si="53"/>
        <v>0</v>
      </c>
      <c r="Z121" s="296">
        <f t="shared" si="53"/>
        <v>0</v>
      </c>
      <c r="AA121" s="296">
        <f t="shared" si="53"/>
        <v>313000000</v>
      </c>
      <c r="AB121" s="296">
        <f t="shared" si="53"/>
        <v>0</v>
      </c>
      <c r="AC121" s="296">
        <f t="shared" si="53"/>
        <v>0</v>
      </c>
      <c r="AD121" s="296">
        <f t="shared" si="53"/>
        <v>313000000</v>
      </c>
      <c r="AE121" s="296"/>
      <c r="AF121" s="341"/>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row>
    <row r="122" spans="1:72" ht="30.75" customHeight="1" x14ac:dyDescent="0.2">
      <c r="A122" s="297"/>
      <c r="B122" s="214"/>
      <c r="C122" s="214"/>
      <c r="D122" s="214"/>
      <c r="E122" s="309">
        <v>4502</v>
      </c>
      <c r="F122" s="188" t="s">
        <v>1323</v>
      </c>
      <c r="G122" s="366"/>
      <c r="H122" s="307"/>
      <c r="I122" s="308"/>
      <c r="J122" s="309"/>
      <c r="K122" s="299"/>
      <c r="L122" s="393"/>
      <c r="M122" s="309"/>
      <c r="N122" s="311"/>
      <c r="O122" s="299"/>
      <c r="P122" s="299"/>
      <c r="Q122" s="300">
        <f>SUM(Q124:Q127)</f>
        <v>0</v>
      </c>
      <c r="R122" s="300">
        <f t="shared" ref="R122:Z122" si="54">SUM(R124:R127)</f>
        <v>0</v>
      </c>
      <c r="S122" s="300">
        <f t="shared" si="54"/>
        <v>0</v>
      </c>
      <c r="T122" s="300">
        <f t="shared" si="54"/>
        <v>0</v>
      </c>
      <c r="U122" s="300">
        <f t="shared" si="54"/>
        <v>0</v>
      </c>
      <c r="V122" s="300">
        <f t="shared" si="54"/>
        <v>0</v>
      </c>
      <c r="W122" s="300">
        <f t="shared" si="54"/>
        <v>0</v>
      </c>
      <c r="X122" s="300">
        <f t="shared" si="54"/>
        <v>0</v>
      </c>
      <c r="Y122" s="300">
        <f t="shared" si="54"/>
        <v>0</v>
      </c>
      <c r="Z122" s="300">
        <f t="shared" si="54"/>
        <v>0</v>
      </c>
      <c r="AA122" s="300">
        <f>SUM(AA123:AA127)</f>
        <v>313000000</v>
      </c>
      <c r="AB122" s="300">
        <f t="shared" ref="AB122:AF122" si="55">SUM(AB123:AB127)</f>
        <v>0</v>
      </c>
      <c r="AC122" s="300">
        <f t="shared" si="55"/>
        <v>0</v>
      </c>
      <c r="AD122" s="300">
        <f t="shared" si="55"/>
        <v>313000000</v>
      </c>
      <c r="AE122" s="300">
        <f t="shared" si="55"/>
        <v>0</v>
      </c>
      <c r="AF122" s="300">
        <f t="shared" si="55"/>
        <v>0</v>
      </c>
    </row>
    <row r="123" spans="1:72" s="4" customFormat="1" ht="156" customHeight="1" x14ac:dyDescent="0.2">
      <c r="A123" s="140"/>
      <c r="B123" s="223"/>
      <c r="C123" s="223"/>
      <c r="D123" s="223"/>
      <c r="E123" s="196"/>
      <c r="F123" s="222"/>
      <c r="G123" s="186" t="s">
        <v>263</v>
      </c>
      <c r="H123" s="196">
        <v>4502024</v>
      </c>
      <c r="I123" s="186" t="s">
        <v>264</v>
      </c>
      <c r="J123" s="227">
        <v>450202400</v>
      </c>
      <c r="K123" s="410" t="s">
        <v>265</v>
      </c>
      <c r="L123" s="222" t="s">
        <v>42</v>
      </c>
      <c r="M123" s="261">
        <v>10</v>
      </c>
      <c r="N123" s="222" t="s">
        <v>266</v>
      </c>
      <c r="O123" s="186" t="s">
        <v>267</v>
      </c>
      <c r="P123" s="186" t="s">
        <v>268</v>
      </c>
      <c r="Q123" s="264"/>
      <c r="R123" s="264"/>
      <c r="S123" s="264"/>
      <c r="T123" s="264"/>
      <c r="U123" s="264"/>
      <c r="V123" s="264"/>
      <c r="W123" s="264"/>
      <c r="X123" s="264"/>
      <c r="Y123" s="264"/>
      <c r="Z123" s="264"/>
      <c r="AA123" s="332">
        <v>50000000</v>
      </c>
      <c r="AB123" s="264"/>
      <c r="AC123" s="264"/>
      <c r="AD123" s="411">
        <f>+Q123+R123+S123+T123+U123+V123+W123+X123+Y123+Z123+AA123+AB123+AC123</f>
        <v>50000000</v>
      </c>
      <c r="AE123" s="411" t="s">
        <v>216</v>
      </c>
      <c r="AF123" s="412" t="s">
        <v>217</v>
      </c>
    </row>
    <row r="124" spans="1:72" ht="100.5" customHeight="1" x14ac:dyDescent="0.2">
      <c r="A124" s="297"/>
      <c r="B124" s="214"/>
      <c r="C124" s="214"/>
      <c r="D124" s="214"/>
      <c r="E124" s="197"/>
      <c r="F124" s="209"/>
      <c r="G124" s="195" t="s">
        <v>58</v>
      </c>
      <c r="H124" s="202">
        <v>4502001</v>
      </c>
      <c r="I124" s="195" t="s">
        <v>67</v>
      </c>
      <c r="J124" s="197">
        <v>450200100</v>
      </c>
      <c r="K124" s="187" t="s">
        <v>283</v>
      </c>
      <c r="L124" s="398" t="s">
        <v>42</v>
      </c>
      <c r="M124" s="261">
        <v>3</v>
      </c>
      <c r="N124" s="748" t="s">
        <v>284</v>
      </c>
      <c r="O124" s="753" t="s">
        <v>1239</v>
      </c>
      <c r="P124" s="757" t="s">
        <v>285</v>
      </c>
      <c r="Q124" s="303"/>
      <c r="R124" s="303"/>
      <c r="S124" s="303"/>
      <c r="T124" s="303"/>
      <c r="U124" s="303"/>
      <c r="V124" s="303"/>
      <c r="W124" s="303"/>
      <c r="X124" s="303"/>
      <c r="Y124" s="303"/>
      <c r="Z124" s="303"/>
      <c r="AA124" s="332">
        <v>130000000</v>
      </c>
      <c r="AB124" s="303"/>
      <c r="AC124" s="303"/>
      <c r="AD124" s="305">
        <f>+Q124+R124+S124+T124+U124+V124+W124+X124+Y124+Z124+AA124+AB124+AC124</f>
        <v>130000000</v>
      </c>
      <c r="AE124" s="305" t="s">
        <v>216</v>
      </c>
      <c r="AF124" s="149" t="s">
        <v>217</v>
      </c>
    </row>
    <row r="125" spans="1:72" ht="87" customHeight="1" x14ac:dyDescent="0.2">
      <c r="A125" s="297"/>
      <c r="B125" s="214"/>
      <c r="C125" s="214"/>
      <c r="D125" s="214"/>
      <c r="E125" s="197"/>
      <c r="F125" s="209"/>
      <c r="G125" s="195" t="s">
        <v>58</v>
      </c>
      <c r="H125" s="230">
        <v>4502001</v>
      </c>
      <c r="I125" s="186" t="s">
        <v>286</v>
      </c>
      <c r="J125" s="230">
        <v>450200111</v>
      </c>
      <c r="K125" s="187" t="s">
        <v>287</v>
      </c>
      <c r="L125" s="398" t="s">
        <v>42</v>
      </c>
      <c r="M125" s="413">
        <v>1</v>
      </c>
      <c r="N125" s="748"/>
      <c r="O125" s="753"/>
      <c r="P125" s="758"/>
      <c r="Q125" s="303"/>
      <c r="R125" s="303"/>
      <c r="S125" s="303"/>
      <c r="T125" s="303"/>
      <c r="U125" s="303"/>
      <c r="V125" s="303"/>
      <c r="W125" s="303"/>
      <c r="X125" s="303"/>
      <c r="Y125" s="303"/>
      <c r="Z125" s="303"/>
      <c r="AA125" s="329">
        <v>73000000</v>
      </c>
      <c r="AB125" s="303"/>
      <c r="AC125" s="303"/>
      <c r="AD125" s="305">
        <f>+Q125+R125+S125+T125+U125+V125+W125+X125+Y125+Z125+AA125+AB125+AC125</f>
        <v>73000000</v>
      </c>
      <c r="AE125" s="305" t="s">
        <v>216</v>
      </c>
      <c r="AF125" s="149" t="s">
        <v>217</v>
      </c>
    </row>
    <row r="126" spans="1:72" ht="126" customHeight="1" x14ac:dyDescent="0.2">
      <c r="A126" s="297"/>
      <c r="B126" s="214"/>
      <c r="C126" s="214"/>
      <c r="D126" s="214"/>
      <c r="E126" s="197"/>
      <c r="F126" s="209"/>
      <c r="G126" s="195" t="s">
        <v>58</v>
      </c>
      <c r="H126" s="196">
        <v>4502001</v>
      </c>
      <c r="I126" s="186" t="s">
        <v>288</v>
      </c>
      <c r="J126" s="196">
        <v>450200109</v>
      </c>
      <c r="K126" s="187" t="s">
        <v>289</v>
      </c>
      <c r="L126" s="398" t="s">
        <v>42</v>
      </c>
      <c r="M126" s="261">
        <v>12</v>
      </c>
      <c r="N126" s="748"/>
      <c r="O126" s="753"/>
      <c r="P126" s="758"/>
      <c r="Q126" s="303"/>
      <c r="R126" s="303"/>
      <c r="S126" s="303"/>
      <c r="T126" s="303"/>
      <c r="U126" s="303"/>
      <c r="V126" s="303"/>
      <c r="W126" s="303"/>
      <c r="X126" s="303"/>
      <c r="Y126" s="303"/>
      <c r="Z126" s="303"/>
      <c r="AA126" s="329">
        <v>35000000</v>
      </c>
      <c r="AB126" s="303"/>
      <c r="AC126" s="303"/>
      <c r="AD126" s="305">
        <f>+Q126+R126+S126+T126+U126+V126+W126+X126+Y126+Z126+AA126+AB126+AC126</f>
        <v>35000000</v>
      </c>
      <c r="AE126" s="305" t="s">
        <v>216</v>
      </c>
      <c r="AF126" s="149" t="s">
        <v>217</v>
      </c>
    </row>
    <row r="127" spans="1:72" ht="80.25" customHeight="1" x14ac:dyDescent="0.2">
      <c r="A127" s="297"/>
      <c r="B127" s="214"/>
      <c r="C127" s="214"/>
      <c r="D127" s="214"/>
      <c r="E127" s="197"/>
      <c r="F127" s="209"/>
      <c r="G127" s="195" t="s">
        <v>58</v>
      </c>
      <c r="H127" s="230">
        <v>4502035</v>
      </c>
      <c r="I127" s="186" t="s">
        <v>290</v>
      </c>
      <c r="J127" s="230">
        <v>450203501</v>
      </c>
      <c r="K127" s="187" t="s">
        <v>291</v>
      </c>
      <c r="L127" s="398" t="s">
        <v>54</v>
      </c>
      <c r="M127" s="261">
        <v>0.4</v>
      </c>
      <c r="N127" s="748"/>
      <c r="O127" s="753"/>
      <c r="P127" s="759"/>
      <c r="Q127" s="303"/>
      <c r="R127" s="303"/>
      <c r="S127" s="303"/>
      <c r="T127" s="303"/>
      <c r="U127" s="303"/>
      <c r="V127" s="303"/>
      <c r="W127" s="303"/>
      <c r="X127" s="303"/>
      <c r="Y127" s="303"/>
      <c r="Z127" s="303"/>
      <c r="AA127" s="329">
        <v>25000000</v>
      </c>
      <c r="AB127" s="303"/>
      <c r="AC127" s="303"/>
      <c r="AD127" s="305">
        <f>+Q127+R127+S127+T127+U127+V127+W127+X127+Y127+Z127+AA127+AB127+AC127</f>
        <v>25000000</v>
      </c>
      <c r="AE127" s="305" t="s">
        <v>216</v>
      </c>
      <c r="AF127" s="149" t="s">
        <v>217</v>
      </c>
    </row>
    <row r="128" spans="1:72" s="122" customFormat="1" ht="27" customHeight="1" x14ac:dyDescent="0.2">
      <c r="A128" s="315"/>
      <c r="B128" s="336"/>
      <c r="C128" s="336"/>
      <c r="D128" s="336"/>
      <c r="E128" s="337"/>
      <c r="F128" s="338"/>
      <c r="G128" s="319"/>
      <c r="H128" s="337"/>
      <c r="I128" s="319"/>
      <c r="J128" s="320"/>
      <c r="K128" s="318"/>
      <c r="L128" s="338"/>
      <c r="M128" s="320"/>
      <c r="N128" s="338"/>
      <c r="O128" s="318"/>
      <c r="P128" s="318"/>
      <c r="Q128" s="315"/>
      <c r="R128" s="315"/>
      <c r="S128" s="315"/>
      <c r="T128" s="315"/>
      <c r="U128" s="315"/>
      <c r="V128" s="315"/>
      <c r="W128" s="315"/>
      <c r="X128" s="315"/>
      <c r="Y128" s="315"/>
      <c r="Z128" s="315"/>
      <c r="AA128" s="339"/>
      <c r="AB128" s="315"/>
      <c r="AC128" s="315"/>
      <c r="AD128" s="315"/>
      <c r="AE128" s="315"/>
      <c r="AF128" s="338"/>
      <c r="AG128" s="117"/>
      <c r="AH128" s="117"/>
      <c r="AI128" s="117"/>
      <c r="AJ128" s="117"/>
      <c r="AK128" s="117"/>
      <c r="AL128" s="117"/>
      <c r="AM128" s="117"/>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7"/>
      <c r="BR128" s="117"/>
      <c r="BS128" s="117"/>
      <c r="BT128" s="117"/>
    </row>
    <row r="129" spans="1:72" s="658" customFormat="1" ht="33" customHeight="1" x14ac:dyDescent="0.2">
      <c r="A129" s="56" t="s">
        <v>292</v>
      </c>
      <c r="B129" s="56"/>
      <c r="C129" s="56"/>
      <c r="D129" s="56"/>
      <c r="E129" s="57"/>
      <c r="F129" s="58"/>
      <c r="G129" s="650"/>
      <c r="H129" s="653"/>
      <c r="I129" s="650"/>
      <c r="J129" s="654"/>
      <c r="K129" s="655"/>
      <c r="L129" s="656"/>
      <c r="M129" s="654"/>
      <c r="N129" s="58"/>
      <c r="O129" s="655"/>
      <c r="P129" s="655"/>
      <c r="Q129" s="651">
        <f>Q130</f>
        <v>1471859959</v>
      </c>
      <c r="R129" s="651">
        <f t="shared" ref="R129:AD130" si="56">R130</f>
        <v>0</v>
      </c>
      <c r="S129" s="651">
        <f t="shared" si="56"/>
        <v>0</v>
      </c>
      <c r="T129" s="651">
        <f t="shared" si="56"/>
        <v>0</v>
      </c>
      <c r="U129" s="651">
        <f t="shared" si="56"/>
        <v>0</v>
      </c>
      <c r="V129" s="651">
        <f t="shared" si="56"/>
        <v>0</v>
      </c>
      <c r="W129" s="651">
        <f t="shared" si="56"/>
        <v>0</v>
      </c>
      <c r="X129" s="651">
        <f t="shared" si="56"/>
        <v>0</v>
      </c>
      <c r="Y129" s="651">
        <f t="shared" si="56"/>
        <v>0</v>
      </c>
      <c r="Z129" s="651">
        <f t="shared" si="56"/>
        <v>0</v>
      </c>
      <c r="AA129" s="651">
        <f t="shared" si="56"/>
        <v>795000000</v>
      </c>
      <c r="AB129" s="651">
        <f t="shared" si="56"/>
        <v>263038142</v>
      </c>
      <c r="AC129" s="651">
        <f t="shared" si="56"/>
        <v>0</v>
      </c>
      <c r="AD129" s="651">
        <f t="shared" si="56"/>
        <v>2529898101</v>
      </c>
      <c r="AE129" s="651"/>
      <c r="AF129" s="652"/>
      <c r="AG129" s="657"/>
      <c r="AH129" s="657"/>
      <c r="AI129" s="657"/>
      <c r="AJ129" s="657"/>
      <c r="AK129" s="657"/>
      <c r="AL129" s="657"/>
      <c r="AM129" s="657"/>
      <c r="AN129" s="657"/>
      <c r="AO129" s="657"/>
      <c r="AP129" s="657"/>
      <c r="AQ129" s="657"/>
      <c r="AR129" s="657"/>
      <c r="AS129" s="657"/>
      <c r="AT129" s="657"/>
      <c r="AU129" s="657"/>
      <c r="AV129" s="657"/>
      <c r="AW129" s="657"/>
      <c r="AX129" s="657"/>
      <c r="AY129" s="657"/>
      <c r="AZ129" s="657"/>
      <c r="BA129" s="657"/>
      <c r="BB129" s="657"/>
      <c r="BC129" s="657"/>
      <c r="BD129" s="657"/>
      <c r="BE129" s="657"/>
      <c r="BF129" s="657"/>
      <c r="BG129" s="657"/>
      <c r="BH129" s="657"/>
      <c r="BI129" s="657"/>
      <c r="BJ129" s="657"/>
      <c r="BK129" s="657"/>
      <c r="BL129" s="657"/>
      <c r="BM129" s="657"/>
      <c r="BN129" s="657"/>
      <c r="BO129" s="657"/>
      <c r="BP129" s="657"/>
      <c r="BQ129" s="657"/>
      <c r="BR129" s="657"/>
      <c r="BS129" s="657"/>
      <c r="BT129" s="657"/>
    </row>
    <row r="130" spans="1:72" ht="27" customHeight="1" x14ac:dyDescent="0.2">
      <c r="A130" s="297"/>
      <c r="B130" s="280">
        <v>1</v>
      </c>
      <c r="C130" s="155" t="s">
        <v>120</v>
      </c>
      <c r="D130" s="348"/>
      <c r="E130" s="155"/>
      <c r="F130" s="155"/>
      <c r="G130" s="155"/>
      <c r="H130" s="281"/>
      <c r="I130" s="282"/>
      <c r="J130" s="280"/>
      <c r="K130" s="283"/>
      <c r="L130" s="284"/>
      <c r="M130" s="280"/>
      <c r="N130" s="285"/>
      <c r="O130" s="283"/>
      <c r="P130" s="283"/>
      <c r="Q130" s="286">
        <f>Q131</f>
        <v>1471859959</v>
      </c>
      <c r="R130" s="286">
        <f t="shared" si="56"/>
        <v>0</v>
      </c>
      <c r="S130" s="286">
        <f t="shared" si="56"/>
        <v>0</v>
      </c>
      <c r="T130" s="286">
        <f t="shared" si="56"/>
        <v>0</v>
      </c>
      <c r="U130" s="286">
        <f t="shared" si="56"/>
        <v>0</v>
      </c>
      <c r="V130" s="286">
        <f t="shared" si="56"/>
        <v>0</v>
      </c>
      <c r="W130" s="286">
        <f t="shared" si="56"/>
        <v>0</v>
      </c>
      <c r="X130" s="286">
        <f t="shared" si="56"/>
        <v>0</v>
      </c>
      <c r="Y130" s="286">
        <f t="shared" si="56"/>
        <v>0</v>
      </c>
      <c r="Z130" s="286">
        <f t="shared" si="56"/>
        <v>0</v>
      </c>
      <c r="AA130" s="286">
        <f t="shared" si="56"/>
        <v>795000000</v>
      </c>
      <c r="AB130" s="286">
        <f t="shared" si="56"/>
        <v>263038142</v>
      </c>
      <c r="AC130" s="286">
        <f t="shared" si="56"/>
        <v>0</v>
      </c>
      <c r="AD130" s="286">
        <f>AD131</f>
        <v>2529898101</v>
      </c>
      <c r="AE130" s="286"/>
      <c r="AF130" s="340"/>
    </row>
    <row r="131" spans="1:72" s="9" customFormat="1" ht="27.75" customHeight="1" x14ac:dyDescent="0.25">
      <c r="A131" s="279"/>
      <c r="B131" s="194"/>
      <c r="C131" s="159">
        <v>33</v>
      </c>
      <c r="D131" s="386" t="s">
        <v>1184</v>
      </c>
      <c r="E131" s="156"/>
      <c r="F131" s="287"/>
      <c r="G131" s="288"/>
      <c r="H131" s="289"/>
      <c r="I131" s="290"/>
      <c r="J131" s="291"/>
      <c r="K131" s="292"/>
      <c r="L131" s="293"/>
      <c r="M131" s="291"/>
      <c r="N131" s="392"/>
      <c r="O131" s="295"/>
      <c r="P131" s="295"/>
      <c r="Q131" s="296">
        <f>Q132+Q141</f>
        <v>1471859959</v>
      </c>
      <c r="R131" s="296">
        <f t="shared" ref="R131:AD131" si="57">R132+R141</f>
        <v>0</v>
      </c>
      <c r="S131" s="296">
        <f t="shared" si="57"/>
        <v>0</v>
      </c>
      <c r="T131" s="296">
        <f t="shared" si="57"/>
        <v>0</v>
      </c>
      <c r="U131" s="296">
        <f t="shared" si="57"/>
        <v>0</v>
      </c>
      <c r="V131" s="296">
        <f t="shared" si="57"/>
        <v>0</v>
      </c>
      <c r="W131" s="296">
        <f t="shared" si="57"/>
        <v>0</v>
      </c>
      <c r="X131" s="296">
        <f t="shared" si="57"/>
        <v>0</v>
      </c>
      <c r="Y131" s="296">
        <f t="shared" si="57"/>
        <v>0</v>
      </c>
      <c r="Z131" s="296">
        <f t="shared" si="57"/>
        <v>0</v>
      </c>
      <c r="AA131" s="296">
        <f t="shared" si="57"/>
        <v>795000000</v>
      </c>
      <c r="AB131" s="296">
        <f t="shared" si="57"/>
        <v>263038142</v>
      </c>
      <c r="AC131" s="296">
        <f t="shared" si="57"/>
        <v>0</v>
      </c>
      <c r="AD131" s="296">
        <f t="shared" si="57"/>
        <v>2529898101</v>
      </c>
      <c r="AE131" s="296"/>
      <c r="AF131" s="341"/>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row>
    <row r="132" spans="1:72" ht="29.25" customHeight="1" x14ac:dyDescent="0.2">
      <c r="A132" s="297"/>
      <c r="B132" s="204"/>
      <c r="C132" s="204"/>
      <c r="D132" s="204"/>
      <c r="E132" s="309">
        <v>3301</v>
      </c>
      <c r="F132" s="188" t="s">
        <v>138</v>
      </c>
      <c r="G132" s="366"/>
      <c r="H132" s="307"/>
      <c r="I132" s="308"/>
      <c r="J132" s="309"/>
      <c r="K132" s="299"/>
      <c r="L132" s="310"/>
      <c r="M132" s="309"/>
      <c r="N132" s="311"/>
      <c r="O132" s="299"/>
      <c r="P132" s="299"/>
      <c r="Q132" s="300">
        <f>SUM(Q133:Q140)</f>
        <v>1471859959</v>
      </c>
      <c r="R132" s="300">
        <f t="shared" ref="R132:AD132" si="58">SUM(R133:R140)</f>
        <v>0</v>
      </c>
      <c r="S132" s="300">
        <f t="shared" si="58"/>
        <v>0</v>
      </c>
      <c r="T132" s="300">
        <f t="shared" si="58"/>
        <v>0</v>
      </c>
      <c r="U132" s="300">
        <f t="shared" si="58"/>
        <v>0</v>
      </c>
      <c r="V132" s="300">
        <f t="shared" si="58"/>
        <v>0</v>
      </c>
      <c r="W132" s="300">
        <f t="shared" si="58"/>
        <v>0</v>
      </c>
      <c r="X132" s="300">
        <f t="shared" si="58"/>
        <v>0</v>
      </c>
      <c r="Y132" s="300">
        <f t="shared" si="58"/>
        <v>0</v>
      </c>
      <c r="Z132" s="300">
        <f t="shared" si="58"/>
        <v>0</v>
      </c>
      <c r="AA132" s="300">
        <f t="shared" si="58"/>
        <v>662000000</v>
      </c>
      <c r="AB132" s="300">
        <f t="shared" si="58"/>
        <v>0</v>
      </c>
      <c r="AC132" s="300">
        <f t="shared" si="58"/>
        <v>0</v>
      </c>
      <c r="AD132" s="300">
        <f t="shared" si="58"/>
        <v>2133859959</v>
      </c>
      <c r="AE132" s="300"/>
      <c r="AF132" s="312"/>
    </row>
    <row r="133" spans="1:72" ht="144" customHeight="1" x14ac:dyDescent="0.2">
      <c r="A133" s="297"/>
      <c r="B133" s="204"/>
      <c r="C133" s="204"/>
      <c r="D133" s="204"/>
      <c r="E133" s="200"/>
      <c r="F133" s="211"/>
      <c r="G133" s="186" t="s">
        <v>293</v>
      </c>
      <c r="H133" s="197">
        <v>3301087</v>
      </c>
      <c r="I133" s="195" t="s">
        <v>294</v>
      </c>
      <c r="J133" s="197">
        <v>330108701</v>
      </c>
      <c r="K133" s="187" t="s">
        <v>276</v>
      </c>
      <c r="L133" s="209" t="s">
        <v>54</v>
      </c>
      <c r="M133" s="261">
        <v>5700</v>
      </c>
      <c r="N133" s="747" t="s">
        <v>295</v>
      </c>
      <c r="O133" s="746" t="s">
        <v>296</v>
      </c>
      <c r="P133" s="734" t="s">
        <v>297</v>
      </c>
      <c r="Q133" s="725"/>
      <c r="R133" s="303"/>
      <c r="S133" s="303"/>
      <c r="T133" s="303"/>
      <c r="U133" s="303"/>
      <c r="V133" s="303"/>
      <c r="W133" s="303"/>
      <c r="X133" s="303"/>
      <c r="Y133" s="303"/>
      <c r="Z133" s="303"/>
      <c r="AA133" s="414">
        <v>370000000</v>
      </c>
      <c r="AB133" s="303"/>
      <c r="AC133" s="303"/>
      <c r="AD133" s="305">
        <f>SUM(Q133:AC133)</f>
        <v>370000000</v>
      </c>
      <c r="AE133" s="305" t="s">
        <v>298</v>
      </c>
      <c r="AF133" s="149" t="s">
        <v>299</v>
      </c>
    </row>
    <row r="134" spans="1:72" ht="135" customHeight="1" x14ac:dyDescent="0.2">
      <c r="A134" s="297"/>
      <c r="B134" s="204"/>
      <c r="C134" s="204"/>
      <c r="D134" s="204"/>
      <c r="E134" s="200"/>
      <c r="F134" s="201"/>
      <c r="G134" s="186" t="s">
        <v>139</v>
      </c>
      <c r="H134" s="197">
        <v>3301073</v>
      </c>
      <c r="I134" s="195" t="s">
        <v>300</v>
      </c>
      <c r="J134" s="197">
        <v>330107301</v>
      </c>
      <c r="K134" s="187" t="s">
        <v>301</v>
      </c>
      <c r="L134" s="209" t="s">
        <v>54</v>
      </c>
      <c r="M134" s="261">
        <v>500</v>
      </c>
      <c r="N134" s="747"/>
      <c r="O134" s="746"/>
      <c r="P134" s="734"/>
      <c r="Q134" s="414">
        <f>919912475.13+183982494.61</f>
        <v>1103894969.74</v>
      </c>
      <c r="R134" s="303"/>
      <c r="S134" s="303"/>
      <c r="T134" s="303"/>
      <c r="U134" s="303"/>
      <c r="V134" s="303"/>
      <c r="W134" s="303"/>
      <c r="X134" s="303"/>
      <c r="Y134" s="303"/>
      <c r="Z134" s="303"/>
      <c r="AA134" s="415">
        <v>150000000</v>
      </c>
      <c r="AB134" s="303"/>
      <c r="AC134" s="303"/>
      <c r="AD134" s="305">
        <f t="shared" ref="AD134:AD140" si="59">+Q134+R134+S134+T134+U134+V134+W134+X134+Y134+Z134+AA134+AB134+AC134</f>
        <v>1253894969.74</v>
      </c>
      <c r="AE134" s="305" t="s">
        <v>298</v>
      </c>
      <c r="AF134" s="149" t="s">
        <v>299</v>
      </c>
    </row>
    <row r="135" spans="1:72" ht="151.5" customHeight="1" x14ac:dyDescent="0.2">
      <c r="A135" s="297"/>
      <c r="B135" s="204"/>
      <c r="C135" s="204"/>
      <c r="D135" s="204"/>
      <c r="E135" s="200"/>
      <c r="F135" s="201"/>
      <c r="G135" s="186" t="s">
        <v>302</v>
      </c>
      <c r="H135" s="196">
        <v>3301070</v>
      </c>
      <c r="I135" s="186" t="s">
        <v>303</v>
      </c>
      <c r="J135" s="196">
        <v>330107000</v>
      </c>
      <c r="K135" s="187" t="s">
        <v>304</v>
      </c>
      <c r="L135" s="378" t="s">
        <v>54</v>
      </c>
      <c r="M135" s="261">
        <v>0.3</v>
      </c>
      <c r="N135" s="747"/>
      <c r="O135" s="746"/>
      <c r="P135" s="734"/>
      <c r="Q135" s="726"/>
      <c r="R135" s="303"/>
      <c r="S135" s="303"/>
      <c r="T135" s="303"/>
      <c r="U135" s="303"/>
      <c r="V135" s="303"/>
      <c r="W135" s="303"/>
      <c r="X135" s="303"/>
      <c r="Y135" s="303"/>
      <c r="Z135" s="303"/>
      <c r="AA135" s="414">
        <v>36000000</v>
      </c>
      <c r="AB135" s="303"/>
      <c r="AC135" s="303"/>
      <c r="AD135" s="305">
        <f>+Q135+R135+S135+T135+U135+V135+W135+X135+Y135+Z135+AA135+AB135+AC135</f>
        <v>36000000</v>
      </c>
      <c r="AE135" s="305" t="s">
        <v>298</v>
      </c>
      <c r="AF135" s="149" t="s">
        <v>299</v>
      </c>
    </row>
    <row r="136" spans="1:72" ht="96" customHeight="1" x14ac:dyDescent="0.2">
      <c r="A136" s="297"/>
      <c r="B136" s="204"/>
      <c r="C136" s="204"/>
      <c r="D136" s="204"/>
      <c r="E136" s="200"/>
      <c r="F136" s="201"/>
      <c r="G136" s="680" t="s">
        <v>139</v>
      </c>
      <c r="H136" s="196">
        <v>3301099</v>
      </c>
      <c r="I136" s="680" t="s">
        <v>1334</v>
      </c>
      <c r="J136" s="196">
        <v>330109900</v>
      </c>
      <c r="K136" s="678" t="s">
        <v>1335</v>
      </c>
      <c r="L136" s="378" t="s">
        <v>42</v>
      </c>
      <c r="M136" s="261">
        <v>1</v>
      </c>
      <c r="N136" s="747"/>
      <c r="O136" s="746"/>
      <c r="P136" s="734"/>
      <c r="Q136" s="726"/>
      <c r="R136" s="303"/>
      <c r="S136" s="303"/>
      <c r="T136" s="303"/>
      <c r="U136" s="303"/>
      <c r="V136" s="303"/>
      <c r="W136" s="303"/>
      <c r="X136" s="303"/>
      <c r="Y136" s="303"/>
      <c r="Z136" s="303"/>
      <c r="AA136" s="414">
        <v>30000000</v>
      </c>
      <c r="AB136" s="303"/>
      <c r="AC136" s="303"/>
      <c r="AD136" s="305">
        <f>+Q136+R136+S136+T136+U136+V136+W136+X136+Y136+Z136+AA136+AB136+AC136</f>
        <v>30000000</v>
      </c>
      <c r="AE136" s="305" t="s">
        <v>298</v>
      </c>
      <c r="AF136" s="149"/>
    </row>
    <row r="137" spans="1:72" ht="139.5" customHeight="1" x14ac:dyDescent="0.2">
      <c r="A137" s="297"/>
      <c r="B137" s="204"/>
      <c r="C137" s="204"/>
      <c r="D137" s="204"/>
      <c r="E137" s="200"/>
      <c r="F137" s="211"/>
      <c r="G137" s="186" t="s">
        <v>293</v>
      </c>
      <c r="H137" s="197">
        <v>3301052</v>
      </c>
      <c r="I137" s="192" t="s">
        <v>305</v>
      </c>
      <c r="J137" s="416">
        <v>330105203</v>
      </c>
      <c r="K137" s="187" t="s">
        <v>306</v>
      </c>
      <c r="L137" s="378" t="s">
        <v>42</v>
      </c>
      <c r="M137" s="261">
        <v>135</v>
      </c>
      <c r="N137" s="747"/>
      <c r="O137" s="746"/>
      <c r="P137" s="734"/>
      <c r="Q137" s="726"/>
      <c r="R137" s="303"/>
      <c r="S137" s="303"/>
      <c r="T137" s="303"/>
      <c r="U137" s="303"/>
      <c r="V137" s="303"/>
      <c r="W137" s="303"/>
      <c r="X137" s="303"/>
      <c r="Y137" s="303"/>
      <c r="Z137" s="303"/>
      <c r="AA137" s="414">
        <v>18000000</v>
      </c>
      <c r="AB137" s="303"/>
      <c r="AC137" s="303"/>
      <c r="AD137" s="305">
        <f>+Q137+R137+S137+T137+U137+V137+W137+X137+Y137+Z137+AA137+AB137+AC137</f>
        <v>18000000</v>
      </c>
      <c r="AE137" s="305" t="s">
        <v>298</v>
      </c>
      <c r="AF137" s="149" t="s">
        <v>299</v>
      </c>
    </row>
    <row r="138" spans="1:72" ht="103.5" customHeight="1" x14ac:dyDescent="0.2">
      <c r="A138" s="297"/>
      <c r="B138" s="204"/>
      <c r="C138" s="204"/>
      <c r="D138" s="204"/>
      <c r="E138" s="200"/>
      <c r="F138" s="187"/>
      <c r="G138" s="186" t="s">
        <v>307</v>
      </c>
      <c r="H138" s="197">
        <v>3301085</v>
      </c>
      <c r="I138" s="195" t="s">
        <v>308</v>
      </c>
      <c r="J138" s="197" t="s">
        <v>309</v>
      </c>
      <c r="K138" s="187" t="s">
        <v>310</v>
      </c>
      <c r="L138" s="209" t="s">
        <v>54</v>
      </c>
      <c r="M138" s="261">
        <v>40000</v>
      </c>
      <c r="N138" s="747" t="s">
        <v>311</v>
      </c>
      <c r="O138" s="746" t="s">
        <v>312</v>
      </c>
      <c r="P138" s="756" t="s">
        <v>313</v>
      </c>
      <c r="Q138" s="414">
        <v>80000000</v>
      </c>
      <c r="R138" s="303"/>
      <c r="S138" s="303"/>
      <c r="T138" s="303"/>
      <c r="U138" s="303"/>
      <c r="V138" s="303"/>
      <c r="W138" s="303"/>
      <c r="X138" s="303"/>
      <c r="Y138" s="303"/>
      <c r="Z138" s="303"/>
      <c r="AA138" s="415">
        <v>20000000</v>
      </c>
      <c r="AB138" s="303"/>
      <c r="AC138" s="303"/>
      <c r="AD138" s="305">
        <f t="shared" si="59"/>
        <v>100000000</v>
      </c>
      <c r="AE138" s="305" t="s">
        <v>298</v>
      </c>
      <c r="AF138" s="149" t="s">
        <v>299</v>
      </c>
    </row>
    <row r="139" spans="1:72" ht="100.5" customHeight="1" x14ac:dyDescent="0.2">
      <c r="A139" s="297"/>
      <c r="B139" s="204"/>
      <c r="C139" s="204"/>
      <c r="D139" s="204"/>
      <c r="E139" s="200"/>
      <c r="F139" s="187"/>
      <c r="G139" s="186" t="s">
        <v>307</v>
      </c>
      <c r="H139" s="197">
        <v>3301100</v>
      </c>
      <c r="I139" s="195" t="s">
        <v>314</v>
      </c>
      <c r="J139" s="417" t="s">
        <v>315</v>
      </c>
      <c r="K139" s="246" t="s">
        <v>316</v>
      </c>
      <c r="L139" s="209" t="s">
        <v>54</v>
      </c>
      <c r="M139" s="261">
        <v>10</v>
      </c>
      <c r="N139" s="747"/>
      <c r="O139" s="746"/>
      <c r="P139" s="756"/>
      <c r="Q139" s="414">
        <v>103982494.63</v>
      </c>
      <c r="R139" s="303"/>
      <c r="S139" s="303"/>
      <c r="T139" s="303"/>
      <c r="U139" s="303"/>
      <c r="V139" s="303"/>
      <c r="W139" s="303"/>
      <c r="X139" s="303"/>
      <c r="Y139" s="303"/>
      <c r="Z139" s="303"/>
      <c r="AA139" s="418">
        <v>18000000</v>
      </c>
      <c r="AB139" s="303"/>
      <c r="AC139" s="303"/>
      <c r="AD139" s="305">
        <f t="shared" si="59"/>
        <v>121982494.63</v>
      </c>
      <c r="AE139" s="305" t="s">
        <v>298</v>
      </c>
      <c r="AF139" s="149" t="s">
        <v>299</v>
      </c>
    </row>
    <row r="140" spans="1:72" ht="148.5" customHeight="1" x14ac:dyDescent="0.2">
      <c r="A140" s="297"/>
      <c r="B140" s="204"/>
      <c r="C140" s="204"/>
      <c r="D140" s="204"/>
      <c r="E140" s="200"/>
      <c r="F140" s="211"/>
      <c r="G140" s="186" t="s">
        <v>139</v>
      </c>
      <c r="H140" s="197">
        <v>3301095</v>
      </c>
      <c r="I140" s="195" t="s">
        <v>317</v>
      </c>
      <c r="J140" s="197" t="s">
        <v>318</v>
      </c>
      <c r="K140" s="187" t="s">
        <v>319</v>
      </c>
      <c r="L140" s="445" t="s">
        <v>54</v>
      </c>
      <c r="M140" s="261">
        <v>150</v>
      </c>
      <c r="N140" s="266" t="s">
        <v>320</v>
      </c>
      <c r="O140" s="349" t="s">
        <v>1240</v>
      </c>
      <c r="P140" s="349" t="s">
        <v>321</v>
      </c>
      <c r="Q140" s="726">
        <v>183982494.63</v>
      </c>
      <c r="R140" s="303"/>
      <c r="S140" s="303"/>
      <c r="T140" s="303"/>
      <c r="U140" s="303"/>
      <c r="V140" s="303"/>
      <c r="W140" s="303"/>
      <c r="X140" s="303"/>
      <c r="Y140" s="303"/>
      <c r="Z140" s="303"/>
      <c r="AA140" s="414">
        <v>20000000</v>
      </c>
      <c r="AB140" s="303"/>
      <c r="AC140" s="303"/>
      <c r="AD140" s="305">
        <f t="shared" si="59"/>
        <v>203982494.63</v>
      </c>
      <c r="AE140" s="305" t="s">
        <v>298</v>
      </c>
      <c r="AF140" s="149" t="s">
        <v>299</v>
      </c>
    </row>
    <row r="141" spans="1:72" ht="25.5" customHeight="1" x14ac:dyDescent="0.2">
      <c r="A141" s="297"/>
      <c r="B141" s="204"/>
      <c r="C141" s="204"/>
      <c r="D141" s="204"/>
      <c r="E141" s="309">
        <v>3302</v>
      </c>
      <c r="F141" s="188" t="s">
        <v>322</v>
      </c>
      <c r="G141" s="366"/>
      <c r="H141" s="307"/>
      <c r="I141" s="308"/>
      <c r="J141" s="309"/>
      <c r="K141" s="299"/>
      <c r="L141" s="310"/>
      <c r="M141" s="309"/>
      <c r="N141" s="311"/>
      <c r="O141" s="299"/>
      <c r="P141" s="299"/>
      <c r="Q141" s="300">
        <f t="shared" ref="Q141:AC141" si="60">SUM(Q142:Q143)</f>
        <v>0</v>
      </c>
      <c r="R141" s="300">
        <f t="shared" si="60"/>
        <v>0</v>
      </c>
      <c r="S141" s="300">
        <f t="shared" si="60"/>
        <v>0</v>
      </c>
      <c r="T141" s="300">
        <f t="shared" si="60"/>
        <v>0</v>
      </c>
      <c r="U141" s="300">
        <f t="shared" si="60"/>
        <v>0</v>
      </c>
      <c r="V141" s="300">
        <f t="shared" si="60"/>
        <v>0</v>
      </c>
      <c r="W141" s="300">
        <f t="shared" si="60"/>
        <v>0</v>
      </c>
      <c r="X141" s="300">
        <f t="shared" si="60"/>
        <v>0</v>
      </c>
      <c r="Y141" s="300">
        <f t="shared" si="60"/>
        <v>0</v>
      </c>
      <c r="Z141" s="300">
        <f t="shared" si="60"/>
        <v>0</v>
      </c>
      <c r="AA141" s="300">
        <f>SUM(AA142:AA143)</f>
        <v>133000000</v>
      </c>
      <c r="AB141" s="300">
        <f>SUM(AB142:AB143)</f>
        <v>263038142</v>
      </c>
      <c r="AC141" s="300">
        <f t="shared" si="60"/>
        <v>0</v>
      </c>
      <c r="AD141" s="300">
        <f>SUM(AD142:AD143)</f>
        <v>396038142</v>
      </c>
      <c r="AE141" s="300"/>
      <c r="AF141" s="312"/>
    </row>
    <row r="142" spans="1:72" ht="123" customHeight="1" x14ac:dyDescent="0.2">
      <c r="A142" s="297"/>
      <c r="B142" s="204"/>
      <c r="C142" s="204"/>
      <c r="D142" s="204"/>
      <c r="E142" s="200"/>
      <c r="F142" s="211"/>
      <c r="G142" s="195" t="s">
        <v>323</v>
      </c>
      <c r="H142" s="199">
        <v>3302042</v>
      </c>
      <c r="I142" s="195" t="s">
        <v>324</v>
      </c>
      <c r="J142" s="197" t="s">
        <v>325</v>
      </c>
      <c r="K142" s="187" t="s">
        <v>326</v>
      </c>
      <c r="L142" s="209" t="s">
        <v>54</v>
      </c>
      <c r="M142" s="261">
        <v>12</v>
      </c>
      <c r="N142" s="748" t="s">
        <v>327</v>
      </c>
      <c r="O142" s="750" t="s">
        <v>1241</v>
      </c>
      <c r="P142" s="755" t="s">
        <v>328</v>
      </c>
      <c r="Q142" s="303"/>
      <c r="R142" s="303"/>
      <c r="S142" s="303"/>
      <c r="T142" s="303"/>
      <c r="U142" s="303"/>
      <c r="V142" s="303"/>
      <c r="W142" s="303"/>
      <c r="X142" s="303"/>
      <c r="Y142" s="303"/>
      <c r="Z142" s="303"/>
      <c r="AA142" s="329">
        <v>66500000</v>
      </c>
      <c r="AB142" s="418"/>
      <c r="AC142" s="399"/>
      <c r="AD142" s="305">
        <f>+Q142+R142+S142+T142+U142+V142+W142+X142+Y142+Z142+AA142+AB142+AC142</f>
        <v>66500000</v>
      </c>
      <c r="AE142" s="305" t="s">
        <v>298</v>
      </c>
      <c r="AF142" s="149" t="s">
        <v>299</v>
      </c>
    </row>
    <row r="143" spans="1:72" ht="130.5" customHeight="1" x14ac:dyDescent="0.2">
      <c r="A143" s="297"/>
      <c r="B143" s="204"/>
      <c r="C143" s="204"/>
      <c r="D143" s="204"/>
      <c r="E143" s="200"/>
      <c r="F143" s="211"/>
      <c r="G143" s="195" t="s">
        <v>323</v>
      </c>
      <c r="H143" s="199">
        <v>3302070</v>
      </c>
      <c r="I143" s="195" t="s">
        <v>329</v>
      </c>
      <c r="J143" s="417" t="s">
        <v>330</v>
      </c>
      <c r="K143" s="246" t="s">
        <v>316</v>
      </c>
      <c r="L143" s="209" t="s">
        <v>42</v>
      </c>
      <c r="M143" s="261">
        <v>4</v>
      </c>
      <c r="N143" s="748"/>
      <c r="O143" s="750"/>
      <c r="P143" s="755"/>
      <c r="Q143" s="297"/>
      <c r="R143" s="303"/>
      <c r="S143" s="303"/>
      <c r="T143" s="303"/>
      <c r="U143" s="303"/>
      <c r="V143" s="303"/>
      <c r="W143" s="303"/>
      <c r="X143" s="303"/>
      <c r="Y143" s="303"/>
      <c r="Z143" s="303"/>
      <c r="AA143" s="329">
        <v>66500000</v>
      </c>
      <c r="AB143" s="419">
        <v>263038142</v>
      </c>
      <c r="AC143" s="399"/>
      <c r="AD143" s="305">
        <f>+Q143+R143+S143+T143+U143+V143+W143+X143+Y143+Z143+AA143+AB143+AC143</f>
        <v>329538142</v>
      </c>
      <c r="AE143" s="305" t="s">
        <v>298</v>
      </c>
      <c r="AF143" s="149" t="s">
        <v>299</v>
      </c>
    </row>
    <row r="144" spans="1:72" s="122" customFormat="1" ht="22.5" customHeight="1" x14ac:dyDescent="0.2">
      <c r="A144" s="315"/>
      <c r="B144" s="336"/>
      <c r="C144" s="336"/>
      <c r="D144" s="336"/>
      <c r="E144" s="337"/>
      <c r="F144" s="338"/>
      <c r="G144" s="319"/>
      <c r="H144" s="337"/>
      <c r="I144" s="319"/>
      <c r="J144" s="320"/>
      <c r="K144" s="318"/>
      <c r="L144" s="338"/>
      <c r="M144" s="320"/>
      <c r="N144" s="338"/>
      <c r="O144" s="318"/>
      <c r="P144" s="318"/>
      <c r="Q144" s="315"/>
      <c r="R144" s="315"/>
      <c r="S144" s="315"/>
      <c r="T144" s="315"/>
      <c r="U144" s="315"/>
      <c r="V144" s="315"/>
      <c r="W144" s="420"/>
      <c r="X144" s="420"/>
      <c r="Y144" s="315"/>
      <c r="Z144" s="315"/>
      <c r="AA144" s="421"/>
      <c r="AB144" s="315"/>
      <c r="AC144" s="315"/>
      <c r="AD144" s="315"/>
      <c r="AE144" s="315"/>
      <c r="AF144" s="338"/>
      <c r="AG144" s="117"/>
      <c r="AH144" s="117"/>
      <c r="AI144" s="117"/>
      <c r="AJ144" s="117"/>
      <c r="AK144" s="117"/>
      <c r="AL144" s="117"/>
      <c r="AM144" s="117"/>
      <c r="AN144" s="117"/>
      <c r="AO144" s="117"/>
      <c r="AP144" s="117"/>
      <c r="AQ144" s="117"/>
      <c r="AR144" s="117"/>
      <c r="AS144" s="117"/>
      <c r="AT144" s="117"/>
      <c r="AU144" s="117"/>
      <c r="AV144" s="117"/>
      <c r="AW144" s="117"/>
      <c r="AX144" s="117"/>
      <c r="AY144" s="117"/>
      <c r="AZ144" s="117"/>
      <c r="BA144" s="117"/>
      <c r="BB144" s="117"/>
      <c r="BC144" s="117"/>
      <c r="BD144" s="117"/>
      <c r="BE144" s="117"/>
      <c r="BF144" s="117"/>
      <c r="BG144" s="117"/>
      <c r="BH144" s="117"/>
      <c r="BI144" s="117"/>
      <c r="BJ144" s="117"/>
      <c r="BK144" s="117"/>
      <c r="BL144" s="117"/>
      <c r="BM144" s="117"/>
      <c r="BN144" s="117"/>
      <c r="BO144" s="117"/>
      <c r="BP144" s="117"/>
      <c r="BQ144" s="117"/>
      <c r="BR144" s="117"/>
      <c r="BS144" s="117"/>
      <c r="BT144" s="117"/>
    </row>
    <row r="145" spans="1:72" s="658" customFormat="1" ht="36.75" customHeight="1" x14ac:dyDescent="0.2">
      <c r="A145" s="56" t="s">
        <v>331</v>
      </c>
      <c r="B145" s="56"/>
      <c r="C145" s="56"/>
      <c r="D145" s="56"/>
      <c r="E145" s="57"/>
      <c r="F145" s="58"/>
      <c r="G145" s="650"/>
      <c r="H145" s="653"/>
      <c r="I145" s="650"/>
      <c r="J145" s="654"/>
      <c r="K145" s="655"/>
      <c r="L145" s="656"/>
      <c r="M145" s="654"/>
      <c r="N145" s="58"/>
      <c r="O145" s="655"/>
      <c r="P145" s="655"/>
      <c r="Q145" s="651">
        <f>Q146</f>
        <v>0</v>
      </c>
      <c r="R145" s="651">
        <f t="shared" ref="R145:AC145" si="61">R146</f>
        <v>0</v>
      </c>
      <c r="S145" s="651">
        <f t="shared" si="61"/>
        <v>0</v>
      </c>
      <c r="T145" s="651">
        <f t="shared" si="61"/>
        <v>0</v>
      </c>
      <c r="U145" s="651">
        <f t="shared" si="61"/>
        <v>0</v>
      </c>
      <c r="V145" s="651">
        <f t="shared" si="61"/>
        <v>0</v>
      </c>
      <c r="W145" s="651">
        <f t="shared" si="61"/>
        <v>0</v>
      </c>
      <c r="X145" s="651">
        <f t="shared" si="61"/>
        <v>0</v>
      </c>
      <c r="Y145" s="651">
        <f t="shared" si="61"/>
        <v>0</v>
      </c>
      <c r="Z145" s="651">
        <f t="shared" si="61"/>
        <v>0</v>
      </c>
      <c r="AA145" s="651">
        <f t="shared" si="61"/>
        <v>762500000</v>
      </c>
      <c r="AB145" s="651">
        <f t="shared" si="61"/>
        <v>664872304</v>
      </c>
      <c r="AC145" s="651">
        <f t="shared" si="61"/>
        <v>0</v>
      </c>
      <c r="AD145" s="651">
        <f>AD146</f>
        <v>1427372304</v>
      </c>
      <c r="AE145" s="651"/>
      <c r="AF145" s="652"/>
      <c r="AG145" s="657"/>
      <c r="AH145" s="657"/>
      <c r="AI145" s="657"/>
      <c r="AJ145" s="657"/>
      <c r="AK145" s="657"/>
      <c r="AL145" s="657"/>
      <c r="AM145" s="657"/>
      <c r="AN145" s="657"/>
      <c r="AO145" s="657"/>
      <c r="AP145" s="657"/>
      <c r="AQ145" s="657"/>
      <c r="AR145" s="657"/>
      <c r="AS145" s="657"/>
      <c r="AT145" s="657"/>
      <c r="AU145" s="657"/>
      <c r="AV145" s="657"/>
      <c r="AW145" s="657"/>
      <c r="AX145" s="657"/>
      <c r="AY145" s="657"/>
      <c r="AZ145" s="657"/>
      <c r="BA145" s="657"/>
      <c r="BB145" s="657"/>
      <c r="BC145" s="657"/>
      <c r="BD145" s="657"/>
      <c r="BE145" s="657"/>
      <c r="BF145" s="657"/>
      <c r="BG145" s="657"/>
      <c r="BH145" s="657"/>
      <c r="BI145" s="657"/>
      <c r="BJ145" s="657"/>
      <c r="BK145" s="657"/>
      <c r="BL145" s="657"/>
      <c r="BM145" s="657"/>
      <c r="BN145" s="657"/>
      <c r="BO145" s="657"/>
      <c r="BP145" s="657"/>
      <c r="BQ145" s="657"/>
      <c r="BR145" s="657"/>
      <c r="BS145" s="657"/>
      <c r="BT145" s="657"/>
    </row>
    <row r="146" spans="1:72" ht="25.5" customHeight="1" x14ac:dyDescent="0.2">
      <c r="A146" s="297"/>
      <c r="B146" s="422">
        <v>2</v>
      </c>
      <c r="C146" s="155" t="s">
        <v>332</v>
      </c>
      <c r="D146" s="158"/>
      <c r="E146" s="155"/>
      <c r="F146" s="155"/>
      <c r="G146" s="155"/>
      <c r="H146" s="281"/>
      <c r="I146" s="282"/>
      <c r="J146" s="280"/>
      <c r="K146" s="283"/>
      <c r="L146" s="284"/>
      <c r="M146" s="280"/>
      <c r="N146" s="285"/>
      <c r="O146" s="283"/>
      <c r="P146" s="283"/>
      <c r="Q146" s="286">
        <f t="shared" ref="Q146:AD146" si="62">Q147+Q157</f>
        <v>0</v>
      </c>
      <c r="R146" s="286">
        <f t="shared" si="62"/>
        <v>0</v>
      </c>
      <c r="S146" s="286">
        <f t="shared" si="62"/>
        <v>0</v>
      </c>
      <c r="T146" s="286">
        <f t="shared" si="62"/>
        <v>0</v>
      </c>
      <c r="U146" s="286">
        <f t="shared" si="62"/>
        <v>0</v>
      </c>
      <c r="V146" s="286">
        <f t="shared" si="62"/>
        <v>0</v>
      </c>
      <c r="W146" s="286">
        <f t="shared" si="62"/>
        <v>0</v>
      </c>
      <c r="X146" s="286">
        <f t="shared" si="62"/>
        <v>0</v>
      </c>
      <c r="Y146" s="286">
        <f t="shared" si="62"/>
        <v>0</v>
      </c>
      <c r="Z146" s="286">
        <f t="shared" si="62"/>
        <v>0</v>
      </c>
      <c r="AA146" s="286">
        <f t="shared" si="62"/>
        <v>762500000</v>
      </c>
      <c r="AB146" s="286">
        <f t="shared" si="62"/>
        <v>664872304</v>
      </c>
      <c r="AC146" s="286">
        <f t="shared" si="62"/>
        <v>0</v>
      </c>
      <c r="AD146" s="286">
        <f t="shared" si="62"/>
        <v>1427372304</v>
      </c>
      <c r="AE146" s="286"/>
      <c r="AF146" s="340"/>
    </row>
    <row r="147" spans="1:72" s="9" customFormat="1" ht="27.75" customHeight="1" x14ac:dyDescent="0.25">
      <c r="A147" s="279"/>
      <c r="B147" s="194"/>
      <c r="C147" s="159">
        <v>35</v>
      </c>
      <c r="D147" s="156" t="s">
        <v>1186</v>
      </c>
      <c r="E147" s="156"/>
      <c r="F147" s="287"/>
      <c r="G147" s="288"/>
      <c r="H147" s="289"/>
      <c r="I147" s="290"/>
      <c r="J147" s="291"/>
      <c r="K147" s="292"/>
      <c r="L147" s="293"/>
      <c r="M147" s="291"/>
      <c r="N147" s="392"/>
      <c r="O147" s="295"/>
      <c r="P147" s="295"/>
      <c r="Q147" s="296">
        <f>Q148</f>
        <v>0</v>
      </c>
      <c r="R147" s="296">
        <f t="shared" ref="R147:AC147" si="63">R148</f>
        <v>0</v>
      </c>
      <c r="S147" s="296">
        <f t="shared" si="63"/>
        <v>0</v>
      </c>
      <c r="T147" s="296">
        <f t="shared" si="63"/>
        <v>0</v>
      </c>
      <c r="U147" s="296">
        <f t="shared" si="63"/>
        <v>0</v>
      </c>
      <c r="V147" s="296">
        <f t="shared" si="63"/>
        <v>0</v>
      </c>
      <c r="W147" s="296">
        <f t="shared" si="63"/>
        <v>0</v>
      </c>
      <c r="X147" s="296">
        <f t="shared" si="63"/>
        <v>0</v>
      </c>
      <c r="Y147" s="296">
        <f t="shared" si="63"/>
        <v>0</v>
      </c>
      <c r="Z147" s="296">
        <f t="shared" si="63"/>
        <v>0</v>
      </c>
      <c r="AA147" s="296">
        <f t="shared" si="63"/>
        <v>525000000</v>
      </c>
      <c r="AB147" s="296">
        <f t="shared" si="63"/>
        <v>664872304</v>
      </c>
      <c r="AC147" s="296">
        <f t="shared" si="63"/>
        <v>0</v>
      </c>
      <c r="AD147" s="296">
        <f>AD148</f>
        <v>1189872304</v>
      </c>
      <c r="AE147" s="296"/>
      <c r="AF147" s="341"/>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row>
    <row r="148" spans="1:72" ht="33" customHeight="1" x14ac:dyDescent="0.2">
      <c r="A148" s="297"/>
      <c r="B148" s="200"/>
      <c r="C148" s="200"/>
      <c r="D148" s="200"/>
      <c r="E148" s="298">
        <v>3502</v>
      </c>
      <c r="F148" s="188" t="s">
        <v>333</v>
      </c>
      <c r="G148" s="366"/>
      <c r="H148" s="307"/>
      <c r="I148" s="308"/>
      <c r="J148" s="309"/>
      <c r="K148" s="299"/>
      <c r="L148" s="310"/>
      <c r="M148" s="309"/>
      <c r="N148" s="311"/>
      <c r="O148" s="299"/>
      <c r="P148" s="299"/>
      <c r="Q148" s="300">
        <f t="shared" ref="Q148:AE148" si="64">SUM(Q149:Q156)</f>
        <v>0</v>
      </c>
      <c r="R148" s="300">
        <f t="shared" si="64"/>
        <v>0</v>
      </c>
      <c r="S148" s="300">
        <f t="shared" si="64"/>
        <v>0</v>
      </c>
      <c r="T148" s="300">
        <f t="shared" si="64"/>
        <v>0</v>
      </c>
      <c r="U148" s="300">
        <f t="shared" si="64"/>
        <v>0</v>
      </c>
      <c r="V148" s="300">
        <f t="shared" si="64"/>
        <v>0</v>
      </c>
      <c r="W148" s="300">
        <f t="shared" si="64"/>
        <v>0</v>
      </c>
      <c r="X148" s="300">
        <f t="shared" si="64"/>
        <v>0</v>
      </c>
      <c r="Y148" s="300">
        <f t="shared" si="64"/>
        <v>0</v>
      </c>
      <c r="Z148" s="300">
        <f t="shared" si="64"/>
        <v>0</v>
      </c>
      <c r="AA148" s="300">
        <f t="shared" si="64"/>
        <v>525000000</v>
      </c>
      <c r="AB148" s="300">
        <f t="shared" si="64"/>
        <v>664872304</v>
      </c>
      <c r="AC148" s="300">
        <f t="shared" si="64"/>
        <v>0</v>
      </c>
      <c r="AD148" s="300">
        <f t="shared" si="64"/>
        <v>1189872304</v>
      </c>
      <c r="AE148" s="300">
        <f t="shared" si="64"/>
        <v>0</v>
      </c>
      <c r="AF148" s="312"/>
    </row>
    <row r="149" spans="1:72" ht="72.75" customHeight="1" x14ac:dyDescent="0.2">
      <c r="A149" s="297"/>
      <c r="B149" s="200"/>
      <c r="C149" s="200"/>
      <c r="D149" s="200"/>
      <c r="E149" s="200"/>
      <c r="F149" s="232"/>
      <c r="G149" s="186" t="s">
        <v>334</v>
      </c>
      <c r="H149" s="202">
        <v>3502006</v>
      </c>
      <c r="I149" s="186" t="s">
        <v>335</v>
      </c>
      <c r="J149" s="196" t="s">
        <v>336</v>
      </c>
      <c r="K149" s="267" t="s">
        <v>337</v>
      </c>
      <c r="L149" s="398" t="s">
        <v>54</v>
      </c>
      <c r="M149" s="261">
        <v>1</v>
      </c>
      <c r="N149" s="748" t="s">
        <v>338</v>
      </c>
      <c r="O149" s="750" t="s">
        <v>1242</v>
      </c>
      <c r="P149" s="750" t="s">
        <v>339</v>
      </c>
      <c r="Q149" s="423"/>
      <c r="R149" s="423"/>
      <c r="S149" s="423"/>
      <c r="T149" s="423"/>
      <c r="U149" s="423"/>
      <c r="V149" s="423"/>
      <c r="W149" s="423"/>
      <c r="X149" s="423"/>
      <c r="Y149" s="423"/>
      <c r="Z149" s="423"/>
      <c r="AA149" s="424">
        <v>27000000</v>
      </c>
      <c r="AB149" s="423"/>
      <c r="AC149" s="303"/>
      <c r="AD149" s="305">
        <f>+Q149+R149+S149+T149+U149+V149+W149+X149+Y149+Z149+AA149+AB149+AC149</f>
        <v>27000000</v>
      </c>
      <c r="AE149" s="305" t="s">
        <v>340</v>
      </c>
      <c r="AF149" s="149" t="s">
        <v>341</v>
      </c>
    </row>
    <row r="150" spans="1:72" ht="87" customHeight="1" x14ac:dyDescent="0.2">
      <c r="A150" s="297"/>
      <c r="B150" s="200"/>
      <c r="C150" s="200"/>
      <c r="D150" s="200"/>
      <c r="E150" s="200"/>
      <c r="F150" s="405"/>
      <c r="G150" s="195" t="s">
        <v>334</v>
      </c>
      <c r="H150" s="202">
        <v>3502007</v>
      </c>
      <c r="I150" s="195" t="s">
        <v>342</v>
      </c>
      <c r="J150" s="197" t="s">
        <v>343</v>
      </c>
      <c r="K150" s="187" t="s">
        <v>344</v>
      </c>
      <c r="L150" s="398" t="s">
        <v>42</v>
      </c>
      <c r="M150" s="261">
        <v>7</v>
      </c>
      <c r="N150" s="748"/>
      <c r="O150" s="750"/>
      <c r="P150" s="750"/>
      <c r="Q150" s="303"/>
      <c r="R150" s="303"/>
      <c r="S150" s="303"/>
      <c r="T150" s="303"/>
      <c r="U150" s="303"/>
      <c r="V150" s="303"/>
      <c r="W150" s="303"/>
      <c r="X150" s="303"/>
      <c r="Y150" s="303"/>
      <c r="Z150" s="303"/>
      <c r="AA150" s="329">
        <v>50000000</v>
      </c>
      <c r="AB150" s="303"/>
      <c r="AC150" s="303"/>
      <c r="AD150" s="305">
        <f>+Q150+R150+S150+T150+U150+V150+W150+X150+Y150+Z150+AA150+AB150+AC150</f>
        <v>50000000</v>
      </c>
      <c r="AE150" s="305" t="s">
        <v>340</v>
      </c>
      <c r="AF150" s="149" t="s">
        <v>341</v>
      </c>
    </row>
    <row r="151" spans="1:72" ht="60" customHeight="1" x14ac:dyDescent="0.2">
      <c r="A151" s="297"/>
      <c r="B151" s="200"/>
      <c r="C151" s="200"/>
      <c r="D151" s="200"/>
      <c r="E151" s="200"/>
      <c r="F151" s="209"/>
      <c r="G151" s="186" t="s">
        <v>334</v>
      </c>
      <c r="H151" s="198">
        <v>3502022</v>
      </c>
      <c r="I151" s="195" t="s">
        <v>1277</v>
      </c>
      <c r="J151" s="383" t="s">
        <v>345</v>
      </c>
      <c r="K151" s="246" t="s">
        <v>346</v>
      </c>
      <c r="L151" s="445" t="s">
        <v>42</v>
      </c>
      <c r="M151" s="445">
        <v>14</v>
      </c>
      <c r="N151" s="748" t="s">
        <v>347</v>
      </c>
      <c r="O151" s="746" t="s">
        <v>1243</v>
      </c>
      <c r="P151" s="746" t="s">
        <v>348</v>
      </c>
      <c r="Q151" s="423"/>
      <c r="R151" s="423"/>
      <c r="S151" s="423"/>
      <c r="T151" s="423"/>
      <c r="U151" s="423"/>
      <c r="V151" s="423"/>
      <c r="W151" s="423"/>
      <c r="X151" s="423"/>
      <c r="Y151" s="423"/>
      <c r="Z151" s="423"/>
      <c r="AA151" s="424">
        <v>90000000</v>
      </c>
      <c r="AB151" s="423"/>
      <c r="AC151" s="303"/>
      <c r="AD151" s="305">
        <f t="shared" ref="AD151:AD156" si="65">+Q151+R151+S151+T151+U151+V151+W151+X151+Y151+Z151+AA151+AB151+AC151</f>
        <v>90000000</v>
      </c>
      <c r="AE151" s="305" t="s">
        <v>340</v>
      </c>
      <c r="AF151" s="149" t="s">
        <v>341</v>
      </c>
    </row>
    <row r="152" spans="1:72" ht="84.75" customHeight="1" x14ac:dyDescent="0.2">
      <c r="A152" s="297"/>
      <c r="B152" s="200"/>
      <c r="C152" s="200"/>
      <c r="D152" s="200"/>
      <c r="E152" s="200"/>
      <c r="F152" s="209"/>
      <c r="G152" s="186" t="s">
        <v>334</v>
      </c>
      <c r="H152" s="198">
        <v>3502047</v>
      </c>
      <c r="I152" s="195" t="s">
        <v>59</v>
      </c>
      <c r="J152" s="383" t="s">
        <v>349</v>
      </c>
      <c r="K152" s="246" t="s">
        <v>187</v>
      </c>
      <c r="L152" s="674" t="s">
        <v>54</v>
      </c>
      <c r="M152" s="445" t="s">
        <v>1336</v>
      </c>
      <c r="N152" s="748"/>
      <c r="O152" s="746"/>
      <c r="P152" s="746"/>
      <c r="Q152" s="303"/>
      <c r="R152" s="303"/>
      <c r="S152" s="303"/>
      <c r="T152" s="303"/>
      <c r="U152" s="303"/>
      <c r="V152" s="303"/>
      <c r="W152" s="303"/>
      <c r="X152" s="303"/>
      <c r="Y152" s="303"/>
      <c r="Z152" s="303"/>
      <c r="AA152" s="332">
        <f>130000000+30000000</f>
        <v>160000000</v>
      </c>
      <c r="AB152" s="303"/>
      <c r="AC152" s="303"/>
      <c r="AD152" s="305">
        <f t="shared" si="65"/>
        <v>160000000</v>
      </c>
      <c r="AE152" s="305" t="s">
        <v>340</v>
      </c>
      <c r="AF152" s="149" t="s">
        <v>341</v>
      </c>
    </row>
    <row r="153" spans="1:72" ht="69.75" customHeight="1" x14ac:dyDescent="0.2">
      <c r="A153" s="297"/>
      <c r="B153" s="200"/>
      <c r="C153" s="200"/>
      <c r="D153" s="200"/>
      <c r="E153" s="200"/>
      <c r="F153" s="209"/>
      <c r="G153" s="186" t="s">
        <v>350</v>
      </c>
      <c r="H153" s="198">
        <v>3502039</v>
      </c>
      <c r="I153" s="195" t="s">
        <v>1278</v>
      </c>
      <c r="J153" s="197" t="s">
        <v>351</v>
      </c>
      <c r="K153" s="187" t="s">
        <v>98</v>
      </c>
      <c r="L153" s="674" t="s">
        <v>42</v>
      </c>
      <c r="M153" s="445">
        <v>12</v>
      </c>
      <c r="N153" s="748" t="s">
        <v>352</v>
      </c>
      <c r="O153" s="746" t="s">
        <v>353</v>
      </c>
      <c r="P153" s="734" t="s">
        <v>354</v>
      </c>
      <c r="Q153" s="303"/>
      <c r="R153" s="303"/>
      <c r="S153" s="303"/>
      <c r="T153" s="303"/>
      <c r="U153" s="303"/>
      <c r="V153" s="303"/>
      <c r="W153" s="303"/>
      <c r="X153" s="303"/>
      <c r="Y153" s="303"/>
      <c r="Z153" s="303"/>
      <c r="AA153" s="329">
        <v>80000000</v>
      </c>
      <c r="AB153" s="303"/>
      <c r="AC153" s="303"/>
      <c r="AD153" s="305">
        <f t="shared" si="65"/>
        <v>80000000</v>
      </c>
      <c r="AE153" s="305" t="s">
        <v>340</v>
      </c>
      <c r="AF153" s="149" t="s">
        <v>341</v>
      </c>
    </row>
    <row r="154" spans="1:72" ht="76.5" customHeight="1" x14ac:dyDescent="0.2">
      <c r="A154" s="297"/>
      <c r="B154" s="200"/>
      <c r="C154" s="200"/>
      <c r="D154" s="200"/>
      <c r="E154" s="200"/>
      <c r="F154" s="209"/>
      <c r="G154" s="186" t="s">
        <v>334</v>
      </c>
      <c r="H154" s="198">
        <v>3502047</v>
      </c>
      <c r="I154" s="195" t="s">
        <v>59</v>
      </c>
      <c r="J154" s="197" t="s">
        <v>349</v>
      </c>
      <c r="K154" s="187" t="s">
        <v>187</v>
      </c>
      <c r="L154" s="674" t="s">
        <v>54</v>
      </c>
      <c r="M154" s="445" t="s">
        <v>1336</v>
      </c>
      <c r="N154" s="748"/>
      <c r="O154" s="746"/>
      <c r="P154" s="734"/>
      <c r="Q154" s="303"/>
      <c r="R154" s="303"/>
      <c r="S154" s="303"/>
      <c r="T154" s="303"/>
      <c r="U154" s="303"/>
      <c r="V154" s="303"/>
      <c r="W154" s="303"/>
      <c r="X154" s="303"/>
      <c r="Y154" s="303"/>
      <c r="Z154" s="303"/>
      <c r="AA154" s="332">
        <v>18000000</v>
      </c>
      <c r="AB154" s="303"/>
      <c r="AC154" s="303"/>
      <c r="AD154" s="305">
        <f>+Q154+R154+S154+T154+U154+V154+W154+X154+Y154+Z154+AA154+AB154+AC154</f>
        <v>18000000</v>
      </c>
      <c r="AE154" s="305" t="s">
        <v>340</v>
      </c>
      <c r="AF154" s="149" t="s">
        <v>341</v>
      </c>
    </row>
    <row r="155" spans="1:72" s="4" customFormat="1" ht="85.5" customHeight="1" x14ac:dyDescent="0.2">
      <c r="A155" s="140"/>
      <c r="B155" s="226"/>
      <c r="C155" s="226"/>
      <c r="D155" s="226"/>
      <c r="E155" s="226"/>
      <c r="F155" s="222"/>
      <c r="G155" s="186" t="s">
        <v>350</v>
      </c>
      <c r="H155" s="203">
        <v>3502039</v>
      </c>
      <c r="I155" s="186" t="s">
        <v>1278</v>
      </c>
      <c r="J155" s="425">
        <v>350203910</v>
      </c>
      <c r="K155" s="410" t="s">
        <v>355</v>
      </c>
      <c r="L155" s="674" t="s">
        <v>54</v>
      </c>
      <c r="M155" s="445">
        <v>1</v>
      </c>
      <c r="N155" s="748"/>
      <c r="O155" s="746"/>
      <c r="P155" s="734"/>
      <c r="Q155" s="264"/>
      <c r="R155" s="264"/>
      <c r="S155" s="264"/>
      <c r="T155" s="264"/>
      <c r="U155" s="264"/>
      <c r="V155" s="264"/>
      <c r="W155" s="264"/>
      <c r="X155" s="264"/>
      <c r="Y155" s="264"/>
      <c r="Z155" s="264"/>
      <c r="AA155" s="332">
        <v>100000000</v>
      </c>
      <c r="AB155" s="264"/>
      <c r="AC155" s="264"/>
      <c r="AD155" s="411">
        <f t="shared" si="65"/>
        <v>100000000</v>
      </c>
      <c r="AE155" s="305" t="s">
        <v>340</v>
      </c>
      <c r="AF155" s="149" t="s">
        <v>341</v>
      </c>
    </row>
    <row r="156" spans="1:72" s="22" customFormat="1" ht="117" customHeight="1" x14ac:dyDescent="0.25">
      <c r="A156" s="426"/>
      <c r="B156" s="200"/>
      <c r="C156" s="200"/>
      <c r="D156" s="200"/>
      <c r="E156" s="200"/>
      <c r="F156" s="209"/>
      <c r="G156" s="195" t="s">
        <v>350</v>
      </c>
      <c r="H156" s="198">
        <v>3502046</v>
      </c>
      <c r="I156" s="195" t="s">
        <v>356</v>
      </c>
      <c r="J156" s="197" t="s">
        <v>357</v>
      </c>
      <c r="K156" s="187" t="s">
        <v>358</v>
      </c>
      <c r="L156" s="209" t="s">
        <v>54</v>
      </c>
      <c r="M156" s="261">
        <v>1</v>
      </c>
      <c r="N156" s="427" t="s">
        <v>359</v>
      </c>
      <c r="O156" s="186" t="s">
        <v>360</v>
      </c>
      <c r="P156" s="186" t="s">
        <v>361</v>
      </c>
      <c r="Q156" s="303"/>
      <c r="R156" s="303"/>
      <c r="S156" s="303"/>
      <c r="T156" s="303"/>
      <c r="U156" s="303"/>
      <c r="V156" s="303"/>
      <c r="W156" s="303"/>
      <c r="X156" s="303"/>
      <c r="Y156" s="303"/>
      <c r="Z156" s="303"/>
      <c r="AA156" s="329"/>
      <c r="AB156" s="428">
        <f>664872304</f>
        <v>664872304</v>
      </c>
      <c r="AC156" s="396"/>
      <c r="AD156" s="305">
        <f t="shared" si="65"/>
        <v>664872304</v>
      </c>
      <c r="AE156" s="305" t="s">
        <v>340</v>
      </c>
      <c r="AF156" s="149" t="s">
        <v>341</v>
      </c>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row>
    <row r="157" spans="1:72" s="9" customFormat="1" ht="27.75" customHeight="1" x14ac:dyDescent="0.25">
      <c r="A157" s="279"/>
      <c r="B157" s="194"/>
      <c r="C157" s="159">
        <v>36</v>
      </c>
      <c r="D157" s="386" t="s">
        <v>1187</v>
      </c>
      <c r="E157" s="156"/>
      <c r="F157" s="287"/>
      <c r="G157" s="288"/>
      <c r="H157" s="289"/>
      <c r="I157" s="290"/>
      <c r="J157" s="291"/>
      <c r="K157" s="292"/>
      <c r="L157" s="293"/>
      <c r="M157" s="291"/>
      <c r="N157" s="392"/>
      <c r="O157" s="295"/>
      <c r="P157" s="295"/>
      <c r="Q157" s="296">
        <f>Q158</f>
        <v>0</v>
      </c>
      <c r="R157" s="296">
        <f t="shared" ref="R157:AD157" si="66">R158</f>
        <v>0</v>
      </c>
      <c r="S157" s="296">
        <f t="shared" si="66"/>
        <v>0</v>
      </c>
      <c r="T157" s="296">
        <f t="shared" si="66"/>
        <v>0</v>
      </c>
      <c r="U157" s="296">
        <f t="shared" si="66"/>
        <v>0</v>
      </c>
      <c r="V157" s="296">
        <f t="shared" si="66"/>
        <v>0</v>
      </c>
      <c r="W157" s="296">
        <f t="shared" si="66"/>
        <v>0</v>
      </c>
      <c r="X157" s="296">
        <f t="shared" si="66"/>
        <v>0</v>
      </c>
      <c r="Y157" s="296">
        <f t="shared" si="66"/>
        <v>0</v>
      </c>
      <c r="Z157" s="296">
        <f t="shared" si="66"/>
        <v>0</v>
      </c>
      <c r="AA157" s="296">
        <f t="shared" si="66"/>
        <v>237500000</v>
      </c>
      <c r="AB157" s="296">
        <f t="shared" si="66"/>
        <v>0</v>
      </c>
      <c r="AC157" s="296">
        <f t="shared" si="66"/>
        <v>0</v>
      </c>
      <c r="AD157" s="296">
        <f t="shared" si="66"/>
        <v>237500000</v>
      </c>
      <c r="AE157" s="296"/>
      <c r="AF157" s="341"/>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row>
    <row r="158" spans="1:72" ht="22.5" customHeight="1" x14ac:dyDescent="0.2">
      <c r="A158" s="297"/>
      <c r="B158" s="200"/>
      <c r="C158" s="200"/>
      <c r="D158" s="200"/>
      <c r="E158" s="298">
        <v>3602</v>
      </c>
      <c r="F158" s="188" t="s">
        <v>362</v>
      </c>
      <c r="G158" s="366"/>
      <c r="H158" s="307"/>
      <c r="I158" s="308"/>
      <c r="J158" s="309"/>
      <c r="K158" s="299"/>
      <c r="L158" s="310"/>
      <c r="M158" s="309"/>
      <c r="N158" s="311"/>
      <c r="O158" s="308"/>
      <c r="P158" s="308"/>
      <c r="Q158" s="300">
        <f>SUM(Q159:Q162)</f>
        <v>0</v>
      </c>
      <c r="R158" s="300">
        <f t="shared" ref="R158:AD158" si="67">SUM(R159:R162)</f>
        <v>0</v>
      </c>
      <c r="S158" s="300">
        <f t="shared" si="67"/>
        <v>0</v>
      </c>
      <c r="T158" s="300">
        <f t="shared" si="67"/>
        <v>0</v>
      </c>
      <c r="U158" s="300">
        <f t="shared" si="67"/>
        <v>0</v>
      </c>
      <c r="V158" s="300">
        <f t="shared" si="67"/>
        <v>0</v>
      </c>
      <c r="W158" s="300">
        <f t="shared" si="67"/>
        <v>0</v>
      </c>
      <c r="X158" s="300">
        <f t="shared" si="67"/>
        <v>0</v>
      </c>
      <c r="Y158" s="300">
        <f t="shared" si="67"/>
        <v>0</v>
      </c>
      <c r="Z158" s="300">
        <f t="shared" si="67"/>
        <v>0</v>
      </c>
      <c r="AA158" s="300">
        <f t="shared" si="67"/>
        <v>237500000</v>
      </c>
      <c r="AB158" s="300">
        <f t="shared" si="67"/>
        <v>0</v>
      </c>
      <c r="AC158" s="300">
        <f t="shared" si="67"/>
        <v>0</v>
      </c>
      <c r="AD158" s="300">
        <f t="shared" si="67"/>
        <v>237500000</v>
      </c>
      <c r="AE158" s="300"/>
      <c r="AF158" s="312"/>
    </row>
    <row r="159" spans="1:72" ht="51" customHeight="1" x14ac:dyDescent="0.2">
      <c r="A159" s="297"/>
      <c r="B159" s="200"/>
      <c r="C159" s="200"/>
      <c r="D159" s="200"/>
      <c r="E159" s="200"/>
      <c r="F159" s="209"/>
      <c r="G159" s="186" t="s">
        <v>334</v>
      </c>
      <c r="H159" s="197">
        <v>3602018</v>
      </c>
      <c r="I159" s="195" t="s">
        <v>363</v>
      </c>
      <c r="J159" s="383" t="s">
        <v>364</v>
      </c>
      <c r="K159" s="246" t="s">
        <v>365</v>
      </c>
      <c r="L159" s="261" t="s">
        <v>54</v>
      </c>
      <c r="M159" s="261">
        <v>3</v>
      </c>
      <c r="N159" s="748" t="s">
        <v>366</v>
      </c>
      <c r="O159" s="751" t="s">
        <v>367</v>
      </c>
      <c r="P159" s="751" t="s">
        <v>368</v>
      </c>
      <c r="Q159" s="423"/>
      <c r="R159" s="423"/>
      <c r="S159" s="423"/>
      <c r="T159" s="423"/>
      <c r="U159" s="423"/>
      <c r="V159" s="423"/>
      <c r="W159" s="423"/>
      <c r="X159" s="423"/>
      <c r="Y159" s="423"/>
      <c r="Z159" s="423"/>
      <c r="AA159" s="424">
        <v>120000000</v>
      </c>
      <c r="AB159" s="423"/>
      <c r="AC159" s="303"/>
      <c r="AD159" s="305">
        <f>+Q159+R159+S159+T159+U159+V159+W159+X159+Y159+Z159+AA159+AB159+AC159</f>
        <v>120000000</v>
      </c>
      <c r="AE159" s="305" t="s">
        <v>340</v>
      </c>
      <c r="AF159" s="149" t="s">
        <v>341</v>
      </c>
    </row>
    <row r="160" spans="1:72" ht="54" customHeight="1" x14ac:dyDescent="0.2">
      <c r="A160" s="297"/>
      <c r="B160" s="200"/>
      <c r="C160" s="200"/>
      <c r="D160" s="200"/>
      <c r="E160" s="200"/>
      <c r="F160" s="209"/>
      <c r="G160" s="186" t="s">
        <v>334</v>
      </c>
      <c r="H160" s="202">
        <v>3602032</v>
      </c>
      <c r="I160" s="195" t="s">
        <v>1279</v>
      </c>
      <c r="J160" s="383" t="s">
        <v>369</v>
      </c>
      <c r="K160" s="246" t="s">
        <v>370</v>
      </c>
      <c r="L160" s="261" t="s">
        <v>42</v>
      </c>
      <c r="M160" s="261">
        <v>14</v>
      </c>
      <c r="N160" s="748"/>
      <c r="O160" s="751"/>
      <c r="P160" s="751"/>
      <c r="Q160" s="423"/>
      <c r="R160" s="423"/>
      <c r="S160" s="423"/>
      <c r="T160" s="423"/>
      <c r="U160" s="423"/>
      <c r="V160" s="423"/>
      <c r="W160" s="423"/>
      <c r="X160" s="423"/>
      <c r="Y160" s="423"/>
      <c r="Z160" s="423"/>
      <c r="AA160" s="424">
        <v>60000000</v>
      </c>
      <c r="AB160" s="423"/>
      <c r="AC160" s="303"/>
      <c r="AD160" s="305">
        <f>+Q160+R160+S160+T160+U160+V160+W160+X160+Y160+Z160+AA160+AB160+AC160</f>
        <v>60000000</v>
      </c>
      <c r="AE160" s="305" t="s">
        <v>340</v>
      </c>
      <c r="AF160" s="149" t="s">
        <v>341</v>
      </c>
    </row>
    <row r="161" spans="1:72" ht="51" customHeight="1" x14ac:dyDescent="0.2">
      <c r="A161" s="297"/>
      <c r="B161" s="200"/>
      <c r="C161" s="200"/>
      <c r="D161" s="200"/>
      <c r="E161" s="200"/>
      <c r="F161" s="209"/>
      <c r="G161" s="186" t="s">
        <v>334</v>
      </c>
      <c r="H161" s="202">
        <v>3602029</v>
      </c>
      <c r="I161" s="195" t="s">
        <v>371</v>
      </c>
      <c r="J161" s="383" t="s">
        <v>372</v>
      </c>
      <c r="K161" s="246" t="s">
        <v>373</v>
      </c>
      <c r="L161" s="261" t="s">
        <v>54</v>
      </c>
      <c r="M161" s="261">
        <v>12</v>
      </c>
      <c r="N161" s="748"/>
      <c r="O161" s="751"/>
      <c r="P161" s="751"/>
      <c r="Q161" s="423"/>
      <c r="R161" s="423"/>
      <c r="S161" s="423"/>
      <c r="T161" s="423"/>
      <c r="U161" s="423"/>
      <c r="V161" s="423"/>
      <c r="W161" s="423"/>
      <c r="X161" s="423"/>
      <c r="Y161" s="423"/>
      <c r="Z161" s="423"/>
      <c r="AA161" s="424">
        <v>22500000</v>
      </c>
      <c r="AB161" s="423"/>
      <c r="AC161" s="303"/>
      <c r="AD161" s="305">
        <f>+Q161+R161+S161+T161+U161+V161+W161+X161+Y161+Z161+AA161+AB161+AC161</f>
        <v>22500000</v>
      </c>
      <c r="AE161" s="305" t="s">
        <v>340</v>
      </c>
      <c r="AF161" s="149" t="s">
        <v>341</v>
      </c>
    </row>
    <row r="162" spans="1:72" ht="62.25" customHeight="1" x14ac:dyDescent="0.2">
      <c r="A162" s="297"/>
      <c r="B162" s="200"/>
      <c r="C162" s="200"/>
      <c r="D162" s="200"/>
      <c r="E162" s="200"/>
      <c r="F162" s="209"/>
      <c r="G162" s="186" t="s">
        <v>334</v>
      </c>
      <c r="H162" s="202">
        <v>3602030</v>
      </c>
      <c r="I162" s="195" t="s">
        <v>374</v>
      </c>
      <c r="J162" s="383" t="s">
        <v>375</v>
      </c>
      <c r="K162" s="246" t="s">
        <v>376</v>
      </c>
      <c r="L162" s="429" t="s">
        <v>54</v>
      </c>
      <c r="M162" s="261">
        <v>3</v>
      </c>
      <c r="N162" s="748"/>
      <c r="O162" s="751"/>
      <c r="P162" s="751"/>
      <c r="Q162" s="423"/>
      <c r="R162" s="423"/>
      <c r="S162" s="423"/>
      <c r="T162" s="423"/>
      <c r="U162" s="423"/>
      <c r="V162" s="423"/>
      <c r="W162" s="423"/>
      <c r="X162" s="423"/>
      <c r="Y162" s="423"/>
      <c r="Z162" s="423"/>
      <c r="AA162" s="424">
        <v>35000000</v>
      </c>
      <c r="AB162" s="423"/>
      <c r="AC162" s="303"/>
      <c r="AD162" s="305">
        <f>+Q162+R162+S162+T162+U162+V162+W162+X162+Y162+Z162+AA162+AB162+AC162</f>
        <v>35000000</v>
      </c>
      <c r="AE162" s="305" t="s">
        <v>340</v>
      </c>
      <c r="AF162" s="149" t="s">
        <v>341</v>
      </c>
    </row>
    <row r="163" spans="1:72" s="122" customFormat="1" ht="21" customHeight="1" x14ac:dyDescent="0.2">
      <c r="A163" s="315"/>
      <c r="B163" s="336"/>
      <c r="C163" s="336"/>
      <c r="D163" s="336"/>
      <c r="E163" s="337"/>
      <c r="F163" s="338"/>
      <c r="G163" s="319"/>
      <c r="H163" s="337"/>
      <c r="I163" s="319"/>
      <c r="J163" s="320"/>
      <c r="K163" s="318"/>
      <c r="L163" s="338"/>
      <c r="M163" s="320"/>
      <c r="N163" s="338"/>
      <c r="O163" s="318"/>
      <c r="P163" s="318"/>
      <c r="Q163" s="315"/>
      <c r="R163" s="315"/>
      <c r="S163" s="315"/>
      <c r="T163" s="315"/>
      <c r="U163" s="315"/>
      <c r="V163" s="315"/>
      <c r="W163" s="420"/>
      <c r="X163" s="420"/>
      <c r="Y163" s="315"/>
      <c r="Z163" s="315"/>
      <c r="AA163" s="421"/>
      <c r="AB163" s="315"/>
      <c r="AC163" s="315"/>
      <c r="AD163" s="420"/>
      <c r="AE163" s="420"/>
      <c r="AF163" s="430"/>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7"/>
      <c r="BC163" s="117"/>
      <c r="BD163" s="117"/>
      <c r="BE163" s="117"/>
      <c r="BF163" s="117"/>
      <c r="BG163" s="117"/>
      <c r="BH163" s="117"/>
      <c r="BI163" s="117"/>
      <c r="BJ163" s="117"/>
      <c r="BK163" s="117"/>
      <c r="BL163" s="117"/>
      <c r="BM163" s="117"/>
      <c r="BN163" s="117"/>
      <c r="BO163" s="117"/>
      <c r="BP163" s="117"/>
      <c r="BQ163" s="117"/>
      <c r="BR163" s="117"/>
      <c r="BS163" s="117"/>
      <c r="BT163" s="117"/>
    </row>
    <row r="164" spans="1:72" s="658" customFormat="1" ht="29.25" customHeight="1" x14ac:dyDescent="0.2">
      <c r="A164" s="56" t="s">
        <v>377</v>
      </c>
      <c r="B164" s="56"/>
      <c r="C164" s="56"/>
      <c r="D164" s="56"/>
      <c r="E164" s="57"/>
      <c r="F164" s="58"/>
      <c r="G164" s="650"/>
      <c r="H164" s="653"/>
      <c r="I164" s="650"/>
      <c r="J164" s="654"/>
      <c r="K164" s="655"/>
      <c r="L164" s="656"/>
      <c r="M164" s="654"/>
      <c r="N164" s="58"/>
      <c r="O164" s="655"/>
      <c r="P164" s="655"/>
      <c r="Q164" s="651">
        <f t="shared" ref="Q164:AD164" si="68">Q165+Q199</f>
        <v>0</v>
      </c>
      <c r="R164" s="651">
        <f t="shared" si="68"/>
        <v>0</v>
      </c>
      <c r="S164" s="651">
        <f t="shared" si="68"/>
        <v>0</v>
      </c>
      <c r="T164" s="651">
        <f t="shared" si="68"/>
        <v>0</v>
      </c>
      <c r="U164" s="651">
        <f t="shared" si="68"/>
        <v>0</v>
      </c>
      <c r="V164" s="651">
        <f t="shared" si="68"/>
        <v>0</v>
      </c>
      <c r="W164" s="651">
        <f t="shared" si="68"/>
        <v>0</v>
      </c>
      <c r="X164" s="651">
        <f t="shared" si="68"/>
        <v>0</v>
      </c>
      <c r="Y164" s="651">
        <f t="shared" si="68"/>
        <v>0</v>
      </c>
      <c r="Z164" s="651">
        <f t="shared" si="68"/>
        <v>0</v>
      </c>
      <c r="AA164" s="651">
        <f t="shared" si="68"/>
        <v>2573248186</v>
      </c>
      <c r="AB164" s="651">
        <f t="shared" si="68"/>
        <v>0</v>
      </c>
      <c r="AC164" s="651">
        <f t="shared" si="68"/>
        <v>0</v>
      </c>
      <c r="AD164" s="651">
        <f t="shared" si="68"/>
        <v>2573248186</v>
      </c>
      <c r="AE164" s="651"/>
      <c r="AF164" s="651"/>
      <c r="AG164" s="657"/>
      <c r="AH164" s="657"/>
      <c r="AI164" s="657"/>
      <c r="AJ164" s="657"/>
      <c r="AK164" s="657"/>
      <c r="AL164" s="657"/>
      <c r="AM164" s="657"/>
      <c r="AN164" s="657"/>
      <c r="AO164" s="657"/>
      <c r="AP164" s="657"/>
      <c r="AQ164" s="657"/>
      <c r="AR164" s="657"/>
      <c r="AS164" s="657"/>
      <c r="AT164" s="657"/>
      <c r="AU164" s="657"/>
      <c r="AV164" s="657"/>
      <c r="AW164" s="657"/>
      <c r="AX164" s="657"/>
      <c r="AY164" s="657"/>
      <c r="AZ164" s="657"/>
      <c r="BA164" s="657"/>
      <c r="BB164" s="657"/>
      <c r="BC164" s="657"/>
      <c r="BD164" s="657"/>
      <c r="BE164" s="657"/>
      <c r="BF164" s="657"/>
      <c r="BG164" s="657"/>
      <c r="BH164" s="657"/>
      <c r="BI164" s="657"/>
      <c r="BJ164" s="657"/>
      <c r="BK164" s="657"/>
      <c r="BL164" s="657"/>
      <c r="BM164" s="657"/>
      <c r="BN164" s="657"/>
      <c r="BO164" s="657"/>
      <c r="BP164" s="657"/>
      <c r="BQ164" s="657"/>
      <c r="BR164" s="657"/>
      <c r="BS164" s="657"/>
      <c r="BT164" s="657"/>
    </row>
    <row r="165" spans="1:72" ht="26.25" customHeight="1" x14ac:dyDescent="0.2">
      <c r="A165" s="297"/>
      <c r="B165" s="280">
        <v>2</v>
      </c>
      <c r="C165" s="158" t="s">
        <v>332</v>
      </c>
      <c r="D165" s="348"/>
      <c r="E165" s="155"/>
      <c r="F165" s="155"/>
      <c r="G165" s="155"/>
      <c r="H165" s="281"/>
      <c r="I165" s="282"/>
      <c r="J165" s="280"/>
      <c r="K165" s="283"/>
      <c r="L165" s="284"/>
      <c r="M165" s="280"/>
      <c r="N165" s="285"/>
      <c r="O165" s="283"/>
      <c r="P165" s="283"/>
      <c r="Q165" s="286">
        <f>Q166+Q195</f>
        <v>0</v>
      </c>
      <c r="R165" s="286">
        <f t="shared" ref="R165:AC165" si="69">R166+R195</f>
        <v>0</v>
      </c>
      <c r="S165" s="286">
        <f t="shared" si="69"/>
        <v>0</v>
      </c>
      <c r="T165" s="286">
        <f t="shared" si="69"/>
        <v>0</v>
      </c>
      <c r="U165" s="286">
        <f t="shared" si="69"/>
        <v>0</v>
      </c>
      <c r="V165" s="286">
        <f t="shared" si="69"/>
        <v>0</v>
      </c>
      <c r="W165" s="286">
        <f t="shared" si="69"/>
        <v>0</v>
      </c>
      <c r="X165" s="286">
        <f t="shared" si="69"/>
        <v>0</v>
      </c>
      <c r="Y165" s="286">
        <f t="shared" si="69"/>
        <v>0</v>
      </c>
      <c r="Z165" s="286">
        <f t="shared" si="69"/>
        <v>0</v>
      </c>
      <c r="AA165" s="286">
        <f t="shared" si="69"/>
        <v>1226000000</v>
      </c>
      <c r="AB165" s="286">
        <f t="shared" si="69"/>
        <v>0</v>
      </c>
      <c r="AC165" s="286">
        <f t="shared" si="69"/>
        <v>0</v>
      </c>
      <c r="AD165" s="286">
        <f>AD166+AD195</f>
        <v>1226000000</v>
      </c>
      <c r="AE165" s="286"/>
      <c r="AF165" s="286"/>
    </row>
    <row r="166" spans="1:72" s="9" customFormat="1" ht="27.75" customHeight="1" x14ac:dyDescent="0.25">
      <c r="A166" s="279"/>
      <c r="B166" s="194"/>
      <c r="C166" s="159">
        <v>17</v>
      </c>
      <c r="D166" s="156" t="s">
        <v>1188</v>
      </c>
      <c r="E166" s="156"/>
      <c r="F166" s="287"/>
      <c r="G166" s="288"/>
      <c r="H166" s="289"/>
      <c r="I166" s="290"/>
      <c r="J166" s="291"/>
      <c r="K166" s="292"/>
      <c r="L166" s="293"/>
      <c r="M166" s="291"/>
      <c r="N166" s="392"/>
      <c r="O166" s="295"/>
      <c r="P166" s="295"/>
      <c r="Q166" s="296">
        <f>Q167+Q179+Q181+Q184+Q186+Q188+Q191</f>
        <v>0</v>
      </c>
      <c r="R166" s="296">
        <f t="shared" ref="R166:AD166" si="70">R167+R179+R181+R184+R186+R188+R191</f>
        <v>0</v>
      </c>
      <c r="S166" s="296">
        <f t="shared" si="70"/>
        <v>0</v>
      </c>
      <c r="T166" s="296">
        <f t="shared" si="70"/>
        <v>0</v>
      </c>
      <c r="U166" s="296">
        <f t="shared" si="70"/>
        <v>0</v>
      </c>
      <c r="V166" s="296">
        <f t="shared" si="70"/>
        <v>0</v>
      </c>
      <c r="W166" s="296">
        <f t="shared" si="70"/>
        <v>0</v>
      </c>
      <c r="X166" s="296">
        <f t="shared" si="70"/>
        <v>0</v>
      </c>
      <c r="Y166" s="296">
        <f t="shared" si="70"/>
        <v>0</v>
      </c>
      <c r="Z166" s="296">
        <f t="shared" si="70"/>
        <v>0</v>
      </c>
      <c r="AA166" s="296">
        <f t="shared" si="70"/>
        <v>1190000000</v>
      </c>
      <c r="AB166" s="296">
        <f t="shared" si="70"/>
        <v>0</v>
      </c>
      <c r="AC166" s="296">
        <f t="shared" si="70"/>
        <v>0</v>
      </c>
      <c r="AD166" s="296">
        <f t="shared" si="70"/>
        <v>1190000000</v>
      </c>
      <c r="AE166" s="296"/>
      <c r="AF166" s="296"/>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row>
    <row r="167" spans="1:72" ht="26.25" customHeight="1" x14ac:dyDescent="0.2">
      <c r="A167" s="297"/>
      <c r="B167" s="204"/>
      <c r="C167" s="204"/>
      <c r="D167" s="204"/>
      <c r="E167" s="309">
        <v>1702</v>
      </c>
      <c r="F167" s="188" t="s">
        <v>1267</v>
      </c>
      <c r="G167" s="366"/>
      <c r="H167" s="307"/>
      <c r="I167" s="308"/>
      <c r="J167" s="309"/>
      <c r="K167" s="299"/>
      <c r="L167" s="310"/>
      <c r="M167" s="309"/>
      <c r="N167" s="311"/>
      <c r="O167" s="299"/>
      <c r="P167" s="299"/>
      <c r="Q167" s="300">
        <f>SUM(Q168:Q178)</f>
        <v>0</v>
      </c>
      <c r="R167" s="300">
        <f t="shared" ref="R167:AD167" si="71">SUM(R168:R178)</f>
        <v>0</v>
      </c>
      <c r="S167" s="300">
        <f t="shared" si="71"/>
        <v>0</v>
      </c>
      <c r="T167" s="300">
        <f t="shared" si="71"/>
        <v>0</v>
      </c>
      <c r="U167" s="300">
        <f t="shared" si="71"/>
        <v>0</v>
      </c>
      <c r="V167" s="300">
        <f t="shared" si="71"/>
        <v>0</v>
      </c>
      <c r="W167" s="300">
        <f t="shared" si="71"/>
        <v>0</v>
      </c>
      <c r="X167" s="300">
        <f t="shared" si="71"/>
        <v>0</v>
      </c>
      <c r="Y167" s="300">
        <f t="shared" si="71"/>
        <v>0</v>
      </c>
      <c r="Z167" s="300">
        <f t="shared" si="71"/>
        <v>0</v>
      </c>
      <c r="AA167" s="300">
        <f t="shared" si="71"/>
        <v>834000000</v>
      </c>
      <c r="AB167" s="300">
        <f t="shared" si="71"/>
        <v>0</v>
      </c>
      <c r="AC167" s="300">
        <f t="shared" si="71"/>
        <v>0</v>
      </c>
      <c r="AD167" s="300">
        <f t="shared" si="71"/>
        <v>834000000</v>
      </c>
      <c r="AE167" s="300"/>
      <c r="AF167" s="300"/>
    </row>
    <row r="168" spans="1:72" ht="88.5" customHeight="1" x14ac:dyDescent="0.2">
      <c r="A168" s="297"/>
      <c r="B168" s="204"/>
      <c r="C168" s="204"/>
      <c r="D168" s="204"/>
      <c r="E168" s="200"/>
      <c r="F168" s="209"/>
      <c r="G168" s="195" t="s">
        <v>378</v>
      </c>
      <c r="H168" s="198">
        <v>1702011</v>
      </c>
      <c r="I168" s="195" t="s">
        <v>379</v>
      </c>
      <c r="J168" s="197" t="s">
        <v>380</v>
      </c>
      <c r="K168" s="187" t="s">
        <v>381</v>
      </c>
      <c r="L168" s="209" t="s">
        <v>42</v>
      </c>
      <c r="M168" s="261">
        <v>30</v>
      </c>
      <c r="N168" s="748" t="s">
        <v>382</v>
      </c>
      <c r="O168" s="734" t="s">
        <v>383</v>
      </c>
      <c r="P168" s="734" t="s">
        <v>384</v>
      </c>
      <c r="Q168" s="303"/>
      <c r="R168" s="303"/>
      <c r="S168" s="303"/>
      <c r="T168" s="303"/>
      <c r="U168" s="303"/>
      <c r="V168" s="303"/>
      <c r="W168" s="303"/>
      <c r="X168" s="303"/>
      <c r="Y168" s="303"/>
      <c r="Z168" s="303"/>
      <c r="AA168" s="431">
        <v>226000000</v>
      </c>
      <c r="AB168" s="432"/>
      <c r="AC168" s="432"/>
      <c r="AD168" s="432">
        <f t="shared" ref="AD168:AD178" si="72">SUM(Q168:AC168)</f>
        <v>226000000</v>
      </c>
      <c r="AE168" s="433" t="s">
        <v>385</v>
      </c>
      <c r="AF168" s="432" t="s">
        <v>386</v>
      </c>
    </row>
    <row r="169" spans="1:72" ht="64.5" customHeight="1" x14ac:dyDescent="0.2">
      <c r="A169" s="297"/>
      <c r="B169" s="204"/>
      <c r="C169" s="204"/>
      <c r="D169" s="204"/>
      <c r="E169" s="200"/>
      <c r="F169" s="381"/>
      <c r="G169" s="195" t="s">
        <v>378</v>
      </c>
      <c r="H169" s="198">
        <v>1702007</v>
      </c>
      <c r="I169" s="195" t="s">
        <v>387</v>
      </c>
      <c r="J169" s="383" t="s">
        <v>388</v>
      </c>
      <c r="K169" s="246" t="s">
        <v>389</v>
      </c>
      <c r="L169" s="232" t="s">
        <v>54</v>
      </c>
      <c r="M169" s="261">
        <v>4</v>
      </c>
      <c r="N169" s="748"/>
      <c r="O169" s="734"/>
      <c r="P169" s="734"/>
      <c r="Q169" s="352"/>
      <c r="R169" s="352"/>
      <c r="S169" s="352"/>
      <c r="T169" s="352"/>
      <c r="U169" s="352"/>
      <c r="V169" s="352"/>
      <c r="W169" s="352"/>
      <c r="X169" s="352"/>
      <c r="Y169" s="352"/>
      <c r="Z169" s="352"/>
      <c r="AA169" s="431">
        <v>123000000</v>
      </c>
      <c r="AB169" s="432"/>
      <c r="AC169" s="432"/>
      <c r="AD169" s="432">
        <f t="shared" si="72"/>
        <v>123000000</v>
      </c>
      <c r="AE169" s="433" t="s">
        <v>385</v>
      </c>
      <c r="AF169" s="432" t="s">
        <v>386</v>
      </c>
    </row>
    <row r="170" spans="1:72" ht="78" customHeight="1" x14ac:dyDescent="0.2">
      <c r="A170" s="297"/>
      <c r="B170" s="204"/>
      <c r="C170" s="204"/>
      <c r="D170" s="204"/>
      <c r="E170" s="200"/>
      <c r="F170" s="209"/>
      <c r="G170" s="195" t="s">
        <v>378</v>
      </c>
      <c r="H170" s="198">
        <v>1702009</v>
      </c>
      <c r="I170" s="195" t="s">
        <v>1280</v>
      </c>
      <c r="J170" s="383" t="s">
        <v>390</v>
      </c>
      <c r="K170" s="246" t="s">
        <v>391</v>
      </c>
      <c r="L170" s="675" t="s">
        <v>54</v>
      </c>
      <c r="M170" s="682">
        <v>168</v>
      </c>
      <c r="N170" s="748"/>
      <c r="O170" s="734"/>
      <c r="P170" s="734"/>
      <c r="Q170" s="352"/>
      <c r="R170" s="352"/>
      <c r="S170" s="352"/>
      <c r="T170" s="352"/>
      <c r="U170" s="352"/>
      <c r="V170" s="352"/>
      <c r="W170" s="352"/>
      <c r="X170" s="352"/>
      <c r="Y170" s="352"/>
      <c r="Z170" s="352"/>
      <c r="AA170" s="431">
        <v>90000000</v>
      </c>
      <c r="AB170" s="432"/>
      <c r="AC170" s="432"/>
      <c r="AD170" s="432">
        <f t="shared" si="72"/>
        <v>90000000</v>
      </c>
      <c r="AE170" s="433" t="s">
        <v>385</v>
      </c>
      <c r="AF170" s="432" t="s">
        <v>386</v>
      </c>
    </row>
    <row r="171" spans="1:72" ht="102" customHeight="1" x14ac:dyDescent="0.2">
      <c r="A171" s="297"/>
      <c r="B171" s="204"/>
      <c r="C171" s="204"/>
      <c r="D171" s="204"/>
      <c r="E171" s="200"/>
      <c r="F171" s="209"/>
      <c r="G171" s="195" t="s">
        <v>378</v>
      </c>
      <c r="H171" s="205">
        <v>1702017</v>
      </c>
      <c r="I171" s="195" t="s">
        <v>1281</v>
      </c>
      <c r="J171" s="383" t="s">
        <v>392</v>
      </c>
      <c r="K171" s="246" t="s">
        <v>393</v>
      </c>
      <c r="L171" s="435" t="s">
        <v>54</v>
      </c>
      <c r="M171" s="261">
        <v>750</v>
      </c>
      <c r="N171" s="747" t="s">
        <v>394</v>
      </c>
      <c r="O171" s="752" t="s">
        <v>395</v>
      </c>
      <c r="P171" s="752" t="s">
        <v>396</v>
      </c>
      <c r="Q171" s="352"/>
      <c r="R171" s="352"/>
      <c r="S171" s="352"/>
      <c r="T171" s="352"/>
      <c r="U171" s="352"/>
      <c r="V171" s="352"/>
      <c r="W171" s="352"/>
      <c r="X171" s="352"/>
      <c r="Y171" s="352"/>
      <c r="Z171" s="352"/>
      <c r="AA171" s="436">
        <v>130000000</v>
      </c>
      <c r="AB171" s="432"/>
      <c r="AC171" s="432"/>
      <c r="AD171" s="432">
        <f t="shared" si="72"/>
        <v>130000000</v>
      </c>
      <c r="AE171" s="433" t="s">
        <v>385</v>
      </c>
      <c r="AF171" s="432" t="s">
        <v>386</v>
      </c>
    </row>
    <row r="172" spans="1:72" ht="96" customHeight="1" x14ac:dyDescent="0.2">
      <c r="A172" s="297"/>
      <c r="B172" s="204"/>
      <c r="C172" s="204"/>
      <c r="D172" s="204"/>
      <c r="E172" s="200"/>
      <c r="F172" s="209"/>
      <c r="G172" s="195" t="s">
        <v>378</v>
      </c>
      <c r="H172" s="198">
        <v>1702014</v>
      </c>
      <c r="I172" s="195" t="s">
        <v>1282</v>
      </c>
      <c r="J172" s="383" t="s">
        <v>397</v>
      </c>
      <c r="K172" s="246" t="s">
        <v>398</v>
      </c>
      <c r="L172" s="378" t="s">
        <v>54</v>
      </c>
      <c r="M172" s="409">
        <v>25</v>
      </c>
      <c r="N172" s="747"/>
      <c r="O172" s="752"/>
      <c r="P172" s="752"/>
      <c r="Q172" s="352"/>
      <c r="R172" s="352"/>
      <c r="S172" s="352"/>
      <c r="T172" s="352"/>
      <c r="U172" s="352"/>
      <c r="V172" s="352"/>
      <c r="W172" s="352"/>
      <c r="X172" s="352"/>
      <c r="Y172" s="352"/>
      <c r="Z172" s="352"/>
      <c r="AA172" s="431">
        <v>45000000</v>
      </c>
      <c r="AB172" s="432"/>
      <c r="AC172" s="432"/>
      <c r="AD172" s="432">
        <f t="shared" si="72"/>
        <v>45000000</v>
      </c>
      <c r="AE172" s="433" t="s">
        <v>385</v>
      </c>
      <c r="AF172" s="432" t="s">
        <v>386</v>
      </c>
    </row>
    <row r="173" spans="1:72" ht="85.5" customHeight="1" x14ac:dyDescent="0.2">
      <c r="A173" s="297"/>
      <c r="B173" s="204"/>
      <c r="C173" s="204"/>
      <c r="D173" s="204"/>
      <c r="E173" s="200"/>
      <c r="F173" s="209"/>
      <c r="G173" s="195" t="s">
        <v>378</v>
      </c>
      <c r="H173" s="198">
        <v>1702021</v>
      </c>
      <c r="I173" s="195" t="s">
        <v>399</v>
      </c>
      <c r="J173" s="383" t="s">
        <v>400</v>
      </c>
      <c r="K173" s="246" t="s">
        <v>401</v>
      </c>
      <c r="L173" s="378" t="s">
        <v>54</v>
      </c>
      <c r="M173" s="261">
        <v>150</v>
      </c>
      <c r="N173" s="747"/>
      <c r="O173" s="752"/>
      <c r="P173" s="752"/>
      <c r="Q173" s="352"/>
      <c r="R173" s="352"/>
      <c r="S173" s="352"/>
      <c r="T173" s="352"/>
      <c r="U173" s="352"/>
      <c r="V173" s="352"/>
      <c r="W173" s="352"/>
      <c r="X173" s="352"/>
      <c r="Y173" s="352"/>
      <c r="Z173" s="352"/>
      <c r="AA173" s="431">
        <v>20000000</v>
      </c>
      <c r="AB173" s="432"/>
      <c r="AC173" s="432"/>
      <c r="AD173" s="432">
        <f t="shared" si="72"/>
        <v>20000000</v>
      </c>
      <c r="AE173" s="433" t="s">
        <v>385</v>
      </c>
      <c r="AF173" s="432" t="s">
        <v>386</v>
      </c>
    </row>
    <row r="174" spans="1:72" ht="65.25" customHeight="1" x14ac:dyDescent="0.2">
      <c r="A174" s="297"/>
      <c r="B174" s="204"/>
      <c r="C174" s="204"/>
      <c r="D174" s="204"/>
      <c r="E174" s="200"/>
      <c r="F174" s="209"/>
      <c r="G174" s="195" t="s">
        <v>378</v>
      </c>
      <c r="H174" s="198">
        <v>1702038</v>
      </c>
      <c r="I174" s="195" t="s">
        <v>402</v>
      </c>
      <c r="J174" s="197" t="s">
        <v>403</v>
      </c>
      <c r="K174" s="187" t="s">
        <v>404</v>
      </c>
      <c r="L174" s="378" t="s">
        <v>42</v>
      </c>
      <c r="M174" s="261">
        <v>30</v>
      </c>
      <c r="N174" s="748" t="s">
        <v>405</v>
      </c>
      <c r="O174" s="746" t="s">
        <v>406</v>
      </c>
      <c r="P174" s="736" t="s">
        <v>407</v>
      </c>
      <c r="Q174" s="352"/>
      <c r="R174" s="352"/>
      <c r="S174" s="352"/>
      <c r="T174" s="352"/>
      <c r="U174" s="352"/>
      <c r="V174" s="352"/>
      <c r="W174" s="352"/>
      <c r="X174" s="352"/>
      <c r="Y174" s="352"/>
      <c r="Z174" s="352"/>
      <c r="AA174" s="431">
        <v>65000000</v>
      </c>
      <c r="AB174" s="432"/>
      <c r="AC174" s="432"/>
      <c r="AD174" s="432">
        <f t="shared" si="72"/>
        <v>65000000</v>
      </c>
      <c r="AE174" s="433" t="s">
        <v>385</v>
      </c>
      <c r="AF174" s="432" t="s">
        <v>386</v>
      </c>
    </row>
    <row r="175" spans="1:72" ht="129.75" customHeight="1" x14ac:dyDescent="0.2">
      <c r="A175" s="297"/>
      <c r="B175" s="204"/>
      <c r="C175" s="204"/>
      <c r="D175" s="204"/>
      <c r="E175" s="200"/>
      <c r="F175" s="209"/>
      <c r="G175" s="195" t="s">
        <v>378</v>
      </c>
      <c r="H175" s="198">
        <v>1702038</v>
      </c>
      <c r="I175" s="195" t="s">
        <v>402</v>
      </c>
      <c r="J175" s="197" t="s">
        <v>408</v>
      </c>
      <c r="K175" s="187" t="s">
        <v>409</v>
      </c>
      <c r="L175" s="378" t="s">
        <v>54</v>
      </c>
      <c r="M175" s="261">
        <v>80</v>
      </c>
      <c r="N175" s="748"/>
      <c r="O175" s="746"/>
      <c r="P175" s="738"/>
      <c r="Q175" s="352"/>
      <c r="R175" s="352"/>
      <c r="S175" s="352"/>
      <c r="T175" s="352"/>
      <c r="U175" s="352"/>
      <c r="V175" s="352"/>
      <c r="W175" s="352"/>
      <c r="X175" s="352"/>
      <c r="Y175" s="352"/>
      <c r="Z175" s="352"/>
      <c r="AA175" s="431">
        <v>18000000</v>
      </c>
      <c r="AB175" s="432"/>
      <c r="AC175" s="432"/>
      <c r="AD175" s="432">
        <f t="shared" si="72"/>
        <v>18000000</v>
      </c>
      <c r="AE175" s="433" t="s">
        <v>385</v>
      </c>
      <c r="AF175" s="432" t="s">
        <v>386</v>
      </c>
    </row>
    <row r="176" spans="1:72" ht="74.25" customHeight="1" x14ac:dyDescent="0.2">
      <c r="A176" s="297"/>
      <c r="B176" s="204"/>
      <c r="C176" s="204"/>
      <c r="D176" s="204"/>
      <c r="E176" s="200"/>
      <c r="F176" s="209"/>
      <c r="G176" s="195" t="s">
        <v>378</v>
      </c>
      <c r="H176" s="198">
        <v>1702023</v>
      </c>
      <c r="I176" s="195" t="s">
        <v>59</v>
      </c>
      <c r="J176" s="197" t="s">
        <v>410</v>
      </c>
      <c r="K176" s="187" t="s">
        <v>411</v>
      </c>
      <c r="L176" s="405" t="s">
        <v>42</v>
      </c>
      <c r="M176" s="261">
        <v>1</v>
      </c>
      <c r="N176" s="747" t="s">
        <v>412</v>
      </c>
      <c r="O176" s="746" t="s">
        <v>413</v>
      </c>
      <c r="P176" s="734" t="s">
        <v>414</v>
      </c>
      <c r="Q176" s="352"/>
      <c r="R176" s="352"/>
      <c r="S176" s="352"/>
      <c r="T176" s="352"/>
      <c r="U176" s="352"/>
      <c r="V176" s="352"/>
      <c r="W176" s="352"/>
      <c r="X176" s="352"/>
      <c r="Y176" s="352"/>
      <c r="Z176" s="352"/>
      <c r="AA176" s="431">
        <v>45000000</v>
      </c>
      <c r="AB176" s="432"/>
      <c r="AC176" s="432"/>
      <c r="AD176" s="432">
        <f t="shared" si="72"/>
        <v>45000000</v>
      </c>
      <c r="AE176" s="433" t="s">
        <v>385</v>
      </c>
      <c r="AF176" s="432" t="s">
        <v>386</v>
      </c>
    </row>
    <row r="177" spans="1:32" ht="108" customHeight="1" x14ac:dyDescent="0.2">
      <c r="A177" s="297"/>
      <c r="B177" s="204"/>
      <c r="C177" s="204"/>
      <c r="D177" s="204"/>
      <c r="E177" s="200"/>
      <c r="F177" s="209"/>
      <c r="G177" s="195" t="s">
        <v>378</v>
      </c>
      <c r="H177" s="198">
        <v>1702024</v>
      </c>
      <c r="I177" s="195" t="s">
        <v>415</v>
      </c>
      <c r="J177" s="383" t="s">
        <v>416</v>
      </c>
      <c r="K177" s="246" t="s">
        <v>417</v>
      </c>
      <c r="L177" s="405" t="s">
        <v>42</v>
      </c>
      <c r="M177" s="261">
        <v>12</v>
      </c>
      <c r="N177" s="747"/>
      <c r="O177" s="746"/>
      <c r="P177" s="734"/>
      <c r="Q177" s="352"/>
      <c r="R177" s="352"/>
      <c r="S177" s="352"/>
      <c r="T177" s="352"/>
      <c r="U177" s="352"/>
      <c r="V177" s="352"/>
      <c r="W177" s="352"/>
      <c r="X177" s="352"/>
      <c r="Y177" s="352"/>
      <c r="Z177" s="352"/>
      <c r="AA177" s="431">
        <v>45000000</v>
      </c>
      <c r="AB177" s="432"/>
      <c r="AC177" s="432"/>
      <c r="AD177" s="432">
        <f t="shared" si="72"/>
        <v>45000000</v>
      </c>
      <c r="AE177" s="433" t="s">
        <v>385</v>
      </c>
      <c r="AF177" s="432" t="s">
        <v>386</v>
      </c>
    </row>
    <row r="178" spans="1:32" ht="171.75" customHeight="1" x14ac:dyDescent="0.2">
      <c r="A178" s="297"/>
      <c r="B178" s="204"/>
      <c r="C178" s="204"/>
      <c r="D178" s="204"/>
      <c r="E178" s="200"/>
      <c r="F178" s="209"/>
      <c r="G178" s="195" t="s">
        <v>378</v>
      </c>
      <c r="H178" s="198">
        <v>1702025</v>
      </c>
      <c r="I178" s="195" t="s">
        <v>418</v>
      </c>
      <c r="J178" s="383" t="s">
        <v>419</v>
      </c>
      <c r="K178" s="246" t="s">
        <v>420</v>
      </c>
      <c r="L178" s="405" t="s">
        <v>54</v>
      </c>
      <c r="M178" s="261">
        <v>25</v>
      </c>
      <c r="N178" s="266" t="s">
        <v>421</v>
      </c>
      <c r="O178" s="187" t="s">
        <v>422</v>
      </c>
      <c r="P178" s="195" t="s">
        <v>423</v>
      </c>
      <c r="Q178" s="352"/>
      <c r="R178" s="352"/>
      <c r="S178" s="352"/>
      <c r="T178" s="352"/>
      <c r="U178" s="352"/>
      <c r="V178" s="352"/>
      <c r="W178" s="352"/>
      <c r="X178" s="352"/>
      <c r="Y178" s="352"/>
      <c r="Z178" s="352"/>
      <c r="AA178" s="431">
        <v>27000000</v>
      </c>
      <c r="AB178" s="432"/>
      <c r="AC178" s="432"/>
      <c r="AD178" s="432">
        <f t="shared" si="72"/>
        <v>27000000</v>
      </c>
      <c r="AE178" s="433" t="s">
        <v>385</v>
      </c>
      <c r="AF178" s="432" t="s">
        <v>386</v>
      </c>
    </row>
    <row r="179" spans="1:32" ht="23.25" customHeight="1" x14ac:dyDescent="0.2">
      <c r="A179" s="297"/>
      <c r="B179" s="204"/>
      <c r="C179" s="204"/>
      <c r="D179" s="204"/>
      <c r="E179" s="309">
        <v>1703</v>
      </c>
      <c r="F179" s="188" t="s">
        <v>424</v>
      </c>
      <c r="G179" s="366"/>
      <c r="H179" s="307"/>
      <c r="I179" s="308"/>
      <c r="J179" s="309"/>
      <c r="K179" s="299"/>
      <c r="L179" s="310"/>
      <c r="M179" s="309"/>
      <c r="N179" s="311"/>
      <c r="O179" s="299"/>
      <c r="P179" s="299"/>
      <c r="Q179" s="300">
        <f>SUM(Q180)</f>
        <v>0</v>
      </c>
      <c r="R179" s="300">
        <f t="shared" ref="R179:AD179" si="73">SUM(R180)</f>
        <v>0</v>
      </c>
      <c r="S179" s="300">
        <f t="shared" si="73"/>
        <v>0</v>
      </c>
      <c r="T179" s="300">
        <f t="shared" si="73"/>
        <v>0</v>
      </c>
      <c r="U179" s="300">
        <f t="shared" si="73"/>
        <v>0</v>
      </c>
      <c r="V179" s="300">
        <f t="shared" si="73"/>
        <v>0</v>
      </c>
      <c r="W179" s="300">
        <f t="shared" si="73"/>
        <v>0</v>
      </c>
      <c r="X179" s="300">
        <f t="shared" si="73"/>
        <v>0</v>
      </c>
      <c r="Y179" s="300">
        <f t="shared" si="73"/>
        <v>0</v>
      </c>
      <c r="Z179" s="300">
        <f t="shared" si="73"/>
        <v>0</v>
      </c>
      <c r="AA179" s="300">
        <f t="shared" si="73"/>
        <v>75000000</v>
      </c>
      <c r="AB179" s="300">
        <f t="shared" si="73"/>
        <v>0</v>
      </c>
      <c r="AC179" s="300">
        <f t="shared" si="73"/>
        <v>0</v>
      </c>
      <c r="AD179" s="300">
        <f t="shared" si="73"/>
        <v>75000000</v>
      </c>
      <c r="AE179" s="300" t="s">
        <v>38</v>
      </c>
      <c r="AF179" s="312"/>
    </row>
    <row r="180" spans="1:32" ht="187.5" customHeight="1" x14ac:dyDescent="0.2">
      <c r="A180" s="297"/>
      <c r="B180" s="204"/>
      <c r="C180" s="204"/>
      <c r="D180" s="204"/>
      <c r="E180" s="200"/>
      <c r="F180" s="209"/>
      <c r="G180" s="195" t="s">
        <v>378</v>
      </c>
      <c r="H180" s="198">
        <v>1703013</v>
      </c>
      <c r="I180" s="195" t="s">
        <v>1283</v>
      </c>
      <c r="J180" s="383" t="s">
        <v>425</v>
      </c>
      <c r="K180" s="246" t="s">
        <v>426</v>
      </c>
      <c r="L180" s="405" t="s">
        <v>54</v>
      </c>
      <c r="M180" s="261">
        <v>100</v>
      </c>
      <c r="N180" s="266" t="s">
        <v>427</v>
      </c>
      <c r="O180" s="187" t="s">
        <v>428</v>
      </c>
      <c r="P180" s="195" t="s">
        <v>429</v>
      </c>
      <c r="Q180" s="352"/>
      <c r="R180" s="352"/>
      <c r="S180" s="352"/>
      <c r="T180" s="352"/>
      <c r="U180" s="352"/>
      <c r="V180" s="352"/>
      <c r="W180" s="352"/>
      <c r="X180" s="352"/>
      <c r="Y180" s="352"/>
      <c r="Z180" s="352"/>
      <c r="AA180" s="431">
        <v>75000000</v>
      </c>
      <c r="AB180" s="432"/>
      <c r="AC180" s="432"/>
      <c r="AD180" s="432">
        <f>SUM(Q180:AC180)</f>
        <v>75000000</v>
      </c>
      <c r="AE180" s="433" t="s">
        <v>385</v>
      </c>
      <c r="AF180" s="432" t="s">
        <v>386</v>
      </c>
    </row>
    <row r="181" spans="1:32" ht="23.25" customHeight="1" x14ac:dyDescent="0.2">
      <c r="A181" s="297"/>
      <c r="B181" s="204"/>
      <c r="C181" s="204"/>
      <c r="D181" s="204"/>
      <c r="E181" s="309">
        <v>1704</v>
      </c>
      <c r="F181" s="188" t="s">
        <v>430</v>
      </c>
      <c r="G181" s="366"/>
      <c r="H181" s="342"/>
      <c r="I181" s="308"/>
      <c r="J181" s="342"/>
      <c r="K181" s="343"/>
      <c r="L181" s="343"/>
      <c r="M181" s="343"/>
      <c r="N181" s="437"/>
      <c r="O181" s="438"/>
      <c r="P181" s="438"/>
      <c r="Q181" s="439">
        <f>SUM(Q182:Q183)</f>
        <v>0</v>
      </c>
      <c r="R181" s="439">
        <f t="shared" ref="R181:AD181" si="74">SUM(R182:R183)</f>
        <v>0</v>
      </c>
      <c r="S181" s="439">
        <f t="shared" si="74"/>
        <v>0</v>
      </c>
      <c r="T181" s="439">
        <f t="shared" si="74"/>
        <v>0</v>
      </c>
      <c r="U181" s="439">
        <f t="shared" si="74"/>
        <v>0</v>
      </c>
      <c r="V181" s="439">
        <f t="shared" si="74"/>
        <v>0</v>
      </c>
      <c r="W181" s="439">
        <f t="shared" si="74"/>
        <v>0</v>
      </c>
      <c r="X181" s="439">
        <f t="shared" si="74"/>
        <v>0</v>
      </c>
      <c r="Y181" s="439">
        <f t="shared" si="74"/>
        <v>0</v>
      </c>
      <c r="Z181" s="439">
        <f t="shared" si="74"/>
        <v>0</v>
      </c>
      <c r="AA181" s="440">
        <f>SUM(AA182:AA183)</f>
        <v>70000000</v>
      </c>
      <c r="AB181" s="440">
        <f t="shared" si="74"/>
        <v>0</v>
      </c>
      <c r="AC181" s="440">
        <f t="shared" si="74"/>
        <v>0</v>
      </c>
      <c r="AD181" s="440">
        <f t="shared" si="74"/>
        <v>70000000</v>
      </c>
      <c r="AE181" s="440"/>
      <c r="AF181" s="441"/>
    </row>
    <row r="182" spans="1:32" ht="80.25" customHeight="1" x14ac:dyDescent="0.2">
      <c r="A182" s="297"/>
      <c r="B182" s="210"/>
      <c r="C182" s="210"/>
      <c r="D182" s="210"/>
      <c r="E182" s="202"/>
      <c r="F182" s="442"/>
      <c r="G182" s="195" t="s">
        <v>378</v>
      </c>
      <c r="H182" s="198">
        <v>1704002</v>
      </c>
      <c r="I182" s="195" t="s">
        <v>79</v>
      </c>
      <c r="J182" s="197" t="s">
        <v>431</v>
      </c>
      <c r="K182" s="187" t="s">
        <v>1284</v>
      </c>
      <c r="L182" s="378" t="s">
        <v>42</v>
      </c>
      <c r="M182" s="261">
        <v>1</v>
      </c>
      <c r="N182" s="747" t="s">
        <v>432</v>
      </c>
      <c r="O182" s="746" t="s">
        <v>1244</v>
      </c>
      <c r="P182" s="734" t="s">
        <v>433</v>
      </c>
      <c r="Q182" s="297"/>
      <c r="R182" s="297"/>
      <c r="S182" s="297"/>
      <c r="T182" s="297"/>
      <c r="U182" s="297"/>
      <c r="V182" s="297"/>
      <c r="W182" s="297"/>
      <c r="X182" s="297"/>
      <c r="Y182" s="297"/>
      <c r="Z182" s="297"/>
      <c r="AA182" s="432">
        <v>42000000</v>
      </c>
      <c r="AB182" s="432"/>
      <c r="AC182" s="432"/>
      <c r="AD182" s="432">
        <f>SUM(Q182:AC182)</f>
        <v>42000000</v>
      </c>
      <c r="AE182" s="433" t="s">
        <v>385</v>
      </c>
      <c r="AF182" s="432" t="s">
        <v>386</v>
      </c>
    </row>
    <row r="183" spans="1:32" ht="105" customHeight="1" x14ac:dyDescent="0.2">
      <c r="A183" s="297"/>
      <c r="B183" s="210"/>
      <c r="C183" s="210"/>
      <c r="D183" s="210"/>
      <c r="E183" s="202"/>
      <c r="F183" s="442"/>
      <c r="G183" s="195" t="s">
        <v>378</v>
      </c>
      <c r="H183" s="198">
        <v>1704017</v>
      </c>
      <c r="I183" s="195" t="s">
        <v>434</v>
      </c>
      <c r="J183" s="197" t="s">
        <v>435</v>
      </c>
      <c r="K183" s="187" t="s">
        <v>436</v>
      </c>
      <c r="L183" s="378" t="s">
        <v>54</v>
      </c>
      <c r="M183" s="261">
        <v>150</v>
      </c>
      <c r="N183" s="747"/>
      <c r="O183" s="746"/>
      <c r="P183" s="734"/>
      <c r="Q183" s="297"/>
      <c r="R183" s="297"/>
      <c r="S183" s="297"/>
      <c r="T183" s="297"/>
      <c r="U183" s="297"/>
      <c r="V183" s="297"/>
      <c r="W183" s="297"/>
      <c r="X183" s="297"/>
      <c r="Y183" s="297"/>
      <c r="Z183" s="297"/>
      <c r="AA183" s="432">
        <v>28000000</v>
      </c>
      <c r="AB183" s="432"/>
      <c r="AC183" s="432"/>
      <c r="AD183" s="432">
        <f>SUM(Q183:AC183)</f>
        <v>28000000</v>
      </c>
      <c r="AE183" s="433" t="s">
        <v>385</v>
      </c>
      <c r="AF183" s="432" t="s">
        <v>386</v>
      </c>
    </row>
    <row r="184" spans="1:32" ht="21.75" customHeight="1" x14ac:dyDescent="0.2">
      <c r="A184" s="297"/>
      <c r="B184" s="204"/>
      <c r="C184" s="204"/>
      <c r="D184" s="204"/>
      <c r="E184" s="309">
        <v>1706</v>
      </c>
      <c r="F184" s="188" t="s">
        <v>437</v>
      </c>
      <c r="G184" s="366"/>
      <c r="H184" s="307"/>
      <c r="I184" s="308"/>
      <c r="J184" s="309"/>
      <c r="K184" s="299"/>
      <c r="L184" s="310"/>
      <c r="M184" s="309"/>
      <c r="N184" s="311"/>
      <c r="O184" s="299"/>
      <c r="P184" s="299"/>
      <c r="Q184" s="300">
        <f>SUM(Q185)</f>
        <v>0</v>
      </c>
      <c r="R184" s="300">
        <f t="shared" ref="R184:AD184" si="75">SUM(R185)</f>
        <v>0</v>
      </c>
      <c r="S184" s="300">
        <f t="shared" si="75"/>
        <v>0</v>
      </c>
      <c r="T184" s="300">
        <f t="shared" si="75"/>
        <v>0</v>
      </c>
      <c r="U184" s="300">
        <f t="shared" si="75"/>
        <v>0</v>
      </c>
      <c r="V184" s="300">
        <f t="shared" si="75"/>
        <v>0</v>
      </c>
      <c r="W184" s="300">
        <f t="shared" si="75"/>
        <v>0</v>
      </c>
      <c r="X184" s="300">
        <f t="shared" si="75"/>
        <v>0</v>
      </c>
      <c r="Y184" s="300">
        <f t="shared" si="75"/>
        <v>0</v>
      </c>
      <c r="Z184" s="300">
        <f t="shared" si="75"/>
        <v>0</v>
      </c>
      <c r="AA184" s="300">
        <f t="shared" si="75"/>
        <v>20000000</v>
      </c>
      <c r="AB184" s="300">
        <f t="shared" si="75"/>
        <v>0</v>
      </c>
      <c r="AC184" s="300">
        <f t="shared" si="75"/>
        <v>0</v>
      </c>
      <c r="AD184" s="300">
        <f t="shared" si="75"/>
        <v>20000000</v>
      </c>
      <c r="AE184" s="300"/>
      <c r="AF184" s="312"/>
    </row>
    <row r="185" spans="1:32" ht="148.5" customHeight="1" x14ac:dyDescent="0.2">
      <c r="A185" s="297"/>
      <c r="B185" s="204"/>
      <c r="C185" s="204"/>
      <c r="D185" s="204"/>
      <c r="E185" s="200"/>
      <c r="F185" s="405"/>
      <c r="G185" s="195" t="s">
        <v>378</v>
      </c>
      <c r="H185" s="198">
        <v>1706004</v>
      </c>
      <c r="I185" s="195" t="s">
        <v>438</v>
      </c>
      <c r="J185" s="197" t="s">
        <v>439</v>
      </c>
      <c r="K185" s="187" t="s">
        <v>440</v>
      </c>
      <c r="L185" s="378" t="s">
        <v>42</v>
      </c>
      <c r="M185" s="261">
        <v>10</v>
      </c>
      <c r="N185" s="266" t="s">
        <v>441</v>
      </c>
      <c r="O185" s="187" t="s">
        <v>442</v>
      </c>
      <c r="P185" s="187" t="s">
        <v>443</v>
      </c>
      <c r="Q185" s="303"/>
      <c r="R185" s="303"/>
      <c r="S185" s="303"/>
      <c r="T185" s="303"/>
      <c r="U185" s="303"/>
      <c r="V185" s="303"/>
      <c r="W185" s="303"/>
      <c r="X185" s="303"/>
      <c r="Y185" s="303"/>
      <c r="Z185" s="303"/>
      <c r="AA185" s="432">
        <v>20000000</v>
      </c>
      <c r="AB185" s="432"/>
      <c r="AC185" s="432"/>
      <c r="AD185" s="432">
        <f>SUM(Q185:AC185)</f>
        <v>20000000</v>
      </c>
      <c r="AE185" s="433" t="s">
        <v>385</v>
      </c>
      <c r="AF185" s="432" t="s">
        <v>386</v>
      </c>
    </row>
    <row r="186" spans="1:32" ht="25.5" customHeight="1" x14ac:dyDescent="0.2">
      <c r="A186" s="297"/>
      <c r="B186" s="204"/>
      <c r="C186" s="204"/>
      <c r="D186" s="204"/>
      <c r="E186" s="309">
        <v>1707</v>
      </c>
      <c r="F186" s="188" t="s">
        <v>444</v>
      </c>
      <c r="G186" s="366"/>
      <c r="H186" s="307"/>
      <c r="I186" s="308"/>
      <c r="J186" s="309"/>
      <c r="K186" s="299"/>
      <c r="L186" s="310"/>
      <c r="M186" s="309"/>
      <c r="N186" s="311"/>
      <c r="O186" s="299"/>
      <c r="P186" s="299"/>
      <c r="Q186" s="300">
        <f>SUM(Q187)</f>
        <v>0</v>
      </c>
      <c r="R186" s="300">
        <f t="shared" ref="R186:AD186" si="76">SUM(R187)</f>
        <v>0</v>
      </c>
      <c r="S186" s="300">
        <f t="shared" si="76"/>
        <v>0</v>
      </c>
      <c r="T186" s="300">
        <f t="shared" si="76"/>
        <v>0</v>
      </c>
      <c r="U186" s="300">
        <f t="shared" si="76"/>
        <v>0</v>
      </c>
      <c r="V186" s="300">
        <f t="shared" si="76"/>
        <v>0</v>
      </c>
      <c r="W186" s="300">
        <f t="shared" si="76"/>
        <v>0</v>
      </c>
      <c r="X186" s="300">
        <f t="shared" si="76"/>
        <v>0</v>
      </c>
      <c r="Y186" s="300">
        <f t="shared" si="76"/>
        <v>0</v>
      </c>
      <c r="Z186" s="300">
        <f t="shared" si="76"/>
        <v>0</v>
      </c>
      <c r="AA186" s="300">
        <f>SUM(AA187)</f>
        <v>43000000</v>
      </c>
      <c r="AB186" s="300">
        <f t="shared" si="76"/>
        <v>0</v>
      </c>
      <c r="AC186" s="300">
        <f t="shared" si="76"/>
        <v>0</v>
      </c>
      <c r="AD186" s="300">
        <f t="shared" si="76"/>
        <v>43000000</v>
      </c>
      <c r="AE186" s="300"/>
      <c r="AF186" s="312"/>
    </row>
    <row r="187" spans="1:32" ht="156" customHeight="1" x14ac:dyDescent="0.2">
      <c r="A187" s="297"/>
      <c r="B187" s="204"/>
      <c r="C187" s="204"/>
      <c r="D187" s="204"/>
      <c r="E187" s="200"/>
      <c r="F187" s="209"/>
      <c r="G187" s="195" t="s">
        <v>378</v>
      </c>
      <c r="H187" s="198">
        <v>1707069</v>
      </c>
      <c r="I187" s="195" t="s">
        <v>445</v>
      </c>
      <c r="J187" s="197" t="s">
        <v>446</v>
      </c>
      <c r="K187" s="187" t="s">
        <v>447</v>
      </c>
      <c r="L187" s="378" t="s">
        <v>54</v>
      </c>
      <c r="M187" s="261">
        <v>5</v>
      </c>
      <c r="N187" s="266" t="s">
        <v>448</v>
      </c>
      <c r="O187" s="187" t="s">
        <v>449</v>
      </c>
      <c r="P187" s="195" t="s">
        <v>450</v>
      </c>
      <c r="Q187" s="352"/>
      <c r="R187" s="352"/>
      <c r="S187" s="352"/>
      <c r="T187" s="352"/>
      <c r="U187" s="352"/>
      <c r="V187" s="352"/>
      <c r="W187" s="352"/>
      <c r="X187" s="352"/>
      <c r="Y187" s="352"/>
      <c r="Z187" s="352"/>
      <c r="AA187" s="431">
        <v>43000000</v>
      </c>
      <c r="AB187" s="432"/>
      <c r="AC187" s="432"/>
      <c r="AD187" s="432">
        <f>SUM(Q187:AC187)</f>
        <v>43000000</v>
      </c>
      <c r="AE187" s="433" t="s">
        <v>385</v>
      </c>
      <c r="AF187" s="432" t="s">
        <v>386</v>
      </c>
    </row>
    <row r="188" spans="1:32" ht="29.25" customHeight="1" x14ac:dyDescent="0.2">
      <c r="A188" s="297"/>
      <c r="B188" s="204"/>
      <c r="C188" s="204"/>
      <c r="D188" s="204"/>
      <c r="E188" s="309">
        <v>1708</v>
      </c>
      <c r="F188" s="188" t="s">
        <v>451</v>
      </c>
      <c r="G188" s="366"/>
      <c r="H188" s="307"/>
      <c r="I188" s="308"/>
      <c r="J188" s="309"/>
      <c r="K188" s="299"/>
      <c r="L188" s="310"/>
      <c r="M188" s="309"/>
      <c r="N188" s="311"/>
      <c r="O188" s="299"/>
      <c r="P188" s="299"/>
      <c r="Q188" s="300">
        <f>SUM(Q189:Q190)</f>
        <v>0</v>
      </c>
      <c r="R188" s="300">
        <f t="shared" ref="R188:AD188" si="77">SUM(R189:R190)</f>
        <v>0</v>
      </c>
      <c r="S188" s="300">
        <f t="shared" si="77"/>
        <v>0</v>
      </c>
      <c r="T188" s="300">
        <f t="shared" si="77"/>
        <v>0</v>
      </c>
      <c r="U188" s="300">
        <f t="shared" si="77"/>
        <v>0</v>
      </c>
      <c r="V188" s="300">
        <f t="shared" si="77"/>
        <v>0</v>
      </c>
      <c r="W188" s="300">
        <f t="shared" si="77"/>
        <v>0</v>
      </c>
      <c r="X188" s="300">
        <f t="shared" si="77"/>
        <v>0</v>
      </c>
      <c r="Y188" s="300">
        <f t="shared" si="77"/>
        <v>0</v>
      </c>
      <c r="Z188" s="300">
        <f t="shared" si="77"/>
        <v>0</v>
      </c>
      <c r="AA188" s="300">
        <f t="shared" si="77"/>
        <v>40000000</v>
      </c>
      <c r="AB188" s="300">
        <f t="shared" si="77"/>
        <v>0</v>
      </c>
      <c r="AC188" s="300">
        <f t="shared" si="77"/>
        <v>0</v>
      </c>
      <c r="AD188" s="300">
        <f t="shared" si="77"/>
        <v>40000000</v>
      </c>
      <c r="AE188" s="300"/>
      <c r="AF188" s="312"/>
    </row>
    <row r="189" spans="1:32" ht="88.5" customHeight="1" x14ac:dyDescent="0.2">
      <c r="A189" s="297"/>
      <c r="B189" s="204"/>
      <c r="C189" s="204"/>
      <c r="D189" s="204"/>
      <c r="E189" s="200"/>
      <c r="F189" s="405"/>
      <c r="G189" s="195" t="s">
        <v>378</v>
      </c>
      <c r="H189" s="198">
        <v>1708016</v>
      </c>
      <c r="I189" s="195" t="s">
        <v>79</v>
      </c>
      <c r="J189" s="383" t="s">
        <v>452</v>
      </c>
      <c r="K189" s="246" t="s">
        <v>453</v>
      </c>
      <c r="L189" s="378" t="s">
        <v>42</v>
      </c>
      <c r="M189" s="261">
        <v>2</v>
      </c>
      <c r="N189" s="747" t="s">
        <v>454</v>
      </c>
      <c r="O189" s="746" t="s">
        <v>455</v>
      </c>
      <c r="P189" s="736" t="s">
        <v>456</v>
      </c>
      <c r="Q189" s="303"/>
      <c r="R189" s="303"/>
      <c r="S189" s="303"/>
      <c r="T189" s="303"/>
      <c r="U189" s="303"/>
      <c r="V189" s="303"/>
      <c r="W189" s="303"/>
      <c r="X189" s="303"/>
      <c r="Y189" s="303"/>
      <c r="Z189" s="303"/>
      <c r="AA189" s="432">
        <v>20000000</v>
      </c>
      <c r="AB189" s="432"/>
      <c r="AC189" s="432"/>
      <c r="AD189" s="432">
        <f>SUM(Q189:AC189)</f>
        <v>20000000</v>
      </c>
      <c r="AE189" s="433" t="s">
        <v>385</v>
      </c>
      <c r="AF189" s="432" t="s">
        <v>386</v>
      </c>
    </row>
    <row r="190" spans="1:32" ht="187.5" customHeight="1" x14ac:dyDescent="0.2">
      <c r="A190" s="297"/>
      <c r="B190" s="204"/>
      <c r="C190" s="204"/>
      <c r="D190" s="204"/>
      <c r="E190" s="200"/>
      <c r="F190" s="209"/>
      <c r="G190" s="195" t="s">
        <v>378</v>
      </c>
      <c r="H190" s="198">
        <v>1708051</v>
      </c>
      <c r="I190" s="195" t="s">
        <v>457</v>
      </c>
      <c r="J190" s="383" t="s">
        <v>458</v>
      </c>
      <c r="K190" s="246" t="s">
        <v>459</v>
      </c>
      <c r="L190" s="209" t="s">
        <v>42</v>
      </c>
      <c r="M190" s="261">
        <v>1</v>
      </c>
      <c r="N190" s="747"/>
      <c r="O190" s="746"/>
      <c r="P190" s="738"/>
      <c r="Q190" s="303"/>
      <c r="R190" s="303"/>
      <c r="S190" s="303"/>
      <c r="T190" s="303"/>
      <c r="U190" s="303"/>
      <c r="V190" s="303"/>
      <c r="W190" s="303"/>
      <c r="X190" s="303"/>
      <c r="Y190" s="303"/>
      <c r="Z190" s="303"/>
      <c r="AA190" s="432">
        <v>20000000</v>
      </c>
      <c r="AB190" s="432"/>
      <c r="AC190" s="432"/>
      <c r="AD190" s="432">
        <f>SUM(Q190:AC190)</f>
        <v>20000000</v>
      </c>
      <c r="AE190" s="433" t="s">
        <v>385</v>
      </c>
      <c r="AF190" s="432" t="s">
        <v>386</v>
      </c>
    </row>
    <row r="191" spans="1:32" ht="27.75" customHeight="1" x14ac:dyDescent="0.2">
      <c r="A191" s="297"/>
      <c r="B191" s="204"/>
      <c r="C191" s="204"/>
      <c r="D191" s="204"/>
      <c r="E191" s="309">
        <v>1709</v>
      </c>
      <c r="F191" s="188" t="s">
        <v>460</v>
      </c>
      <c r="G191" s="366"/>
      <c r="H191" s="342"/>
      <c r="I191" s="308"/>
      <c r="J191" s="342"/>
      <c r="K191" s="343"/>
      <c r="L191" s="343"/>
      <c r="M191" s="343"/>
      <c r="N191" s="343"/>
      <c r="O191" s="438"/>
      <c r="P191" s="438"/>
      <c r="Q191" s="439">
        <f>SUM(Q192:Q194)</f>
        <v>0</v>
      </c>
      <c r="R191" s="439">
        <f t="shared" ref="R191:AD191" si="78">SUM(R192:R194)</f>
        <v>0</v>
      </c>
      <c r="S191" s="439">
        <f t="shared" si="78"/>
        <v>0</v>
      </c>
      <c r="T191" s="439">
        <f t="shared" si="78"/>
        <v>0</v>
      </c>
      <c r="U191" s="439">
        <f t="shared" si="78"/>
        <v>0</v>
      </c>
      <c r="V191" s="439">
        <f t="shared" si="78"/>
        <v>0</v>
      </c>
      <c r="W191" s="439">
        <f t="shared" si="78"/>
        <v>0</v>
      </c>
      <c r="X191" s="439">
        <f t="shared" si="78"/>
        <v>0</v>
      </c>
      <c r="Y191" s="439">
        <f t="shared" si="78"/>
        <v>0</v>
      </c>
      <c r="Z191" s="439">
        <f t="shared" si="78"/>
        <v>0</v>
      </c>
      <c r="AA191" s="440">
        <f>SUM(AA192:AA194)</f>
        <v>108000000</v>
      </c>
      <c r="AB191" s="440">
        <f t="shared" si="78"/>
        <v>0</v>
      </c>
      <c r="AC191" s="440">
        <f t="shared" si="78"/>
        <v>0</v>
      </c>
      <c r="AD191" s="440">
        <f t="shared" si="78"/>
        <v>108000000</v>
      </c>
      <c r="AE191" s="440"/>
      <c r="AF191" s="441"/>
    </row>
    <row r="192" spans="1:32" ht="75" customHeight="1" x14ac:dyDescent="0.2">
      <c r="A192" s="297"/>
      <c r="B192" s="210"/>
      <c r="C192" s="210"/>
      <c r="D192" s="210"/>
      <c r="E192" s="202"/>
      <c r="F192" s="442"/>
      <c r="G192" s="195" t="s">
        <v>378</v>
      </c>
      <c r="H192" s="198">
        <v>1709019</v>
      </c>
      <c r="I192" s="195" t="s">
        <v>461</v>
      </c>
      <c r="J192" s="383">
        <v>170901900</v>
      </c>
      <c r="K192" s="246" t="s">
        <v>461</v>
      </c>
      <c r="L192" s="378" t="s">
        <v>54</v>
      </c>
      <c r="M192" s="261">
        <v>4</v>
      </c>
      <c r="N192" s="761" t="s">
        <v>462</v>
      </c>
      <c r="O192" s="746" t="s">
        <v>463</v>
      </c>
      <c r="P192" s="734" t="s">
        <v>464</v>
      </c>
      <c r="Q192" s="297"/>
      <c r="R192" s="297"/>
      <c r="S192" s="297"/>
      <c r="T192" s="297"/>
      <c r="U192" s="297"/>
      <c r="V192" s="297"/>
      <c r="W192" s="297"/>
      <c r="X192" s="297"/>
      <c r="Y192" s="297"/>
      <c r="Z192" s="297"/>
      <c r="AA192" s="432">
        <v>43000000</v>
      </c>
      <c r="AB192" s="432"/>
      <c r="AC192" s="432"/>
      <c r="AD192" s="432">
        <f>SUM(Q192:AC192)</f>
        <v>43000000</v>
      </c>
      <c r="AE192" s="433" t="s">
        <v>385</v>
      </c>
      <c r="AF192" s="432" t="s">
        <v>386</v>
      </c>
    </row>
    <row r="193" spans="1:72" ht="48.75" customHeight="1" x14ac:dyDescent="0.2">
      <c r="A193" s="297"/>
      <c r="B193" s="210"/>
      <c r="C193" s="210"/>
      <c r="D193" s="210"/>
      <c r="E193" s="202"/>
      <c r="F193" s="442"/>
      <c r="G193" s="195" t="s">
        <v>378</v>
      </c>
      <c r="H193" s="198">
        <v>1709034</v>
      </c>
      <c r="I193" s="195" t="s">
        <v>465</v>
      </c>
      <c r="J193" s="383" t="s">
        <v>466</v>
      </c>
      <c r="K193" s="246" t="s">
        <v>465</v>
      </c>
      <c r="L193" s="378" t="s">
        <v>54</v>
      </c>
      <c r="M193" s="261">
        <v>3</v>
      </c>
      <c r="N193" s="761"/>
      <c r="O193" s="746"/>
      <c r="P193" s="734"/>
      <c r="Q193" s="297"/>
      <c r="R193" s="297"/>
      <c r="S193" s="297"/>
      <c r="T193" s="297"/>
      <c r="U193" s="297"/>
      <c r="V193" s="297"/>
      <c r="W193" s="297"/>
      <c r="X193" s="297"/>
      <c r="Y193" s="297"/>
      <c r="Z193" s="297"/>
      <c r="AA193" s="432">
        <v>43000000</v>
      </c>
      <c r="AB193" s="432"/>
      <c r="AC193" s="432"/>
      <c r="AD193" s="432">
        <f>SUM(Q193:AC193)</f>
        <v>43000000</v>
      </c>
      <c r="AE193" s="433" t="s">
        <v>385</v>
      </c>
      <c r="AF193" s="432" t="s">
        <v>386</v>
      </c>
    </row>
    <row r="194" spans="1:72" ht="77.25" customHeight="1" x14ac:dyDescent="0.2">
      <c r="A194" s="297"/>
      <c r="B194" s="210"/>
      <c r="C194" s="210"/>
      <c r="D194" s="210"/>
      <c r="E194" s="202"/>
      <c r="F194" s="442"/>
      <c r="G194" s="195" t="s">
        <v>378</v>
      </c>
      <c r="H194" s="198">
        <v>1709093</v>
      </c>
      <c r="I194" s="195" t="s">
        <v>467</v>
      </c>
      <c r="J194" s="197" t="s">
        <v>468</v>
      </c>
      <c r="K194" s="187" t="s">
        <v>469</v>
      </c>
      <c r="L194" s="378" t="s">
        <v>54</v>
      </c>
      <c r="M194" s="261">
        <v>2</v>
      </c>
      <c r="N194" s="761"/>
      <c r="O194" s="746"/>
      <c r="P194" s="734"/>
      <c r="Q194" s="297"/>
      <c r="R194" s="297"/>
      <c r="S194" s="297"/>
      <c r="T194" s="297"/>
      <c r="U194" s="297"/>
      <c r="V194" s="297"/>
      <c r="W194" s="297"/>
      <c r="X194" s="297"/>
      <c r="Y194" s="297"/>
      <c r="Z194" s="297"/>
      <c r="AA194" s="432">
        <v>22000000</v>
      </c>
      <c r="AB194" s="432"/>
      <c r="AC194" s="432"/>
      <c r="AD194" s="432">
        <f>SUM(Q194:AC194)</f>
        <v>22000000</v>
      </c>
      <c r="AE194" s="433" t="s">
        <v>385</v>
      </c>
      <c r="AF194" s="432" t="s">
        <v>386</v>
      </c>
    </row>
    <row r="195" spans="1:72" s="9" customFormat="1" ht="27.75" customHeight="1" x14ac:dyDescent="0.25">
      <c r="A195" s="279"/>
      <c r="B195" s="194"/>
      <c r="C195" s="159">
        <v>35</v>
      </c>
      <c r="D195" s="156" t="s">
        <v>1186</v>
      </c>
      <c r="E195" s="156"/>
      <c r="F195" s="287"/>
      <c r="G195" s="288"/>
      <c r="H195" s="289"/>
      <c r="I195" s="290"/>
      <c r="J195" s="291"/>
      <c r="K195" s="292"/>
      <c r="L195" s="293"/>
      <c r="M195" s="291"/>
      <c r="N195" s="392"/>
      <c r="O195" s="295"/>
      <c r="P195" s="295"/>
      <c r="Q195" s="296">
        <f>Q196</f>
        <v>0</v>
      </c>
      <c r="R195" s="296">
        <f t="shared" ref="R195:AD195" si="79">R196</f>
        <v>0</v>
      </c>
      <c r="S195" s="296">
        <f t="shared" si="79"/>
        <v>0</v>
      </c>
      <c r="T195" s="296">
        <f t="shared" si="79"/>
        <v>0</v>
      </c>
      <c r="U195" s="296">
        <f t="shared" si="79"/>
        <v>0</v>
      </c>
      <c r="V195" s="296">
        <f t="shared" si="79"/>
        <v>0</v>
      </c>
      <c r="W195" s="296">
        <f t="shared" si="79"/>
        <v>0</v>
      </c>
      <c r="X195" s="296">
        <f t="shared" si="79"/>
        <v>0</v>
      </c>
      <c r="Y195" s="296">
        <f t="shared" si="79"/>
        <v>0</v>
      </c>
      <c r="Z195" s="296">
        <f t="shared" si="79"/>
        <v>0</v>
      </c>
      <c r="AA195" s="296">
        <f t="shared" si="79"/>
        <v>36000000</v>
      </c>
      <c r="AB195" s="296">
        <f t="shared" si="79"/>
        <v>0</v>
      </c>
      <c r="AC195" s="296">
        <f t="shared" si="79"/>
        <v>0</v>
      </c>
      <c r="AD195" s="296">
        <f t="shared" si="79"/>
        <v>36000000</v>
      </c>
      <c r="AE195" s="296"/>
      <c r="AF195" s="341"/>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row>
    <row r="196" spans="1:72" ht="28.5" customHeight="1" x14ac:dyDescent="0.2">
      <c r="A196" s="297"/>
      <c r="B196" s="204"/>
      <c r="C196" s="204"/>
      <c r="D196" s="204"/>
      <c r="E196" s="309">
        <v>3502</v>
      </c>
      <c r="F196" s="188" t="s">
        <v>333</v>
      </c>
      <c r="G196" s="366"/>
      <c r="H196" s="307"/>
      <c r="I196" s="308"/>
      <c r="J196" s="309"/>
      <c r="K196" s="299"/>
      <c r="L196" s="310"/>
      <c r="M196" s="309"/>
      <c r="N196" s="311"/>
      <c r="O196" s="299"/>
      <c r="P196" s="299"/>
      <c r="Q196" s="300">
        <f>SUM(Q197:Q198)</f>
        <v>0</v>
      </c>
      <c r="R196" s="300">
        <f t="shared" ref="R196:AD196" si="80">SUM(R197:R198)</f>
        <v>0</v>
      </c>
      <c r="S196" s="300">
        <f t="shared" si="80"/>
        <v>0</v>
      </c>
      <c r="T196" s="300">
        <f t="shared" si="80"/>
        <v>0</v>
      </c>
      <c r="U196" s="300">
        <f t="shared" si="80"/>
        <v>0</v>
      </c>
      <c r="V196" s="300">
        <f t="shared" si="80"/>
        <v>0</v>
      </c>
      <c r="W196" s="300">
        <f t="shared" si="80"/>
        <v>0</v>
      </c>
      <c r="X196" s="300">
        <f t="shared" si="80"/>
        <v>0</v>
      </c>
      <c r="Y196" s="300">
        <f t="shared" si="80"/>
        <v>0</v>
      </c>
      <c r="Z196" s="300">
        <f t="shared" si="80"/>
        <v>0</v>
      </c>
      <c r="AA196" s="300">
        <f t="shared" si="80"/>
        <v>36000000</v>
      </c>
      <c r="AB196" s="300">
        <f t="shared" si="80"/>
        <v>0</v>
      </c>
      <c r="AC196" s="300">
        <f t="shared" si="80"/>
        <v>0</v>
      </c>
      <c r="AD196" s="300">
        <f t="shared" si="80"/>
        <v>36000000</v>
      </c>
      <c r="AE196" s="300"/>
      <c r="AF196" s="312"/>
    </row>
    <row r="197" spans="1:72" ht="90.75" customHeight="1" x14ac:dyDescent="0.2">
      <c r="A197" s="297"/>
      <c r="B197" s="204"/>
      <c r="C197" s="204"/>
      <c r="D197" s="204"/>
      <c r="E197" s="197"/>
      <c r="F197" s="209"/>
      <c r="G197" s="195" t="s">
        <v>470</v>
      </c>
      <c r="H197" s="198">
        <v>3502017</v>
      </c>
      <c r="I197" s="195" t="s">
        <v>471</v>
      </c>
      <c r="J197" s="383" t="s">
        <v>472</v>
      </c>
      <c r="K197" s="246" t="s">
        <v>473</v>
      </c>
      <c r="L197" s="261" t="s">
        <v>42</v>
      </c>
      <c r="M197" s="261">
        <v>6</v>
      </c>
      <c r="N197" s="748" t="s">
        <v>474</v>
      </c>
      <c r="O197" s="746" t="s">
        <v>475</v>
      </c>
      <c r="P197" s="734" t="s">
        <v>476</v>
      </c>
      <c r="Q197" s="303"/>
      <c r="R197" s="303"/>
      <c r="S197" s="303"/>
      <c r="T197" s="303"/>
      <c r="U197" s="303"/>
      <c r="V197" s="303"/>
      <c r="W197" s="303"/>
      <c r="X197" s="303"/>
      <c r="Y197" s="303"/>
      <c r="Z197" s="303"/>
      <c r="AA197" s="432">
        <v>18000000</v>
      </c>
      <c r="AB197" s="432"/>
      <c r="AC197" s="432"/>
      <c r="AD197" s="432">
        <f>SUM(Q197:AC197)</f>
        <v>18000000</v>
      </c>
      <c r="AE197" s="433" t="s">
        <v>385</v>
      </c>
      <c r="AF197" s="432" t="s">
        <v>386</v>
      </c>
    </row>
    <row r="198" spans="1:72" s="9" customFormat="1" ht="130.5" customHeight="1" x14ac:dyDescent="0.25">
      <c r="A198" s="279"/>
      <c r="B198" s="214"/>
      <c r="C198" s="214"/>
      <c r="D198" s="214"/>
      <c r="E198" s="197"/>
      <c r="F198" s="209"/>
      <c r="G198" s="195" t="s">
        <v>470</v>
      </c>
      <c r="H198" s="198">
        <v>3502007</v>
      </c>
      <c r="I198" s="195" t="s">
        <v>477</v>
      </c>
      <c r="J198" s="197" t="s">
        <v>343</v>
      </c>
      <c r="K198" s="187" t="s">
        <v>344</v>
      </c>
      <c r="L198" s="222" t="s">
        <v>42</v>
      </c>
      <c r="M198" s="196">
        <v>5</v>
      </c>
      <c r="N198" s="748"/>
      <c r="O198" s="746"/>
      <c r="P198" s="734"/>
      <c r="Q198" s="303"/>
      <c r="R198" s="303"/>
      <c r="S198" s="303"/>
      <c r="T198" s="303"/>
      <c r="U198" s="303"/>
      <c r="V198" s="303"/>
      <c r="W198" s="303"/>
      <c r="X198" s="303"/>
      <c r="Y198" s="303"/>
      <c r="Z198" s="303"/>
      <c r="AA198" s="432">
        <v>18000000</v>
      </c>
      <c r="AB198" s="432"/>
      <c r="AC198" s="432"/>
      <c r="AD198" s="432">
        <f>SUM(Q198:AC198)</f>
        <v>18000000</v>
      </c>
      <c r="AE198" s="433" t="s">
        <v>385</v>
      </c>
      <c r="AF198" s="432" t="s">
        <v>386</v>
      </c>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row>
    <row r="199" spans="1:72" ht="24.75" customHeight="1" x14ac:dyDescent="0.2">
      <c r="A199" s="297"/>
      <c r="B199" s="280">
        <v>3</v>
      </c>
      <c r="C199" s="158" t="s">
        <v>150</v>
      </c>
      <c r="D199" s="348"/>
      <c r="E199" s="155"/>
      <c r="F199" s="155"/>
      <c r="G199" s="155"/>
      <c r="H199" s="281"/>
      <c r="I199" s="282"/>
      <c r="J199" s="280"/>
      <c r="K199" s="283"/>
      <c r="L199" s="284"/>
      <c r="M199" s="280"/>
      <c r="N199" s="285"/>
      <c r="O199" s="283"/>
      <c r="P199" s="283"/>
      <c r="Q199" s="286">
        <f>Q200</f>
        <v>0</v>
      </c>
      <c r="R199" s="286">
        <f t="shared" ref="R199:AC199" si="81">R200</f>
        <v>0</v>
      </c>
      <c r="S199" s="286">
        <f t="shared" si="81"/>
        <v>0</v>
      </c>
      <c r="T199" s="286">
        <f t="shared" si="81"/>
        <v>0</v>
      </c>
      <c r="U199" s="286">
        <f t="shared" si="81"/>
        <v>0</v>
      </c>
      <c r="V199" s="286">
        <f t="shared" si="81"/>
        <v>0</v>
      </c>
      <c r="W199" s="286">
        <f t="shared" si="81"/>
        <v>0</v>
      </c>
      <c r="X199" s="286">
        <f t="shared" si="81"/>
        <v>0</v>
      </c>
      <c r="Y199" s="286">
        <f t="shared" si="81"/>
        <v>0</v>
      </c>
      <c r="Z199" s="286">
        <f t="shared" si="81"/>
        <v>0</v>
      </c>
      <c r="AA199" s="286">
        <f t="shared" si="81"/>
        <v>1347248186</v>
      </c>
      <c r="AB199" s="286">
        <f t="shared" si="81"/>
        <v>0</v>
      </c>
      <c r="AC199" s="286">
        <f t="shared" si="81"/>
        <v>0</v>
      </c>
      <c r="AD199" s="286">
        <f>AD200</f>
        <v>1347248186</v>
      </c>
      <c r="AE199" s="286"/>
      <c r="AF199" s="340"/>
    </row>
    <row r="200" spans="1:72" s="9" customFormat="1" ht="27.75" customHeight="1" x14ac:dyDescent="0.25">
      <c r="A200" s="279"/>
      <c r="B200" s="194"/>
      <c r="C200" s="159">
        <v>32</v>
      </c>
      <c r="D200" s="156" t="s">
        <v>1185</v>
      </c>
      <c r="E200" s="156"/>
      <c r="F200" s="287"/>
      <c r="G200" s="288"/>
      <c r="H200" s="289"/>
      <c r="I200" s="290"/>
      <c r="J200" s="291"/>
      <c r="K200" s="292"/>
      <c r="L200" s="293"/>
      <c r="M200" s="291"/>
      <c r="N200" s="392"/>
      <c r="O200" s="295"/>
      <c r="P200" s="295"/>
      <c r="Q200" s="296">
        <f>Q201+Q204+Q211+Q217+Q213</f>
        <v>0</v>
      </c>
      <c r="R200" s="296">
        <f t="shared" ref="R200:AD200" si="82">R201+R204+R211+R217+R213</f>
        <v>0</v>
      </c>
      <c r="S200" s="296">
        <f t="shared" si="82"/>
        <v>0</v>
      </c>
      <c r="T200" s="296">
        <f t="shared" si="82"/>
        <v>0</v>
      </c>
      <c r="U200" s="296">
        <f t="shared" si="82"/>
        <v>0</v>
      </c>
      <c r="V200" s="296">
        <f t="shared" si="82"/>
        <v>0</v>
      </c>
      <c r="W200" s="296">
        <f t="shared" si="82"/>
        <v>0</v>
      </c>
      <c r="X200" s="296">
        <f t="shared" si="82"/>
        <v>0</v>
      </c>
      <c r="Y200" s="296">
        <f t="shared" si="82"/>
        <v>0</v>
      </c>
      <c r="Z200" s="296">
        <f t="shared" si="82"/>
        <v>0</v>
      </c>
      <c r="AA200" s="296">
        <f t="shared" si="82"/>
        <v>1347248186</v>
      </c>
      <c r="AB200" s="296">
        <f t="shared" si="82"/>
        <v>0</v>
      </c>
      <c r="AC200" s="296">
        <f t="shared" si="82"/>
        <v>0</v>
      </c>
      <c r="AD200" s="296">
        <f t="shared" si="82"/>
        <v>1347248186</v>
      </c>
      <c r="AE200" s="296"/>
      <c r="AF200" s="341"/>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row>
    <row r="201" spans="1:72" ht="29.25" customHeight="1" x14ac:dyDescent="0.2">
      <c r="A201" s="297"/>
      <c r="B201" s="204"/>
      <c r="C201" s="204"/>
      <c r="D201" s="204"/>
      <c r="E201" s="309" t="s">
        <v>478</v>
      </c>
      <c r="F201" s="188" t="s">
        <v>479</v>
      </c>
      <c r="G201" s="366"/>
      <c r="H201" s="307"/>
      <c r="I201" s="308"/>
      <c r="J201" s="309"/>
      <c r="K201" s="299"/>
      <c r="L201" s="310"/>
      <c r="M201" s="309"/>
      <c r="N201" s="311"/>
      <c r="O201" s="299"/>
      <c r="P201" s="299"/>
      <c r="Q201" s="300">
        <f>SUM(Q202:Q203)</f>
        <v>0</v>
      </c>
      <c r="R201" s="300">
        <f t="shared" ref="R201:AD201" si="83">SUM(R202:R203)</f>
        <v>0</v>
      </c>
      <c r="S201" s="300">
        <f t="shared" si="83"/>
        <v>0</v>
      </c>
      <c r="T201" s="300">
        <f t="shared" si="83"/>
        <v>0</v>
      </c>
      <c r="U201" s="300">
        <f t="shared" si="83"/>
        <v>0</v>
      </c>
      <c r="V201" s="300">
        <f t="shared" si="83"/>
        <v>0</v>
      </c>
      <c r="W201" s="300">
        <f t="shared" si="83"/>
        <v>0</v>
      </c>
      <c r="X201" s="300">
        <f t="shared" si="83"/>
        <v>0</v>
      </c>
      <c r="Y201" s="300">
        <f t="shared" si="83"/>
        <v>0</v>
      </c>
      <c r="Z201" s="300">
        <f t="shared" si="83"/>
        <v>0</v>
      </c>
      <c r="AA201" s="300">
        <f t="shared" si="83"/>
        <v>82000000</v>
      </c>
      <c r="AB201" s="300">
        <f t="shared" si="83"/>
        <v>0</v>
      </c>
      <c r="AC201" s="300">
        <f t="shared" si="83"/>
        <v>0</v>
      </c>
      <c r="AD201" s="300">
        <f t="shared" si="83"/>
        <v>82000000</v>
      </c>
      <c r="AE201" s="300"/>
      <c r="AF201" s="312"/>
    </row>
    <row r="202" spans="1:72" ht="131.25" customHeight="1" x14ac:dyDescent="0.2">
      <c r="A202" s="297"/>
      <c r="B202" s="204"/>
      <c r="C202" s="204"/>
      <c r="D202" s="204"/>
      <c r="E202" s="443"/>
      <c r="F202" s="444"/>
      <c r="G202" s="195" t="s">
        <v>165</v>
      </c>
      <c r="H202" s="198">
        <v>3201013</v>
      </c>
      <c r="I202" s="195" t="s">
        <v>480</v>
      </c>
      <c r="J202" s="383" t="s">
        <v>481</v>
      </c>
      <c r="K202" s="246" t="s">
        <v>1353</v>
      </c>
      <c r="L202" s="445" t="s">
        <v>54</v>
      </c>
      <c r="M202" s="261">
        <v>1</v>
      </c>
      <c r="N202" s="761" t="s">
        <v>482</v>
      </c>
      <c r="O202" s="753" t="s">
        <v>1245</v>
      </c>
      <c r="P202" s="749" t="s">
        <v>483</v>
      </c>
      <c r="Q202" s="446"/>
      <c r="R202" s="446"/>
      <c r="S202" s="446"/>
      <c r="T202" s="446"/>
      <c r="U202" s="446"/>
      <c r="V202" s="446"/>
      <c r="W202" s="446"/>
      <c r="X202" s="446"/>
      <c r="Y202" s="446"/>
      <c r="Z202" s="446"/>
      <c r="AA202" s="432">
        <v>32000000</v>
      </c>
      <c r="AB202" s="432"/>
      <c r="AC202" s="432"/>
      <c r="AD202" s="432">
        <f>SUM(Q202:AC202)</f>
        <v>32000000</v>
      </c>
      <c r="AE202" s="433" t="s">
        <v>385</v>
      </c>
      <c r="AF202" s="432" t="s">
        <v>386</v>
      </c>
    </row>
    <row r="203" spans="1:72" ht="86.25" customHeight="1" x14ac:dyDescent="0.2">
      <c r="A203" s="297"/>
      <c r="B203" s="204"/>
      <c r="C203" s="204"/>
      <c r="D203" s="204"/>
      <c r="E203" s="443"/>
      <c r="F203" s="444"/>
      <c r="G203" s="195" t="s">
        <v>165</v>
      </c>
      <c r="H203" s="198">
        <v>3201008</v>
      </c>
      <c r="I203" s="195" t="s">
        <v>484</v>
      </c>
      <c r="J203" s="383" t="s">
        <v>485</v>
      </c>
      <c r="K203" s="246" t="s">
        <v>486</v>
      </c>
      <c r="L203" s="378" t="s">
        <v>54</v>
      </c>
      <c r="M203" s="261">
        <v>2</v>
      </c>
      <c r="N203" s="761"/>
      <c r="O203" s="753"/>
      <c r="P203" s="749"/>
      <c r="Q203" s="446"/>
      <c r="R203" s="446"/>
      <c r="S203" s="446"/>
      <c r="T203" s="446"/>
      <c r="U203" s="446"/>
      <c r="V203" s="446"/>
      <c r="W203" s="446"/>
      <c r="X203" s="446"/>
      <c r="Y203" s="446"/>
      <c r="Z203" s="446"/>
      <c r="AA203" s="432">
        <v>50000000</v>
      </c>
      <c r="AB203" s="432"/>
      <c r="AC203" s="432"/>
      <c r="AD203" s="432">
        <f>SUM(Q203:AC203)</f>
        <v>50000000</v>
      </c>
      <c r="AE203" s="433" t="s">
        <v>385</v>
      </c>
      <c r="AF203" s="432" t="s">
        <v>386</v>
      </c>
    </row>
    <row r="204" spans="1:72" ht="33" customHeight="1" x14ac:dyDescent="0.2">
      <c r="A204" s="297"/>
      <c r="B204" s="204"/>
      <c r="C204" s="204"/>
      <c r="D204" s="204"/>
      <c r="E204" s="309">
        <v>3202</v>
      </c>
      <c r="F204" s="188" t="s">
        <v>487</v>
      </c>
      <c r="G204" s="366"/>
      <c r="H204" s="307"/>
      <c r="I204" s="308"/>
      <c r="J204" s="309"/>
      <c r="K204" s="299"/>
      <c r="L204" s="310"/>
      <c r="M204" s="309"/>
      <c r="N204" s="311"/>
      <c r="O204" s="299"/>
      <c r="P204" s="299"/>
      <c r="Q204" s="300">
        <f>SUM(Q205:Q210)</f>
        <v>0</v>
      </c>
      <c r="R204" s="300">
        <f t="shared" ref="R204:AC204" si="84">SUM(R205:R210)</f>
        <v>0</v>
      </c>
      <c r="S204" s="300">
        <f t="shared" si="84"/>
        <v>0</v>
      </c>
      <c r="T204" s="300">
        <f t="shared" si="84"/>
        <v>0</v>
      </c>
      <c r="U204" s="300">
        <f t="shared" si="84"/>
        <v>0</v>
      </c>
      <c r="V204" s="300">
        <f t="shared" si="84"/>
        <v>0</v>
      </c>
      <c r="W204" s="300">
        <f t="shared" si="84"/>
        <v>0</v>
      </c>
      <c r="X204" s="300">
        <f t="shared" si="84"/>
        <v>0</v>
      </c>
      <c r="Y204" s="300">
        <f t="shared" si="84"/>
        <v>0</v>
      </c>
      <c r="Z204" s="300">
        <f t="shared" si="84"/>
        <v>0</v>
      </c>
      <c r="AA204" s="300">
        <f t="shared" si="84"/>
        <v>945248186</v>
      </c>
      <c r="AB204" s="300">
        <f t="shared" si="84"/>
        <v>0</v>
      </c>
      <c r="AC204" s="300">
        <f t="shared" si="84"/>
        <v>0</v>
      </c>
      <c r="AD204" s="300">
        <f>SUM(AD205:AD210)</f>
        <v>945248186</v>
      </c>
      <c r="AE204" s="300">
        <f>SUM(AE205:AE210)</f>
        <v>0</v>
      </c>
      <c r="AF204" s="312">
        <f>SUM(AF205:AF210)</f>
        <v>0</v>
      </c>
    </row>
    <row r="205" spans="1:72" ht="48.75" customHeight="1" x14ac:dyDescent="0.2">
      <c r="A205" s="297"/>
      <c r="B205" s="204"/>
      <c r="C205" s="204"/>
      <c r="D205" s="204"/>
      <c r="E205" s="200"/>
      <c r="F205" s="209"/>
      <c r="G205" s="195" t="s">
        <v>165</v>
      </c>
      <c r="H205" s="198" t="s">
        <v>488</v>
      </c>
      <c r="I205" s="195" t="s">
        <v>489</v>
      </c>
      <c r="J205" s="383" t="s">
        <v>490</v>
      </c>
      <c r="K205" s="246" t="s">
        <v>491</v>
      </c>
      <c r="L205" s="378" t="s">
        <v>54</v>
      </c>
      <c r="M205" s="261">
        <v>600</v>
      </c>
      <c r="N205" s="748" t="s">
        <v>492</v>
      </c>
      <c r="O205" s="734" t="s">
        <v>493</v>
      </c>
      <c r="P205" s="734" t="s">
        <v>494</v>
      </c>
      <c r="Q205" s="303"/>
      <c r="R205" s="303"/>
      <c r="S205" s="303"/>
      <c r="T205" s="303"/>
      <c r="U205" s="303"/>
      <c r="V205" s="303"/>
      <c r="W205" s="303"/>
      <c r="X205" s="303"/>
      <c r="Y205" s="303"/>
      <c r="Z205" s="303"/>
      <c r="AA205" s="447">
        <f>200000000+20000000</f>
        <v>220000000</v>
      </c>
      <c r="AB205" s="432"/>
      <c r="AC205" s="432"/>
      <c r="AD205" s="432">
        <f t="shared" ref="AD205:AD210" si="85">SUM(Q205:AC205)</f>
        <v>220000000</v>
      </c>
      <c r="AE205" s="433" t="s">
        <v>385</v>
      </c>
      <c r="AF205" s="432" t="s">
        <v>386</v>
      </c>
    </row>
    <row r="206" spans="1:72" ht="53.25" customHeight="1" x14ac:dyDescent="0.2">
      <c r="A206" s="297"/>
      <c r="B206" s="204"/>
      <c r="C206" s="204"/>
      <c r="D206" s="204"/>
      <c r="E206" s="200"/>
      <c r="F206" s="209"/>
      <c r="G206" s="195" t="s">
        <v>165</v>
      </c>
      <c r="H206" s="198">
        <v>3202037</v>
      </c>
      <c r="I206" s="195" t="s">
        <v>495</v>
      </c>
      <c r="J206" s="383" t="s">
        <v>496</v>
      </c>
      <c r="K206" s="246" t="s">
        <v>497</v>
      </c>
      <c r="L206" s="378" t="s">
        <v>54</v>
      </c>
      <c r="M206" s="261">
        <v>40</v>
      </c>
      <c r="N206" s="748"/>
      <c r="O206" s="734"/>
      <c r="P206" s="734"/>
      <c r="Q206" s="303"/>
      <c r="R206" s="303"/>
      <c r="S206" s="303"/>
      <c r="T206" s="303"/>
      <c r="U206" s="303"/>
      <c r="V206" s="303"/>
      <c r="W206" s="303"/>
      <c r="X206" s="303"/>
      <c r="Y206" s="303"/>
      <c r="Z206" s="303"/>
      <c r="AA206" s="447">
        <f>82575952+12672234</f>
        <v>95248186</v>
      </c>
      <c r="AB206" s="432"/>
      <c r="AC206" s="432"/>
      <c r="AD206" s="432">
        <f t="shared" si="85"/>
        <v>95248186</v>
      </c>
      <c r="AE206" s="433" t="s">
        <v>385</v>
      </c>
      <c r="AF206" s="432" t="s">
        <v>386</v>
      </c>
    </row>
    <row r="207" spans="1:72" s="82" customFormat="1" ht="99" customHeight="1" x14ac:dyDescent="0.2">
      <c r="A207" s="573"/>
      <c r="B207" s="194"/>
      <c r="C207" s="194"/>
      <c r="D207" s="194"/>
      <c r="E207" s="574"/>
      <c r="F207" s="266"/>
      <c r="G207" s="192" t="s">
        <v>165</v>
      </c>
      <c r="H207" s="578">
        <v>3202037</v>
      </c>
      <c r="I207" s="192" t="s">
        <v>498</v>
      </c>
      <c r="J207" s="578">
        <v>320203700</v>
      </c>
      <c r="K207" s="206" t="s">
        <v>499</v>
      </c>
      <c r="L207" s="445" t="s">
        <v>54</v>
      </c>
      <c r="M207" s="445">
        <v>60</v>
      </c>
      <c r="N207" s="748"/>
      <c r="O207" s="734"/>
      <c r="P207" s="734"/>
      <c r="Q207" s="303"/>
      <c r="R207" s="303"/>
      <c r="S207" s="303"/>
      <c r="T207" s="303"/>
      <c r="U207" s="303"/>
      <c r="V207" s="303"/>
      <c r="W207" s="303"/>
      <c r="X207" s="303"/>
      <c r="Y207" s="303"/>
      <c r="Z207" s="303"/>
      <c r="AA207" s="432">
        <f>400000000+20000000</f>
        <v>420000000</v>
      </c>
      <c r="AB207" s="432"/>
      <c r="AC207" s="432"/>
      <c r="AD207" s="432">
        <f t="shared" si="85"/>
        <v>420000000</v>
      </c>
      <c r="AE207" s="433" t="s">
        <v>385</v>
      </c>
      <c r="AF207" s="432" t="s">
        <v>386</v>
      </c>
    </row>
    <row r="208" spans="1:72" s="82" customFormat="1" ht="85.5" customHeight="1" x14ac:dyDescent="0.2">
      <c r="A208" s="573"/>
      <c r="B208" s="194"/>
      <c r="C208" s="194"/>
      <c r="D208" s="194"/>
      <c r="E208" s="574"/>
      <c r="F208" s="266"/>
      <c r="G208" s="192" t="s">
        <v>165</v>
      </c>
      <c r="H208" s="198">
        <v>3202043</v>
      </c>
      <c r="I208" s="192" t="s">
        <v>500</v>
      </c>
      <c r="J208" s="383">
        <v>320204300</v>
      </c>
      <c r="K208" s="206" t="s">
        <v>501</v>
      </c>
      <c r="L208" s="445" t="s">
        <v>42</v>
      </c>
      <c r="M208" s="579">
        <v>1</v>
      </c>
      <c r="N208" s="748"/>
      <c r="O208" s="734"/>
      <c r="P208" s="734"/>
      <c r="Q208" s="303"/>
      <c r="R208" s="303"/>
      <c r="S208" s="303"/>
      <c r="T208" s="303"/>
      <c r="U208" s="303"/>
      <c r="V208" s="303"/>
      <c r="W208" s="303"/>
      <c r="X208" s="303"/>
      <c r="Y208" s="303"/>
      <c r="Z208" s="303"/>
      <c r="AA208" s="432">
        <f>100000000+20000000</f>
        <v>120000000</v>
      </c>
      <c r="AB208" s="432"/>
      <c r="AC208" s="432"/>
      <c r="AD208" s="432">
        <f t="shared" si="85"/>
        <v>120000000</v>
      </c>
      <c r="AE208" s="433" t="s">
        <v>385</v>
      </c>
      <c r="AF208" s="432" t="s">
        <v>386</v>
      </c>
    </row>
    <row r="209" spans="1:72" s="82" customFormat="1" ht="216.75" customHeight="1" x14ac:dyDescent="0.2">
      <c r="A209" s="573"/>
      <c r="B209" s="194"/>
      <c r="C209" s="194"/>
      <c r="D209" s="194"/>
      <c r="E209" s="574"/>
      <c r="F209" s="266"/>
      <c r="G209" s="192" t="s">
        <v>165</v>
      </c>
      <c r="H209" s="683">
        <v>3202014</v>
      </c>
      <c r="I209" s="679" t="s">
        <v>502</v>
      </c>
      <c r="J209" s="683">
        <v>320201402</v>
      </c>
      <c r="K209" s="206" t="s">
        <v>503</v>
      </c>
      <c r="L209" s="445" t="s">
        <v>42</v>
      </c>
      <c r="M209" s="579">
        <v>1</v>
      </c>
      <c r="N209" s="266" t="s">
        <v>504</v>
      </c>
      <c r="O209" s="191" t="s">
        <v>1246</v>
      </c>
      <c r="P209" s="192" t="s">
        <v>505</v>
      </c>
      <c r="Q209" s="303"/>
      <c r="R209" s="303"/>
      <c r="S209" s="303"/>
      <c r="T209" s="303"/>
      <c r="U209" s="303"/>
      <c r="V209" s="303"/>
      <c r="W209" s="303"/>
      <c r="X209" s="303"/>
      <c r="Y209" s="303"/>
      <c r="Z209" s="303"/>
      <c r="AA209" s="432">
        <v>36000000</v>
      </c>
      <c r="AB209" s="432"/>
      <c r="AC209" s="432"/>
      <c r="AD209" s="432">
        <f t="shared" si="85"/>
        <v>36000000</v>
      </c>
      <c r="AE209" s="433" t="s">
        <v>385</v>
      </c>
      <c r="AF209" s="432" t="s">
        <v>386</v>
      </c>
    </row>
    <row r="210" spans="1:72" s="82" customFormat="1" ht="204" customHeight="1" x14ac:dyDescent="0.2">
      <c r="A210" s="573"/>
      <c r="B210" s="194"/>
      <c r="C210" s="194"/>
      <c r="D210" s="194"/>
      <c r="E210" s="574"/>
      <c r="F210" s="266"/>
      <c r="G210" s="192" t="s">
        <v>165</v>
      </c>
      <c r="H210" s="190">
        <v>3202014</v>
      </c>
      <c r="I210" s="192" t="s">
        <v>506</v>
      </c>
      <c r="J210" s="190">
        <v>320201402</v>
      </c>
      <c r="K210" s="206" t="s">
        <v>507</v>
      </c>
      <c r="L210" s="445" t="s">
        <v>54</v>
      </c>
      <c r="M210" s="579">
        <v>1</v>
      </c>
      <c r="N210" s="266" t="s">
        <v>508</v>
      </c>
      <c r="O210" s="191" t="s">
        <v>509</v>
      </c>
      <c r="P210" s="192" t="s">
        <v>510</v>
      </c>
      <c r="Q210" s="303"/>
      <c r="R210" s="303"/>
      <c r="S210" s="303"/>
      <c r="T210" s="303"/>
      <c r="U210" s="303"/>
      <c r="V210" s="303"/>
      <c r="W210" s="303"/>
      <c r="X210" s="303"/>
      <c r="Y210" s="303"/>
      <c r="Z210" s="303"/>
      <c r="AA210" s="432">
        <v>54000000</v>
      </c>
      <c r="AB210" s="432"/>
      <c r="AC210" s="432"/>
      <c r="AD210" s="432">
        <f t="shared" si="85"/>
        <v>54000000</v>
      </c>
      <c r="AE210" s="433" t="s">
        <v>385</v>
      </c>
      <c r="AF210" s="432" t="s">
        <v>386</v>
      </c>
    </row>
    <row r="211" spans="1:72" ht="21.75" customHeight="1" x14ac:dyDescent="0.2">
      <c r="A211" s="297"/>
      <c r="B211" s="204"/>
      <c r="C211" s="204"/>
      <c r="D211" s="204"/>
      <c r="E211" s="309" t="s">
        <v>511</v>
      </c>
      <c r="F211" s="188" t="s">
        <v>512</v>
      </c>
      <c r="G211" s="366"/>
      <c r="H211" s="307"/>
      <c r="I211" s="308"/>
      <c r="J211" s="309"/>
      <c r="K211" s="299"/>
      <c r="L211" s="310"/>
      <c r="M211" s="309"/>
      <c r="N211" s="311"/>
      <c r="O211" s="299"/>
      <c r="P211" s="299"/>
      <c r="Q211" s="300">
        <f t="shared" ref="Q211:AC211" si="86">SUM(Q212:Q212)</f>
        <v>0</v>
      </c>
      <c r="R211" s="300">
        <f t="shared" si="86"/>
        <v>0</v>
      </c>
      <c r="S211" s="300">
        <f t="shared" si="86"/>
        <v>0</v>
      </c>
      <c r="T211" s="300">
        <f t="shared" si="86"/>
        <v>0</v>
      </c>
      <c r="U211" s="300">
        <f t="shared" si="86"/>
        <v>0</v>
      </c>
      <c r="V211" s="300">
        <f t="shared" si="86"/>
        <v>0</v>
      </c>
      <c r="W211" s="300">
        <f t="shared" si="86"/>
        <v>0</v>
      </c>
      <c r="X211" s="300">
        <f t="shared" si="86"/>
        <v>0</v>
      </c>
      <c r="Y211" s="300">
        <f t="shared" si="86"/>
        <v>0</v>
      </c>
      <c r="Z211" s="300">
        <f t="shared" si="86"/>
        <v>0</v>
      </c>
      <c r="AA211" s="300">
        <f>SUM(AA212:AA212)</f>
        <v>120000000</v>
      </c>
      <c r="AB211" s="300">
        <f t="shared" si="86"/>
        <v>0</v>
      </c>
      <c r="AC211" s="300">
        <f t="shared" si="86"/>
        <v>0</v>
      </c>
      <c r="AD211" s="300">
        <f>SUM(AD212:AD212)</f>
        <v>120000000</v>
      </c>
      <c r="AE211" s="300"/>
      <c r="AF211" s="312"/>
    </row>
    <row r="212" spans="1:72" ht="206.25" customHeight="1" x14ac:dyDescent="0.2">
      <c r="A212" s="297"/>
      <c r="B212" s="204"/>
      <c r="C212" s="204"/>
      <c r="D212" s="204"/>
      <c r="E212" s="200"/>
      <c r="F212" s="209"/>
      <c r="G212" s="195" t="s">
        <v>165</v>
      </c>
      <c r="H212" s="198">
        <v>3204012</v>
      </c>
      <c r="I212" s="195" t="s">
        <v>513</v>
      </c>
      <c r="J212" s="383" t="s">
        <v>514</v>
      </c>
      <c r="K212" s="246" t="s">
        <v>515</v>
      </c>
      <c r="L212" s="378" t="s">
        <v>54</v>
      </c>
      <c r="M212" s="261">
        <v>2</v>
      </c>
      <c r="N212" s="268" t="s">
        <v>516</v>
      </c>
      <c r="O212" s="187" t="s">
        <v>517</v>
      </c>
      <c r="P212" s="195" t="s">
        <v>518</v>
      </c>
      <c r="Q212" s="303"/>
      <c r="R212" s="303"/>
      <c r="S212" s="303"/>
      <c r="T212" s="303"/>
      <c r="U212" s="303"/>
      <c r="V212" s="303"/>
      <c r="W212" s="303"/>
      <c r="X212" s="303"/>
      <c r="Y212" s="303"/>
      <c r="Z212" s="303"/>
      <c r="AA212" s="432">
        <v>120000000</v>
      </c>
      <c r="AB212" s="432"/>
      <c r="AC212" s="432"/>
      <c r="AD212" s="432">
        <f>SUM(Q212:AC212)</f>
        <v>120000000</v>
      </c>
      <c r="AE212" s="433" t="s">
        <v>385</v>
      </c>
      <c r="AF212" s="432" t="s">
        <v>386</v>
      </c>
    </row>
    <row r="213" spans="1:72" ht="32.25" customHeight="1" x14ac:dyDescent="0.2">
      <c r="A213" s="297"/>
      <c r="B213" s="204"/>
      <c r="C213" s="204"/>
      <c r="D213" s="204"/>
      <c r="E213" s="309">
        <v>3205</v>
      </c>
      <c r="F213" s="188" t="s">
        <v>164</v>
      </c>
      <c r="G213" s="366"/>
      <c r="H213" s="307"/>
      <c r="I213" s="308"/>
      <c r="J213" s="309"/>
      <c r="K213" s="299"/>
      <c r="L213" s="310"/>
      <c r="M213" s="309"/>
      <c r="N213" s="311"/>
      <c r="O213" s="299"/>
      <c r="P213" s="299"/>
      <c r="Q213" s="300">
        <f>SUM(Q214:Q216)</f>
        <v>0</v>
      </c>
      <c r="R213" s="300">
        <f t="shared" ref="R213:AC213" si="87">SUM(R216:R216)</f>
        <v>0</v>
      </c>
      <c r="S213" s="300">
        <f t="shared" si="87"/>
        <v>0</v>
      </c>
      <c r="T213" s="300">
        <f t="shared" si="87"/>
        <v>0</v>
      </c>
      <c r="U213" s="300">
        <f t="shared" si="87"/>
        <v>0</v>
      </c>
      <c r="V213" s="300">
        <f t="shared" si="87"/>
        <v>0</v>
      </c>
      <c r="W213" s="300">
        <f t="shared" si="87"/>
        <v>0</v>
      </c>
      <c r="X213" s="300">
        <f t="shared" si="87"/>
        <v>0</v>
      </c>
      <c r="Y213" s="300">
        <f t="shared" si="87"/>
        <v>0</v>
      </c>
      <c r="Z213" s="300">
        <f t="shared" si="87"/>
        <v>0</v>
      </c>
      <c r="AA213" s="300">
        <f>SUM(AA214:AA216)</f>
        <v>82000000</v>
      </c>
      <c r="AB213" s="300">
        <f t="shared" si="87"/>
        <v>0</v>
      </c>
      <c r="AC213" s="300">
        <f t="shared" si="87"/>
        <v>0</v>
      </c>
      <c r="AD213" s="300">
        <f>SUM(AD214:AD216)</f>
        <v>82000000</v>
      </c>
      <c r="AE213" s="300"/>
      <c r="AF213" s="312"/>
    </row>
    <row r="214" spans="1:72" ht="63" customHeight="1" x14ac:dyDescent="0.2">
      <c r="A214" s="297"/>
      <c r="B214" s="204"/>
      <c r="C214" s="204"/>
      <c r="D214" s="204"/>
      <c r="E214" s="200"/>
      <c r="F214" s="209"/>
      <c r="G214" s="195" t="s">
        <v>165</v>
      </c>
      <c r="H214" s="198" t="s">
        <v>519</v>
      </c>
      <c r="I214" s="195" t="s">
        <v>520</v>
      </c>
      <c r="J214" s="197" t="s">
        <v>521</v>
      </c>
      <c r="K214" s="187" t="s">
        <v>522</v>
      </c>
      <c r="L214" s="197" t="s">
        <v>54</v>
      </c>
      <c r="M214" s="261">
        <v>200</v>
      </c>
      <c r="N214" s="747" t="s">
        <v>523</v>
      </c>
      <c r="O214" s="746" t="s">
        <v>524</v>
      </c>
      <c r="P214" s="734" t="s">
        <v>525</v>
      </c>
      <c r="Q214" s="381"/>
      <c r="R214" s="303"/>
      <c r="S214" s="303"/>
      <c r="T214" s="303"/>
      <c r="U214" s="303"/>
      <c r="V214" s="303"/>
      <c r="W214" s="303"/>
      <c r="X214" s="303"/>
      <c r="Y214" s="303"/>
      <c r="Z214" s="303"/>
      <c r="AA214" s="432">
        <v>20000000</v>
      </c>
      <c r="AB214" s="432"/>
      <c r="AC214" s="432"/>
      <c r="AD214" s="432">
        <f>SUM(Q214:AC214)</f>
        <v>20000000</v>
      </c>
      <c r="AE214" s="433" t="s">
        <v>385</v>
      </c>
      <c r="AF214" s="432" t="s">
        <v>386</v>
      </c>
    </row>
    <row r="215" spans="1:72" ht="63" customHeight="1" x14ac:dyDescent="0.2">
      <c r="A215" s="297"/>
      <c r="B215" s="204"/>
      <c r="C215" s="204"/>
      <c r="D215" s="204"/>
      <c r="E215" s="200"/>
      <c r="F215" s="209"/>
      <c r="G215" s="195" t="s">
        <v>165</v>
      </c>
      <c r="H215" s="198" t="s">
        <v>526</v>
      </c>
      <c r="I215" s="195" t="s">
        <v>527</v>
      </c>
      <c r="J215" s="197" t="s">
        <v>528</v>
      </c>
      <c r="K215" s="187" t="s">
        <v>529</v>
      </c>
      <c r="L215" s="197" t="s">
        <v>54</v>
      </c>
      <c r="M215" s="261">
        <v>10</v>
      </c>
      <c r="N215" s="747"/>
      <c r="O215" s="746"/>
      <c r="P215" s="734"/>
      <c r="Q215" s="381"/>
      <c r="R215" s="303"/>
      <c r="S215" s="303"/>
      <c r="T215" s="303"/>
      <c r="U215" s="303"/>
      <c r="V215" s="303"/>
      <c r="W215" s="303"/>
      <c r="X215" s="303"/>
      <c r="Y215" s="303"/>
      <c r="Z215" s="303"/>
      <c r="AA215" s="432">
        <v>20000000</v>
      </c>
      <c r="AB215" s="432"/>
      <c r="AC215" s="432"/>
      <c r="AD215" s="432">
        <f>SUM(Q215:AC215)</f>
        <v>20000000</v>
      </c>
      <c r="AE215" s="433" t="s">
        <v>385</v>
      </c>
      <c r="AF215" s="432" t="s">
        <v>386</v>
      </c>
    </row>
    <row r="216" spans="1:72" ht="79.5" customHeight="1" x14ac:dyDescent="0.2">
      <c r="A216" s="297"/>
      <c r="B216" s="204"/>
      <c r="C216" s="204"/>
      <c r="D216" s="204"/>
      <c r="E216" s="200"/>
      <c r="F216" s="209"/>
      <c r="G216" s="195" t="s">
        <v>165</v>
      </c>
      <c r="H216" s="198">
        <v>3205010</v>
      </c>
      <c r="I216" s="195" t="s">
        <v>166</v>
      </c>
      <c r="J216" s="197" t="s">
        <v>167</v>
      </c>
      <c r="K216" s="187" t="s">
        <v>168</v>
      </c>
      <c r="L216" s="197" t="s">
        <v>54</v>
      </c>
      <c r="M216" s="261">
        <v>1</v>
      </c>
      <c r="N216" s="747"/>
      <c r="O216" s="746"/>
      <c r="P216" s="734"/>
      <c r="Q216" s="381"/>
      <c r="R216" s="303"/>
      <c r="S216" s="303"/>
      <c r="T216" s="303"/>
      <c r="U216" s="303"/>
      <c r="V216" s="303"/>
      <c r="W216" s="303"/>
      <c r="X216" s="303"/>
      <c r="Y216" s="303"/>
      <c r="Z216" s="303"/>
      <c r="AA216" s="432">
        <v>42000000</v>
      </c>
      <c r="AB216" s="432"/>
      <c r="AC216" s="432"/>
      <c r="AD216" s="432">
        <f>SUM(Q216:AC216)</f>
        <v>42000000</v>
      </c>
      <c r="AE216" s="433" t="s">
        <v>385</v>
      </c>
      <c r="AF216" s="432" t="s">
        <v>386</v>
      </c>
    </row>
    <row r="217" spans="1:72" ht="37.5" customHeight="1" x14ac:dyDescent="0.2">
      <c r="A217" s="297"/>
      <c r="B217" s="204"/>
      <c r="C217" s="204"/>
      <c r="D217" s="204"/>
      <c r="E217" s="309" t="s">
        <v>530</v>
      </c>
      <c r="F217" s="188" t="s">
        <v>1268</v>
      </c>
      <c r="G217" s="366"/>
      <c r="H217" s="307"/>
      <c r="I217" s="308"/>
      <c r="J217" s="309"/>
      <c r="K217" s="299"/>
      <c r="L217" s="310"/>
      <c r="M217" s="309"/>
      <c r="N217" s="311"/>
      <c r="O217" s="299"/>
      <c r="P217" s="299"/>
      <c r="Q217" s="300">
        <f>SUM(Q218:Q220)</f>
        <v>0</v>
      </c>
      <c r="R217" s="300">
        <f t="shared" ref="R217:AD217" si="88">SUM(R218:R220)</f>
        <v>0</v>
      </c>
      <c r="S217" s="300">
        <f t="shared" si="88"/>
        <v>0</v>
      </c>
      <c r="T217" s="300">
        <f t="shared" si="88"/>
        <v>0</v>
      </c>
      <c r="U217" s="300">
        <f t="shared" si="88"/>
        <v>0</v>
      </c>
      <c r="V217" s="300">
        <f t="shared" si="88"/>
        <v>0</v>
      </c>
      <c r="W217" s="300">
        <f t="shared" si="88"/>
        <v>0</v>
      </c>
      <c r="X217" s="300">
        <f t="shared" si="88"/>
        <v>0</v>
      </c>
      <c r="Y217" s="300">
        <f t="shared" si="88"/>
        <v>0</v>
      </c>
      <c r="Z217" s="300">
        <f t="shared" si="88"/>
        <v>0</v>
      </c>
      <c r="AA217" s="300">
        <f t="shared" si="88"/>
        <v>118000000</v>
      </c>
      <c r="AB217" s="300">
        <f t="shared" si="88"/>
        <v>0</v>
      </c>
      <c r="AC217" s="300">
        <f t="shared" si="88"/>
        <v>0</v>
      </c>
      <c r="AD217" s="300">
        <f t="shared" si="88"/>
        <v>118000000</v>
      </c>
      <c r="AE217" s="300"/>
      <c r="AF217" s="312"/>
    </row>
    <row r="218" spans="1:72" ht="78" customHeight="1" x14ac:dyDescent="0.2">
      <c r="A218" s="297"/>
      <c r="B218" s="204"/>
      <c r="C218" s="204"/>
      <c r="D218" s="204"/>
      <c r="E218" s="200"/>
      <c r="F218" s="209"/>
      <c r="G218" s="195" t="s">
        <v>165</v>
      </c>
      <c r="H218" s="198" t="s">
        <v>531</v>
      </c>
      <c r="I218" s="195" t="s">
        <v>532</v>
      </c>
      <c r="J218" s="383" t="s">
        <v>533</v>
      </c>
      <c r="K218" s="246" t="s">
        <v>534</v>
      </c>
      <c r="L218" s="378" t="s">
        <v>54</v>
      </c>
      <c r="M218" s="261">
        <v>6</v>
      </c>
      <c r="N218" s="748" t="s">
        <v>535</v>
      </c>
      <c r="O218" s="746" t="s">
        <v>536</v>
      </c>
      <c r="P218" s="734" t="s">
        <v>537</v>
      </c>
      <c r="Q218" s="303"/>
      <c r="R218" s="303"/>
      <c r="S218" s="303"/>
      <c r="T218" s="303"/>
      <c r="U218" s="303"/>
      <c r="V218" s="303"/>
      <c r="W218" s="303"/>
      <c r="X218" s="303"/>
      <c r="Y218" s="303"/>
      <c r="Z218" s="303"/>
      <c r="AA218" s="432">
        <v>25000000</v>
      </c>
      <c r="AB218" s="432"/>
      <c r="AC218" s="432"/>
      <c r="AD218" s="432">
        <f>SUM(Q218:AC218)</f>
        <v>25000000</v>
      </c>
      <c r="AE218" s="433" t="s">
        <v>385</v>
      </c>
      <c r="AF218" s="432" t="s">
        <v>386</v>
      </c>
    </row>
    <row r="219" spans="1:72" ht="78" customHeight="1" x14ac:dyDescent="0.2">
      <c r="A219" s="297"/>
      <c r="B219" s="204"/>
      <c r="C219" s="204"/>
      <c r="D219" s="204"/>
      <c r="E219" s="200"/>
      <c r="F219" s="209"/>
      <c r="G219" s="195" t="s">
        <v>165</v>
      </c>
      <c r="H219" s="198">
        <v>3206014</v>
      </c>
      <c r="I219" s="195" t="s">
        <v>538</v>
      </c>
      <c r="J219" s="383" t="s">
        <v>539</v>
      </c>
      <c r="K219" s="246" t="s">
        <v>540</v>
      </c>
      <c r="L219" s="378" t="s">
        <v>54</v>
      </c>
      <c r="M219" s="261">
        <v>1950</v>
      </c>
      <c r="N219" s="748"/>
      <c r="O219" s="746"/>
      <c r="P219" s="734"/>
      <c r="Q219" s="303"/>
      <c r="R219" s="303"/>
      <c r="S219" s="303"/>
      <c r="T219" s="303"/>
      <c r="U219" s="303"/>
      <c r="V219" s="303"/>
      <c r="W219" s="303"/>
      <c r="X219" s="303"/>
      <c r="Y219" s="303"/>
      <c r="Z219" s="303"/>
      <c r="AA219" s="432">
        <v>18000000</v>
      </c>
      <c r="AB219" s="432"/>
      <c r="AC219" s="432"/>
      <c r="AD219" s="432">
        <f>SUM(Q219:AC219)</f>
        <v>18000000</v>
      </c>
      <c r="AE219" s="433" t="s">
        <v>385</v>
      </c>
      <c r="AF219" s="432" t="s">
        <v>386</v>
      </c>
    </row>
    <row r="220" spans="1:72" ht="78" customHeight="1" x14ac:dyDescent="0.2">
      <c r="A220" s="297"/>
      <c r="B220" s="204"/>
      <c r="C220" s="204"/>
      <c r="D220" s="204"/>
      <c r="E220" s="200"/>
      <c r="F220" s="209"/>
      <c r="G220" s="195" t="s">
        <v>165</v>
      </c>
      <c r="H220" s="198" t="s">
        <v>541</v>
      </c>
      <c r="I220" s="195" t="s">
        <v>542</v>
      </c>
      <c r="J220" s="383" t="s">
        <v>543</v>
      </c>
      <c r="K220" s="246" t="s">
        <v>544</v>
      </c>
      <c r="L220" s="378" t="s">
        <v>54</v>
      </c>
      <c r="M220" s="261">
        <v>20</v>
      </c>
      <c r="N220" s="748"/>
      <c r="O220" s="746"/>
      <c r="P220" s="734"/>
      <c r="Q220" s="303"/>
      <c r="R220" s="303"/>
      <c r="S220" s="303"/>
      <c r="T220" s="303"/>
      <c r="U220" s="303"/>
      <c r="V220" s="303"/>
      <c r="W220" s="303"/>
      <c r="X220" s="303"/>
      <c r="Y220" s="303"/>
      <c r="Z220" s="303"/>
      <c r="AA220" s="432">
        <v>75000000</v>
      </c>
      <c r="AB220" s="432"/>
      <c r="AC220" s="432"/>
      <c r="AD220" s="432">
        <f>SUM(Q220:AC220)</f>
        <v>75000000</v>
      </c>
      <c r="AE220" s="433" t="s">
        <v>385</v>
      </c>
      <c r="AF220" s="432" t="s">
        <v>386</v>
      </c>
    </row>
    <row r="221" spans="1:72" s="122" customFormat="1" ht="27" customHeight="1" x14ac:dyDescent="0.2">
      <c r="A221" s="315"/>
      <c r="B221" s="336"/>
      <c r="C221" s="336"/>
      <c r="D221" s="336"/>
      <c r="E221" s="337"/>
      <c r="F221" s="338"/>
      <c r="G221" s="319"/>
      <c r="H221" s="337"/>
      <c r="I221" s="319"/>
      <c r="J221" s="320"/>
      <c r="K221" s="318"/>
      <c r="L221" s="338"/>
      <c r="M221" s="320"/>
      <c r="N221" s="338"/>
      <c r="O221" s="318"/>
      <c r="P221" s="318"/>
      <c r="Q221" s="315"/>
      <c r="R221" s="315"/>
      <c r="S221" s="315"/>
      <c r="T221" s="315"/>
      <c r="U221" s="315"/>
      <c r="V221" s="315"/>
      <c r="W221" s="420"/>
      <c r="X221" s="420"/>
      <c r="Y221" s="315"/>
      <c r="Z221" s="315"/>
      <c r="AA221" s="421"/>
      <c r="AB221" s="315"/>
      <c r="AC221" s="315"/>
      <c r="AD221" s="420"/>
      <c r="AE221" s="420"/>
      <c r="AF221" s="430"/>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7"/>
      <c r="BC221" s="117"/>
      <c r="BD221" s="117"/>
      <c r="BE221" s="117"/>
      <c r="BF221" s="117"/>
      <c r="BG221" s="117"/>
      <c r="BH221" s="117"/>
      <c r="BI221" s="117"/>
      <c r="BJ221" s="117"/>
      <c r="BK221" s="117"/>
      <c r="BL221" s="117"/>
      <c r="BM221" s="117"/>
      <c r="BN221" s="117"/>
      <c r="BO221" s="117"/>
      <c r="BP221" s="117"/>
      <c r="BQ221" s="117"/>
      <c r="BR221" s="117"/>
      <c r="BS221" s="117"/>
      <c r="BT221" s="117"/>
    </row>
    <row r="222" spans="1:72" s="658" customFormat="1" ht="25.5" customHeight="1" x14ac:dyDescent="0.2">
      <c r="A222" s="56" t="s">
        <v>545</v>
      </c>
      <c r="B222" s="56"/>
      <c r="C222" s="56"/>
      <c r="D222" s="56"/>
      <c r="E222" s="57"/>
      <c r="F222" s="58"/>
      <c r="G222" s="650"/>
      <c r="H222" s="653"/>
      <c r="I222" s="650"/>
      <c r="J222" s="654"/>
      <c r="K222" s="655"/>
      <c r="L222" s="656"/>
      <c r="M222" s="654"/>
      <c r="N222" s="58"/>
      <c r="O222" s="655"/>
      <c r="P222" s="655"/>
      <c r="Q222" s="651">
        <f>Q223</f>
        <v>0</v>
      </c>
      <c r="R222" s="651">
        <f t="shared" ref="R222:AD223" si="89">R223</f>
        <v>0</v>
      </c>
      <c r="S222" s="651">
        <f t="shared" si="89"/>
        <v>0</v>
      </c>
      <c r="T222" s="651">
        <f t="shared" si="89"/>
        <v>0</v>
      </c>
      <c r="U222" s="651">
        <f t="shared" si="89"/>
        <v>0</v>
      </c>
      <c r="V222" s="651">
        <f t="shared" si="89"/>
        <v>0</v>
      </c>
      <c r="W222" s="651">
        <f t="shared" si="89"/>
        <v>0</v>
      </c>
      <c r="X222" s="651">
        <f t="shared" si="89"/>
        <v>0</v>
      </c>
      <c r="Y222" s="651">
        <f t="shared" si="89"/>
        <v>0</v>
      </c>
      <c r="Z222" s="651">
        <f t="shared" si="89"/>
        <v>0</v>
      </c>
      <c r="AA222" s="651">
        <f t="shared" si="89"/>
        <v>695000000</v>
      </c>
      <c r="AB222" s="651">
        <f t="shared" si="89"/>
        <v>0</v>
      </c>
      <c r="AC222" s="651">
        <f t="shared" si="89"/>
        <v>0</v>
      </c>
      <c r="AD222" s="651">
        <f t="shared" si="89"/>
        <v>695000000</v>
      </c>
      <c r="AE222" s="651"/>
      <c r="AF222" s="652"/>
      <c r="AG222" s="657"/>
      <c r="AH222" s="657"/>
      <c r="AI222" s="657"/>
      <c r="AJ222" s="657"/>
      <c r="AK222" s="657"/>
      <c r="AL222" s="657"/>
      <c r="AM222" s="657"/>
      <c r="AN222" s="657"/>
      <c r="AO222" s="657"/>
      <c r="AP222" s="657"/>
      <c r="AQ222" s="657"/>
      <c r="AR222" s="657"/>
      <c r="AS222" s="657"/>
      <c r="AT222" s="657"/>
      <c r="AU222" s="657"/>
      <c r="AV222" s="657"/>
      <c r="AW222" s="657"/>
      <c r="AX222" s="657"/>
      <c r="AY222" s="657"/>
      <c r="AZ222" s="657"/>
      <c r="BA222" s="657"/>
      <c r="BB222" s="657"/>
      <c r="BC222" s="657"/>
      <c r="BD222" s="657"/>
      <c r="BE222" s="657"/>
      <c r="BF222" s="657"/>
      <c r="BG222" s="657"/>
      <c r="BH222" s="657"/>
      <c r="BI222" s="657"/>
      <c r="BJ222" s="657"/>
      <c r="BK222" s="657"/>
      <c r="BL222" s="657"/>
      <c r="BM222" s="657"/>
      <c r="BN222" s="657"/>
      <c r="BO222" s="657"/>
      <c r="BP222" s="657"/>
      <c r="BQ222" s="657"/>
      <c r="BR222" s="657"/>
      <c r="BS222" s="657"/>
      <c r="BT222" s="657"/>
    </row>
    <row r="223" spans="1:72" ht="24" customHeight="1" x14ac:dyDescent="0.2">
      <c r="A223" s="297"/>
      <c r="B223" s="280">
        <v>4</v>
      </c>
      <c r="C223" s="155" t="s">
        <v>37</v>
      </c>
      <c r="D223" s="348"/>
      <c r="E223" s="155"/>
      <c r="F223" s="155"/>
      <c r="G223" s="155"/>
      <c r="H223" s="281"/>
      <c r="I223" s="282"/>
      <c r="J223" s="280"/>
      <c r="K223" s="283"/>
      <c r="L223" s="284"/>
      <c r="M223" s="280"/>
      <c r="N223" s="285"/>
      <c r="O223" s="283"/>
      <c r="P223" s="283"/>
      <c r="Q223" s="286">
        <f>Q224</f>
        <v>0</v>
      </c>
      <c r="R223" s="286">
        <f t="shared" si="89"/>
        <v>0</v>
      </c>
      <c r="S223" s="286">
        <f t="shared" si="89"/>
        <v>0</v>
      </c>
      <c r="T223" s="286">
        <f t="shared" si="89"/>
        <v>0</v>
      </c>
      <c r="U223" s="286">
        <f t="shared" si="89"/>
        <v>0</v>
      </c>
      <c r="V223" s="286">
        <f t="shared" si="89"/>
        <v>0</v>
      </c>
      <c r="W223" s="286">
        <f t="shared" si="89"/>
        <v>0</v>
      </c>
      <c r="X223" s="286">
        <f t="shared" si="89"/>
        <v>0</v>
      </c>
      <c r="Y223" s="286">
        <f t="shared" si="89"/>
        <v>0</v>
      </c>
      <c r="Z223" s="286">
        <f t="shared" si="89"/>
        <v>0</v>
      </c>
      <c r="AA223" s="286">
        <f t="shared" si="89"/>
        <v>695000000</v>
      </c>
      <c r="AB223" s="286">
        <f t="shared" si="89"/>
        <v>0</v>
      </c>
      <c r="AC223" s="286">
        <f t="shared" si="89"/>
        <v>0</v>
      </c>
      <c r="AD223" s="286">
        <f t="shared" si="89"/>
        <v>695000000</v>
      </c>
      <c r="AE223" s="286"/>
      <c r="AF223" s="340"/>
    </row>
    <row r="224" spans="1:72" s="9" customFormat="1" ht="27.75" customHeight="1" x14ac:dyDescent="0.25">
      <c r="A224" s="279"/>
      <c r="B224" s="194"/>
      <c r="C224" s="159">
        <v>45</v>
      </c>
      <c r="D224" s="156" t="s">
        <v>1181</v>
      </c>
      <c r="E224" s="156"/>
      <c r="F224" s="287"/>
      <c r="G224" s="288"/>
      <c r="H224" s="289"/>
      <c r="I224" s="290"/>
      <c r="J224" s="291"/>
      <c r="K224" s="292"/>
      <c r="L224" s="293"/>
      <c r="M224" s="291"/>
      <c r="N224" s="392"/>
      <c r="O224" s="295"/>
      <c r="P224" s="295"/>
      <c r="Q224" s="296">
        <f>Q225+Q228</f>
        <v>0</v>
      </c>
      <c r="R224" s="296">
        <f t="shared" ref="R224:AC224" si="90">R225+R228</f>
        <v>0</v>
      </c>
      <c r="S224" s="296">
        <f t="shared" si="90"/>
        <v>0</v>
      </c>
      <c r="T224" s="296">
        <f t="shared" si="90"/>
        <v>0</v>
      </c>
      <c r="U224" s="296">
        <f t="shared" si="90"/>
        <v>0</v>
      </c>
      <c r="V224" s="296">
        <f t="shared" si="90"/>
        <v>0</v>
      </c>
      <c r="W224" s="296">
        <f t="shared" si="90"/>
        <v>0</v>
      </c>
      <c r="X224" s="296">
        <f t="shared" si="90"/>
        <v>0</v>
      </c>
      <c r="Y224" s="296">
        <f t="shared" si="90"/>
        <v>0</v>
      </c>
      <c r="Z224" s="296">
        <f t="shared" si="90"/>
        <v>0</v>
      </c>
      <c r="AA224" s="296">
        <f t="shared" si="90"/>
        <v>695000000</v>
      </c>
      <c r="AB224" s="296">
        <f t="shared" si="90"/>
        <v>0</v>
      </c>
      <c r="AC224" s="296">
        <f t="shared" si="90"/>
        <v>0</v>
      </c>
      <c r="AD224" s="296">
        <f>AD225+AD228</f>
        <v>695000000</v>
      </c>
      <c r="AE224" s="296"/>
      <c r="AF224" s="341"/>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row>
    <row r="225" spans="1:72" s="9" customFormat="1" ht="28.5" customHeight="1" x14ac:dyDescent="0.25">
      <c r="A225" s="279"/>
      <c r="B225" s="204"/>
      <c r="C225" s="204"/>
      <c r="D225" s="204"/>
      <c r="E225" s="309">
        <v>4599</v>
      </c>
      <c r="F225" s="188" t="s">
        <v>1355</v>
      </c>
      <c r="G225" s="366"/>
      <c r="H225" s="449"/>
      <c r="I225" s="450"/>
      <c r="J225" s="298"/>
      <c r="K225" s="451"/>
      <c r="L225" s="310"/>
      <c r="M225" s="298"/>
      <c r="N225" s="311"/>
      <c r="O225" s="299"/>
      <c r="P225" s="299"/>
      <c r="Q225" s="300">
        <f>SUM(Q226:Q227)</f>
        <v>0</v>
      </c>
      <c r="R225" s="300">
        <f t="shared" ref="R225:AD225" si="91">SUM(R226:R227)</f>
        <v>0</v>
      </c>
      <c r="S225" s="300">
        <f t="shared" si="91"/>
        <v>0</v>
      </c>
      <c r="T225" s="300">
        <f t="shared" si="91"/>
        <v>0</v>
      </c>
      <c r="U225" s="300">
        <f t="shared" si="91"/>
        <v>0</v>
      </c>
      <c r="V225" s="300">
        <f t="shared" si="91"/>
        <v>0</v>
      </c>
      <c r="W225" s="300">
        <f t="shared" si="91"/>
        <v>0</v>
      </c>
      <c r="X225" s="300">
        <f t="shared" si="91"/>
        <v>0</v>
      </c>
      <c r="Y225" s="300">
        <f t="shared" si="91"/>
        <v>0</v>
      </c>
      <c r="Z225" s="300">
        <f t="shared" si="91"/>
        <v>0</v>
      </c>
      <c r="AA225" s="300">
        <f t="shared" si="91"/>
        <v>550000000</v>
      </c>
      <c r="AB225" s="300">
        <f t="shared" si="91"/>
        <v>0</v>
      </c>
      <c r="AC225" s="300">
        <f t="shared" si="91"/>
        <v>0</v>
      </c>
      <c r="AD225" s="300">
        <f t="shared" si="91"/>
        <v>550000000</v>
      </c>
      <c r="AE225" s="300"/>
      <c r="AF225" s="312"/>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row>
    <row r="226" spans="1:72" ht="222" customHeight="1" x14ac:dyDescent="0.2">
      <c r="A226" s="297"/>
      <c r="B226" s="204"/>
      <c r="C226" s="204"/>
      <c r="D226" s="204"/>
      <c r="E226" s="200"/>
      <c r="F226" s="209"/>
      <c r="G226" s="195" t="s">
        <v>39</v>
      </c>
      <c r="H226" s="196">
        <v>4599023</v>
      </c>
      <c r="I226" s="186" t="s">
        <v>546</v>
      </c>
      <c r="J226" s="196">
        <v>459902304</v>
      </c>
      <c r="K226" s="313" t="s">
        <v>547</v>
      </c>
      <c r="L226" s="452" t="s">
        <v>42</v>
      </c>
      <c r="M226" s="452">
        <v>1</v>
      </c>
      <c r="N226" s="266" t="s">
        <v>548</v>
      </c>
      <c r="O226" s="212" t="s">
        <v>1247</v>
      </c>
      <c r="P226" s="212" t="s">
        <v>549</v>
      </c>
      <c r="Q226" s="303"/>
      <c r="R226" s="303"/>
      <c r="S226" s="303"/>
      <c r="T226" s="303"/>
      <c r="U226" s="303"/>
      <c r="V226" s="303"/>
      <c r="W226" s="303"/>
      <c r="X226" s="303"/>
      <c r="Y226" s="303"/>
      <c r="Z226" s="303"/>
      <c r="AA226" s="346">
        <v>250000000</v>
      </c>
      <c r="AB226" s="303"/>
      <c r="AC226" s="303"/>
      <c r="AD226" s="305">
        <f>+Q226+R226+S226+T226+U226+V226+W226+X226+Y226+Z226+AA226+AB226+AC226</f>
        <v>250000000</v>
      </c>
      <c r="AE226" s="305" t="s">
        <v>550</v>
      </c>
      <c r="AF226" s="149" t="s">
        <v>551</v>
      </c>
    </row>
    <row r="227" spans="1:72" ht="193.5" customHeight="1" x14ac:dyDescent="0.2">
      <c r="A227" s="297"/>
      <c r="B227" s="204"/>
      <c r="C227" s="204"/>
      <c r="D227" s="204"/>
      <c r="E227" s="200"/>
      <c r="F227" s="405"/>
      <c r="G227" s="195" t="s">
        <v>39</v>
      </c>
      <c r="H227" s="196">
        <v>4599029</v>
      </c>
      <c r="I227" s="186" t="s">
        <v>552</v>
      </c>
      <c r="J227" s="230">
        <v>459902900</v>
      </c>
      <c r="K227" s="313" t="s">
        <v>553</v>
      </c>
      <c r="L227" s="452" t="s">
        <v>42</v>
      </c>
      <c r="M227" s="452">
        <v>1</v>
      </c>
      <c r="N227" s="266" t="s">
        <v>554</v>
      </c>
      <c r="O227" s="187" t="s">
        <v>555</v>
      </c>
      <c r="P227" s="195" t="s">
        <v>556</v>
      </c>
      <c r="Q227" s="303"/>
      <c r="R227" s="303"/>
      <c r="S227" s="303"/>
      <c r="T227" s="303"/>
      <c r="U227" s="303"/>
      <c r="V227" s="303"/>
      <c r="W227" s="303"/>
      <c r="X227" s="303"/>
      <c r="Y227" s="303"/>
      <c r="Z227" s="303"/>
      <c r="AA227" s="346">
        <v>300000000</v>
      </c>
      <c r="AB227" s="303"/>
      <c r="AC227" s="303"/>
      <c r="AD227" s="305">
        <f>+Q227+R227+S227+T227+U227+V227+W227+X227+Y227+Z227+AA227+AB227+AC227</f>
        <v>300000000</v>
      </c>
      <c r="AE227" s="305" t="s">
        <v>550</v>
      </c>
      <c r="AF227" s="149" t="s">
        <v>551</v>
      </c>
    </row>
    <row r="228" spans="1:72" ht="28.5" customHeight="1" x14ac:dyDescent="0.2">
      <c r="A228" s="297"/>
      <c r="B228" s="204"/>
      <c r="C228" s="204"/>
      <c r="D228" s="204"/>
      <c r="E228" s="309">
        <v>4502</v>
      </c>
      <c r="F228" s="188" t="s">
        <v>1323</v>
      </c>
      <c r="G228" s="366"/>
      <c r="H228" s="307"/>
      <c r="I228" s="308"/>
      <c r="J228" s="309"/>
      <c r="K228" s="299"/>
      <c r="L228" s="310"/>
      <c r="M228" s="309"/>
      <c r="N228" s="311"/>
      <c r="O228" s="299"/>
      <c r="P228" s="299"/>
      <c r="Q228" s="300">
        <f>SUM(Q229)</f>
        <v>0</v>
      </c>
      <c r="R228" s="300">
        <f t="shared" ref="R228:AD228" si="92">SUM(R229)</f>
        <v>0</v>
      </c>
      <c r="S228" s="300">
        <f t="shared" si="92"/>
        <v>0</v>
      </c>
      <c r="T228" s="300">
        <f t="shared" si="92"/>
        <v>0</v>
      </c>
      <c r="U228" s="300">
        <f t="shared" si="92"/>
        <v>0</v>
      </c>
      <c r="V228" s="300">
        <f t="shared" si="92"/>
        <v>0</v>
      </c>
      <c r="W228" s="300">
        <f t="shared" si="92"/>
        <v>0</v>
      </c>
      <c r="X228" s="300">
        <f t="shared" si="92"/>
        <v>0</v>
      </c>
      <c r="Y228" s="300">
        <f t="shared" si="92"/>
        <v>0</v>
      </c>
      <c r="Z228" s="300">
        <f t="shared" si="92"/>
        <v>0</v>
      </c>
      <c r="AA228" s="300">
        <f t="shared" si="92"/>
        <v>145000000</v>
      </c>
      <c r="AB228" s="300">
        <f t="shared" si="92"/>
        <v>0</v>
      </c>
      <c r="AC228" s="300">
        <f t="shared" si="92"/>
        <v>0</v>
      </c>
      <c r="AD228" s="300">
        <f t="shared" si="92"/>
        <v>145000000</v>
      </c>
      <c r="AE228" s="300"/>
      <c r="AF228" s="312"/>
    </row>
    <row r="229" spans="1:72" ht="191.25" customHeight="1" x14ac:dyDescent="0.2">
      <c r="A229" s="297"/>
      <c r="B229" s="204"/>
      <c r="C229" s="204"/>
      <c r="D229" s="204"/>
      <c r="E229" s="200"/>
      <c r="F229" s="453"/>
      <c r="G229" s="195" t="s">
        <v>58</v>
      </c>
      <c r="H229" s="196">
        <v>4502001</v>
      </c>
      <c r="I229" s="195" t="s">
        <v>557</v>
      </c>
      <c r="J229" s="196">
        <v>450200100</v>
      </c>
      <c r="K229" s="313" t="s">
        <v>558</v>
      </c>
      <c r="L229" s="452" t="s">
        <v>42</v>
      </c>
      <c r="M229" s="261">
        <v>30</v>
      </c>
      <c r="N229" s="454" t="s">
        <v>559</v>
      </c>
      <c r="O229" s="187" t="s">
        <v>560</v>
      </c>
      <c r="P229" s="195" t="s">
        <v>561</v>
      </c>
      <c r="Q229" s="446"/>
      <c r="R229" s="446"/>
      <c r="S229" s="446"/>
      <c r="T229" s="446"/>
      <c r="U229" s="446"/>
      <c r="V229" s="446"/>
      <c r="W229" s="446"/>
      <c r="X229" s="446"/>
      <c r="Y229" s="446"/>
      <c r="Z229" s="446"/>
      <c r="AA229" s="455">
        <v>145000000</v>
      </c>
      <c r="AB229" s="446"/>
      <c r="AC229" s="446"/>
      <c r="AD229" s="305">
        <f>+Q229+R229+S229+T229+U229+V229+W229+X229+Y229+Z229+AA229+AB229+AC229</f>
        <v>145000000</v>
      </c>
      <c r="AE229" s="305" t="s">
        <v>550</v>
      </c>
      <c r="AF229" s="149" t="s">
        <v>551</v>
      </c>
    </row>
    <row r="230" spans="1:72" s="122" customFormat="1" ht="24" customHeight="1" x14ac:dyDescent="0.2">
      <c r="A230" s="315"/>
      <c r="B230" s="336"/>
      <c r="C230" s="336"/>
      <c r="D230" s="336"/>
      <c r="E230" s="337"/>
      <c r="F230" s="338"/>
      <c r="G230" s="319"/>
      <c r="H230" s="337"/>
      <c r="I230" s="319"/>
      <c r="J230" s="320"/>
      <c r="K230" s="318"/>
      <c r="L230" s="338"/>
      <c r="M230" s="320"/>
      <c r="N230" s="338"/>
      <c r="O230" s="318"/>
      <c r="P230" s="318"/>
      <c r="Q230" s="315"/>
      <c r="R230" s="315"/>
      <c r="S230" s="315"/>
      <c r="T230" s="315"/>
      <c r="U230" s="315"/>
      <c r="V230" s="315"/>
      <c r="W230" s="456"/>
      <c r="X230" s="456"/>
      <c r="Y230" s="315"/>
      <c r="Z230" s="315"/>
      <c r="AA230" s="421"/>
      <c r="AB230" s="315"/>
      <c r="AC230" s="315" t="s">
        <v>38</v>
      </c>
      <c r="AD230" s="420" t="s">
        <v>38</v>
      </c>
      <c r="AE230" s="420" t="s">
        <v>38</v>
      </c>
      <c r="AF230" s="430"/>
      <c r="AG230" s="117"/>
      <c r="AH230" s="117"/>
      <c r="AI230" s="117"/>
      <c r="AJ230" s="117"/>
      <c r="AK230" s="117"/>
      <c r="AL230" s="117"/>
      <c r="AM230" s="117"/>
      <c r="AN230" s="117"/>
      <c r="AO230" s="117"/>
      <c r="AP230" s="117"/>
      <c r="AQ230" s="117"/>
      <c r="AR230" s="117"/>
      <c r="AS230" s="117"/>
      <c r="AT230" s="117"/>
      <c r="AU230" s="117"/>
      <c r="AV230" s="117"/>
      <c r="AW230" s="117"/>
      <c r="AX230" s="117"/>
      <c r="AY230" s="117"/>
      <c r="AZ230" s="117"/>
      <c r="BA230" s="117"/>
      <c r="BB230" s="117"/>
      <c r="BC230" s="117"/>
      <c r="BD230" s="117"/>
      <c r="BE230" s="117"/>
      <c r="BF230" s="117"/>
      <c r="BG230" s="117"/>
      <c r="BH230" s="117"/>
      <c r="BI230" s="117"/>
      <c r="BJ230" s="117"/>
      <c r="BK230" s="117"/>
      <c r="BL230" s="117"/>
      <c r="BM230" s="117"/>
      <c r="BN230" s="117"/>
      <c r="BO230" s="117"/>
      <c r="BP230" s="117"/>
      <c r="BQ230" s="117"/>
      <c r="BR230" s="117"/>
      <c r="BS230" s="117"/>
      <c r="BT230" s="117"/>
    </row>
    <row r="231" spans="1:72" s="658" customFormat="1" ht="38.25" customHeight="1" x14ac:dyDescent="0.2">
      <c r="A231" s="56" t="s">
        <v>562</v>
      </c>
      <c r="B231" s="56"/>
      <c r="C231" s="56"/>
      <c r="D231" s="56"/>
      <c r="E231" s="57"/>
      <c r="F231" s="58"/>
      <c r="G231" s="650"/>
      <c r="H231" s="653"/>
      <c r="I231" s="650"/>
      <c r="J231" s="654"/>
      <c r="K231" s="655"/>
      <c r="L231" s="656"/>
      <c r="M231" s="654"/>
      <c r="N231" s="58"/>
      <c r="O231" s="655"/>
      <c r="P231" s="655"/>
      <c r="Q231" s="651">
        <f t="shared" ref="Q231:AD231" si="93">Q232+Q271</f>
        <v>0</v>
      </c>
      <c r="R231" s="651">
        <f t="shared" si="93"/>
        <v>0</v>
      </c>
      <c r="S231" s="651">
        <f t="shared" si="93"/>
        <v>0</v>
      </c>
      <c r="T231" s="651">
        <f t="shared" si="93"/>
        <v>1304977490</v>
      </c>
      <c r="U231" s="651">
        <f t="shared" si="93"/>
        <v>0</v>
      </c>
      <c r="V231" s="651">
        <f t="shared" si="93"/>
        <v>0</v>
      </c>
      <c r="W231" s="651">
        <f t="shared" si="93"/>
        <v>143885000000</v>
      </c>
      <c r="X231" s="651">
        <f t="shared" si="93"/>
        <v>25145000000</v>
      </c>
      <c r="Y231" s="651">
        <f t="shared" si="93"/>
        <v>12990000000</v>
      </c>
      <c r="Z231" s="651">
        <f t="shared" si="93"/>
        <v>0</v>
      </c>
      <c r="AA231" s="651">
        <f t="shared" si="93"/>
        <v>5008147242</v>
      </c>
      <c r="AB231" s="651">
        <f t="shared" si="93"/>
        <v>0</v>
      </c>
      <c r="AC231" s="651">
        <f t="shared" si="93"/>
        <v>0</v>
      </c>
      <c r="AD231" s="651">
        <f t="shared" si="93"/>
        <v>188333124732</v>
      </c>
      <c r="AE231" s="651"/>
      <c r="AF231" s="652"/>
      <c r="AG231" s="657"/>
      <c r="AH231" s="657"/>
      <c r="AI231" s="657"/>
      <c r="AJ231" s="657"/>
      <c r="AK231" s="657"/>
      <c r="AL231" s="657"/>
      <c r="AM231" s="657"/>
      <c r="AN231" s="657"/>
      <c r="AO231" s="657"/>
      <c r="AP231" s="657"/>
      <c r="AQ231" s="657"/>
      <c r="AR231" s="657"/>
      <c r="AS231" s="657"/>
      <c r="AT231" s="657"/>
      <c r="AU231" s="657"/>
      <c r="AV231" s="657"/>
      <c r="AW231" s="657"/>
      <c r="AX231" s="657"/>
      <c r="AY231" s="657"/>
      <c r="AZ231" s="657"/>
      <c r="BA231" s="657"/>
      <c r="BB231" s="657"/>
      <c r="BC231" s="657"/>
      <c r="BD231" s="657"/>
      <c r="BE231" s="657"/>
      <c r="BF231" s="657"/>
      <c r="BG231" s="657"/>
      <c r="BH231" s="657"/>
      <c r="BI231" s="657"/>
      <c r="BJ231" s="657"/>
      <c r="BK231" s="657"/>
      <c r="BL231" s="657"/>
      <c r="BM231" s="657"/>
      <c r="BN231" s="657"/>
      <c r="BO231" s="657"/>
      <c r="BP231" s="657"/>
      <c r="BQ231" s="657"/>
      <c r="BR231" s="657"/>
      <c r="BS231" s="657"/>
      <c r="BT231" s="657"/>
    </row>
    <row r="232" spans="1:72" ht="27.75" customHeight="1" x14ac:dyDescent="0.2">
      <c r="A232" s="297"/>
      <c r="B232" s="280">
        <v>1</v>
      </c>
      <c r="C232" s="155" t="s">
        <v>120</v>
      </c>
      <c r="D232" s="348"/>
      <c r="E232" s="155"/>
      <c r="F232" s="155"/>
      <c r="G232" s="155"/>
      <c r="H232" s="281"/>
      <c r="I232" s="282"/>
      <c r="J232" s="280"/>
      <c r="K232" s="283"/>
      <c r="L232" s="284"/>
      <c r="M232" s="280"/>
      <c r="N232" s="285"/>
      <c r="O232" s="283"/>
      <c r="P232" s="283"/>
      <c r="Q232" s="286">
        <f>Q233</f>
        <v>0</v>
      </c>
      <c r="R232" s="286">
        <f t="shared" ref="R232:AC232" si="94">R233</f>
        <v>0</v>
      </c>
      <c r="S232" s="286">
        <f t="shared" si="94"/>
        <v>0</v>
      </c>
      <c r="T232" s="286">
        <f t="shared" si="94"/>
        <v>1304977490</v>
      </c>
      <c r="U232" s="286">
        <f t="shared" si="94"/>
        <v>0</v>
      </c>
      <c r="V232" s="286">
        <f t="shared" si="94"/>
        <v>0</v>
      </c>
      <c r="W232" s="286">
        <f t="shared" si="94"/>
        <v>143885000000</v>
      </c>
      <c r="X232" s="286">
        <f t="shared" si="94"/>
        <v>25145000000</v>
      </c>
      <c r="Y232" s="286">
        <f t="shared" si="94"/>
        <v>12990000000</v>
      </c>
      <c r="Z232" s="286">
        <f t="shared" si="94"/>
        <v>0</v>
      </c>
      <c r="AA232" s="286">
        <f t="shared" si="94"/>
        <v>5000647242</v>
      </c>
      <c r="AB232" s="286">
        <f t="shared" si="94"/>
        <v>0</v>
      </c>
      <c r="AC232" s="286">
        <f t="shared" si="94"/>
        <v>0</v>
      </c>
      <c r="AD232" s="286">
        <f>AD233</f>
        <v>188325624732</v>
      </c>
      <c r="AE232" s="286">
        <f>AE234+AE269</f>
        <v>0</v>
      </c>
      <c r="AF232" s="340"/>
    </row>
    <row r="233" spans="1:72" s="9" customFormat="1" ht="27.75" customHeight="1" x14ac:dyDescent="0.25">
      <c r="A233" s="279"/>
      <c r="B233" s="194"/>
      <c r="C233" s="159">
        <v>22</v>
      </c>
      <c r="D233" s="156" t="s">
        <v>231</v>
      </c>
      <c r="E233" s="156"/>
      <c r="F233" s="287"/>
      <c r="G233" s="288"/>
      <c r="H233" s="289"/>
      <c r="I233" s="290"/>
      <c r="J233" s="291"/>
      <c r="K233" s="292"/>
      <c r="L233" s="293"/>
      <c r="M233" s="291"/>
      <c r="N233" s="392"/>
      <c r="O233" s="295"/>
      <c r="P233" s="295"/>
      <c r="Q233" s="296">
        <f t="shared" ref="Q233:AD233" si="95">Q234+Q269</f>
        <v>0</v>
      </c>
      <c r="R233" s="296">
        <f t="shared" si="95"/>
        <v>0</v>
      </c>
      <c r="S233" s="296">
        <f t="shared" si="95"/>
        <v>0</v>
      </c>
      <c r="T233" s="296">
        <f t="shared" si="95"/>
        <v>1304977490</v>
      </c>
      <c r="U233" s="296">
        <f t="shared" si="95"/>
        <v>0</v>
      </c>
      <c r="V233" s="296">
        <f t="shared" si="95"/>
        <v>0</v>
      </c>
      <c r="W233" s="296">
        <f t="shared" si="95"/>
        <v>143885000000</v>
      </c>
      <c r="X233" s="296">
        <f t="shared" si="95"/>
        <v>25145000000</v>
      </c>
      <c r="Y233" s="296">
        <f t="shared" si="95"/>
        <v>12990000000</v>
      </c>
      <c r="Z233" s="296">
        <f t="shared" si="95"/>
        <v>0</v>
      </c>
      <c r="AA233" s="296">
        <f t="shared" si="95"/>
        <v>5000647242</v>
      </c>
      <c r="AB233" s="296">
        <f t="shared" si="95"/>
        <v>0</v>
      </c>
      <c r="AC233" s="296">
        <f t="shared" si="95"/>
        <v>0</v>
      </c>
      <c r="AD233" s="296">
        <f t="shared" si="95"/>
        <v>188325624732</v>
      </c>
      <c r="AE233" s="296"/>
      <c r="AF233" s="341"/>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row>
    <row r="234" spans="1:72" ht="30.75" customHeight="1" x14ac:dyDescent="0.2">
      <c r="A234" s="297"/>
      <c r="B234" s="204"/>
      <c r="C234" s="204"/>
      <c r="D234" s="204"/>
      <c r="E234" s="298">
        <v>2201</v>
      </c>
      <c r="F234" s="188" t="s">
        <v>133</v>
      </c>
      <c r="G234" s="366"/>
      <c r="H234" s="307"/>
      <c r="I234" s="308"/>
      <c r="J234" s="309"/>
      <c r="K234" s="299"/>
      <c r="L234" s="310"/>
      <c r="M234" s="309"/>
      <c r="N234" s="311"/>
      <c r="O234" s="299"/>
      <c r="P234" s="299"/>
      <c r="Q234" s="300">
        <f t="shared" ref="Q234:AE234" si="96">SUM(Q235:Q268)</f>
        <v>0</v>
      </c>
      <c r="R234" s="300">
        <f t="shared" si="96"/>
        <v>0</v>
      </c>
      <c r="S234" s="300">
        <f t="shared" si="96"/>
        <v>0</v>
      </c>
      <c r="T234" s="300">
        <f t="shared" si="96"/>
        <v>1304977490</v>
      </c>
      <c r="U234" s="300">
        <f t="shared" si="96"/>
        <v>0</v>
      </c>
      <c r="V234" s="300">
        <f t="shared" si="96"/>
        <v>0</v>
      </c>
      <c r="W234" s="300">
        <f t="shared" si="96"/>
        <v>143885000000</v>
      </c>
      <c r="X234" s="300">
        <f t="shared" si="96"/>
        <v>25145000000</v>
      </c>
      <c r="Y234" s="300">
        <f t="shared" si="96"/>
        <v>12990000000</v>
      </c>
      <c r="Z234" s="300">
        <f t="shared" si="96"/>
        <v>0</v>
      </c>
      <c r="AA234" s="300">
        <f t="shared" si="96"/>
        <v>4900647242</v>
      </c>
      <c r="AB234" s="300">
        <f t="shared" si="96"/>
        <v>0</v>
      </c>
      <c r="AC234" s="300">
        <f t="shared" si="96"/>
        <v>0</v>
      </c>
      <c r="AD234" s="300">
        <f t="shared" si="96"/>
        <v>188225624732</v>
      </c>
      <c r="AE234" s="300">
        <f t="shared" si="96"/>
        <v>0</v>
      </c>
      <c r="AF234" s="312"/>
    </row>
    <row r="235" spans="1:72" s="4" customFormat="1" ht="130.5" customHeight="1" x14ac:dyDescent="0.2">
      <c r="A235" s="140"/>
      <c r="B235" s="223"/>
      <c r="C235" s="223"/>
      <c r="D235" s="223"/>
      <c r="E235" s="226"/>
      <c r="F235" s="222"/>
      <c r="G235" s="186" t="s">
        <v>603</v>
      </c>
      <c r="H235" s="196">
        <v>2201030</v>
      </c>
      <c r="I235" s="186" t="s">
        <v>604</v>
      </c>
      <c r="J235" s="457">
        <v>220103000</v>
      </c>
      <c r="K235" s="410" t="s">
        <v>605</v>
      </c>
      <c r="L235" s="261" t="s">
        <v>42</v>
      </c>
      <c r="M235" s="261">
        <v>2500</v>
      </c>
      <c r="N235" s="748" t="s">
        <v>566</v>
      </c>
      <c r="O235" s="753" t="s">
        <v>567</v>
      </c>
      <c r="P235" s="749" t="s">
        <v>568</v>
      </c>
      <c r="Q235" s="264"/>
      <c r="R235" s="264"/>
      <c r="S235" s="264"/>
      <c r="T235" s="264"/>
      <c r="U235" s="264"/>
      <c r="V235" s="458"/>
      <c r="W235" s="264">
        <f>1726000000-55000000</f>
        <v>1671000000</v>
      </c>
      <c r="X235" s="264"/>
      <c r="Y235" s="459"/>
      <c r="Z235" s="264"/>
      <c r="AA235" s="332"/>
      <c r="AB235" s="264"/>
      <c r="AC235" s="264"/>
      <c r="AD235" s="411">
        <f t="shared" ref="AD235" si="97">+Q235+R235+S235+T235+U235+V235+W235+X235+Y235+Z235+AA235+AB235+AC235</f>
        <v>1671000000</v>
      </c>
      <c r="AE235" s="411" t="s">
        <v>569</v>
      </c>
      <c r="AF235" s="412" t="s">
        <v>570</v>
      </c>
    </row>
    <row r="236" spans="1:72" ht="91.5" customHeight="1" x14ac:dyDescent="0.2">
      <c r="A236" s="297"/>
      <c r="B236" s="204"/>
      <c r="C236" s="204"/>
      <c r="D236" s="204"/>
      <c r="E236" s="200"/>
      <c r="F236" s="209"/>
      <c r="G236" s="195" t="s">
        <v>563</v>
      </c>
      <c r="H236" s="196">
        <v>2201033</v>
      </c>
      <c r="I236" s="186" t="s">
        <v>564</v>
      </c>
      <c r="J236" s="457">
        <v>220103300</v>
      </c>
      <c r="K236" s="410" t="s">
        <v>565</v>
      </c>
      <c r="L236" s="445" t="s">
        <v>54</v>
      </c>
      <c r="M236" s="445">
        <v>9000</v>
      </c>
      <c r="N236" s="748"/>
      <c r="O236" s="753"/>
      <c r="P236" s="749"/>
      <c r="Q236" s="303"/>
      <c r="R236" s="303"/>
      <c r="S236" s="303"/>
      <c r="T236" s="303"/>
      <c r="U236" s="303"/>
      <c r="V236" s="460"/>
      <c r="W236" s="303"/>
      <c r="X236" s="303"/>
      <c r="Y236" s="461"/>
      <c r="Z236" s="303"/>
      <c r="AA236" s="462">
        <f>18000000</f>
        <v>18000000</v>
      </c>
      <c r="AB236" s="303"/>
      <c r="AC236" s="303"/>
      <c r="AD236" s="305">
        <f t="shared" ref="AD236" si="98">+Q236+R236+S236+T236+U236+V236+W236+X236+Y236+Z236+AA236+AB236+AC236</f>
        <v>18000000</v>
      </c>
      <c r="AE236" s="305" t="s">
        <v>569</v>
      </c>
      <c r="AF236" s="149" t="s">
        <v>570</v>
      </c>
    </row>
    <row r="237" spans="1:72" s="4" customFormat="1" ht="66" customHeight="1" x14ac:dyDescent="0.2">
      <c r="A237" s="140"/>
      <c r="B237" s="223"/>
      <c r="C237" s="223"/>
      <c r="D237" s="223"/>
      <c r="E237" s="226"/>
      <c r="F237" s="232"/>
      <c r="G237" s="186" t="s">
        <v>606</v>
      </c>
      <c r="H237" s="196">
        <v>2201032</v>
      </c>
      <c r="I237" s="186" t="s">
        <v>607</v>
      </c>
      <c r="J237" s="203">
        <v>220103200</v>
      </c>
      <c r="K237" s="267" t="s">
        <v>608</v>
      </c>
      <c r="L237" s="261" t="s">
        <v>54</v>
      </c>
      <c r="M237" s="261">
        <v>200</v>
      </c>
      <c r="N237" s="748"/>
      <c r="O237" s="753"/>
      <c r="P237" s="749"/>
      <c r="Q237" s="264"/>
      <c r="R237" s="264"/>
      <c r="S237" s="264"/>
      <c r="T237" s="264"/>
      <c r="U237" s="264"/>
      <c r="V237" s="458"/>
      <c r="W237" s="264"/>
      <c r="X237" s="264"/>
      <c r="Y237" s="459"/>
      <c r="Z237" s="264"/>
      <c r="AA237" s="463">
        <v>10000000</v>
      </c>
      <c r="AB237" s="264"/>
      <c r="AC237" s="264"/>
      <c r="AD237" s="411">
        <f t="shared" ref="AD237" si="99">+Q237+R237+S237+T237+U237+V237+W237+X237+Y237+Z237+AA237+AB237+AC237</f>
        <v>10000000</v>
      </c>
      <c r="AE237" s="411" t="s">
        <v>569</v>
      </c>
      <c r="AF237" s="412" t="s">
        <v>570</v>
      </c>
    </row>
    <row r="238" spans="1:72" s="4" customFormat="1" ht="175.5" customHeight="1" x14ac:dyDescent="0.2">
      <c r="A238" s="140"/>
      <c r="B238" s="223"/>
      <c r="C238" s="223"/>
      <c r="D238" s="223"/>
      <c r="E238" s="226"/>
      <c r="F238" s="222"/>
      <c r="G238" s="186" t="s">
        <v>600</v>
      </c>
      <c r="H238" s="196">
        <v>2201055</v>
      </c>
      <c r="I238" s="186" t="s">
        <v>601</v>
      </c>
      <c r="J238" s="457">
        <v>220105500</v>
      </c>
      <c r="K238" s="410" t="s">
        <v>602</v>
      </c>
      <c r="L238" s="261" t="s">
        <v>42</v>
      </c>
      <c r="M238" s="261">
        <v>1</v>
      </c>
      <c r="N238" s="748"/>
      <c r="O238" s="753"/>
      <c r="P238" s="749"/>
      <c r="Q238" s="264"/>
      <c r="R238" s="264"/>
      <c r="S238" s="264"/>
      <c r="T238" s="264"/>
      <c r="U238" s="264"/>
      <c r="V238" s="458"/>
      <c r="W238" s="303">
        <f>20000000+7500000+42500000</f>
        <v>70000000</v>
      </c>
      <c r="X238" s="303"/>
      <c r="Y238" s="461"/>
      <c r="Z238" s="264"/>
      <c r="AA238" s="332">
        <v>0</v>
      </c>
      <c r="AB238" s="264"/>
      <c r="AC238" s="264"/>
      <c r="AD238" s="411">
        <f t="shared" ref="AD238" si="100">+Q238+R238+S238+T238+U238+V238+W238+X238+Y238+Z238+AA238+AB238+AC238</f>
        <v>70000000</v>
      </c>
      <c r="AE238" s="411" t="s">
        <v>569</v>
      </c>
      <c r="AF238" s="412" t="s">
        <v>570</v>
      </c>
    </row>
    <row r="239" spans="1:72" s="4" customFormat="1" ht="144.75" customHeight="1" x14ac:dyDescent="0.2">
      <c r="A239" s="140"/>
      <c r="B239" s="223"/>
      <c r="C239" s="223"/>
      <c r="D239" s="223"/>
      <c r="E239" s="226"/>
      <c r="F239" s="232"/>
      <c r="G239" s="186" t="s">
        <v>574</v>
      </c>
      <c r="H239" s="196">
        <v>2201067</v>
      </c>
      <c r="I239" s="186" t="s">
        <v>620</v>
      </c>
      <c r="J239" s="203">
        <v>220106700</v>
      </c>
      <c r="K239" s="267" t="s">
        <v>621</v>
      </c>
      <c r="L239" s="261" t="s">
        <v>42</v>
      </c>
      <c r="M239" s="434">
        <v>54</v>
      </c>
      <c r="N239" s="748"/>
      <c r="O239" s="753"/>
      <c r="P239" s="749"/>
      <c r="Q239" s="264"/>
      <c r="R239" s="264"/>
      <c r="S239" s="264"/>
      <c r="T239" s="264"/>
      <c r="U239" s="264"/>
      <c r="V239" s="458"/>
      <c r="W239" s="303"/>
      <c r="X239" s="303"/>
      <c r="Y239" s="461"/>
      <c r="Z239" s="264"/>
      <c r="AA239" s="463">
        <v>10000000</v>
      </c>
      <c r="AB239" s="264"/>
      <c r="AC239" s="264"/>
      <c r="AD239" s="411">
        <f t="shared" ref="AD239" si="101">+Q239+R239+S239+T239+U239+V239+W239+X239+Y239+Z239+AA239+AB239+AC239</f>
        <v>10000000</v>
      </c>
      <c r="AE239" s="411" t="s">
        <v>569</v>
      </c>
      <c r="AF239" s="412" t="s">
        <v>570</v>
      </c>
    </row>
    <row r="240" spans="1:72" ht="112.5" customHeight="1" x14ac:dyDescent="0.2">
      <c r="A240" s="297"/>
      <c r="B240" s="204"/>
      <c r="C240" s="204"/>
      <c r="D240" s="204"/>
      <c r="E240" s="200"/>
      <c r="F240" s="209"/>
      <c r="G240" s="195" t="s">
        <v>574</v>
      </c>
      <c r="H240" s="196">
        <v>2201028</v>
      </c>
      <c r="I240" s="186" t="s">
        <v>575</v>
      </c>
      <c r="J240" s="457">
        <v>220102801</v>
      </c>
      <c r="K240" s="267" t="s">
        <v>576</v>
      </c>
      <c r="L240" s="445" t="s">
        <v>42</v>
      </c>
      <c r="M240" s="445">
        <v>36000</v>
      </c>
      <c r="N240" s="748"/>
      <c r="O240" s="753"/>
      <c r="P240" s="749"/>
      <c r="Q240" s="303"/>
      <c r="R240" s="303"/>
      <c r="S240" s="303"/>
      <c r="T240" s="303"/>
      <c r="U240" s="303"/>
      <c r="V240" s="460"/>
      <c r="W240" s="303"/>
      <c r="X240" s="571"/>
      <c r="Y240" s="572">
        <f>12990000000</f>
        <v>12990000000</v>
      </c>
      <c r="Z240" s="303"/>
      <c r="AA240" s="402">
        <v>250000000</v>
      </c>
      <c r="AB240" s="402"/>
      <c r="AC240" s="303"/>
      <c r="AD240" s="305">
        <f t="shared" ref="AD240:AD256" si="102">+Q240+R240+S240+T240+U240+V240+W240+X240+Y240+Z240+AA240+AB240+AC240</f>
        <v>13240000000</v>
      </c>
      <c r="AE240" s="305" t="s">
        <v>569</v>
      </c>
      <c r="AF240" s="149" t="s">
        <v>570</v>
      </c>
    </row>
    <row r="241" spans="1:32" ht="165" customHeight="1" x14ac:dyDescent="0.2">
      <c r="A241" s="297"/>
      <c r="B241" s="204"/>
      <c r="C241" s="204"/>
      <c r="D241" s="204"/>
      <c r="E241" s="200"/>
      <c r="F241" s="209"/>
      <c r="G241" s="195" t="s">
        <v>574</v>
      </c>
      <c r="H241" s="196">
        <v>2201029</v>
      </c>
      <c r="I241" s="186" t="s">
        <v>577</v>
      </c>
      <c r="J241" s="457">
        <v>220102900</v>
      </c>
      <c r="K241" s="267" t="s">
        <v>578</v>
      </c>
      <c r="L241" s="445" t="s">
        <v>54</v>
      </c>
      <c r="M241" s="445">
        <v>1000</v>
      </c>
      <c r="N241" s="748"/>
      <c r="O241" s="753"/>
      <c r="P241" s="749"/>
      <c r="Q241" s="303"/>
      <c r="R241" s="303"/>
      <c r="S241" s="303"/>
      <c r="T241" s="303"/>
      <c r="U241" s="303"/>
      <c r="V241" s="460"/>
      <c r="W241" s="303"/>
      <c r="X241" s="303"/>
      <c r="Y241" s="461"/>
      <c r="Z241" s="303"/>
      <c r="AA241" s="463">
        <v>380000000</v>
      </c>
      <c r="AB241" s="303"/>
      <c r="AC241" s="303"/>
      <c r="AD241" s="305">
        <f t="shared" si="102"/>
        <v>380000000</v>
      </c>
      <c r="AE241" s="305" t="s">
        <v>569</v>
      </c>
      <c r="AF241" s="149" t="s">
        <v>570</v>
      </c>
    </row>
    <row r="242" spans="1:32" ht="138.75" customHeight="1" x14ac:dyDescent="0.2">
      <c r="A242" s="297"/>
      <c r="B242" s="204"/>
      <c r="C242" s="204"/>
      <c r="D242" s="204"/>
      <c r="E242" s="200"/>
      <c r="F242" s="209"/>
      <c r="G242" s="195" t="s">
        <v>134</v>
      </c>
      <c r="H242" s="196">
        <v>2201062</v>
      </c>
      <c r="I242" s="186" t="s">
        <v>135</v>
      </c>
      <c r="J242" s="196">
        <v>220106200</v>
      </c>
      <c r="K242" s="267" t="s">
        <v>136</v>
      </c>
      <c r="L242" s="209" t="s">
        <v>54</v>
      </c>
      <c r="M242" s="196">
        <v>15</v>
      </c>
      <c r="N242" s="748"/>
      <c r="O242" s="753"/>
      <c r="P242" s="749"/>
      <c r="Q242" s="303"/>
      <c r="R242" s="303"/>
      <c r="S242" s="303"/>
      <c r="T242" s="303"/>
      <c r="U242" s="303"/>
      <c r="V242" s="460"/>
      <c r="W242" s="303"/>
      <c r="X242" s="303"/>
      <c r="Y242" s="461"/>
      <c r="Z242" s="303"/>
      <c r="AA242" s="332">
        <v>30000000</v>
      </c>
      <c r="AB242" s="303"/>
      <c r="AC242" s="303"/>
      <c r="AD242" s="305">
        <f t="shared" ref="AD242:AD251" si="103">+Q242+R242+S242+T242+U242+V242+W242+X242+Y242+Z242+AA242+AB242+AC242</f>
        <v>30000000</v>
      </c>
      <c r="AE242" s="305" t="s">
        <v>569</v>
      </c>
      <c r="AF242" s="149" t="s">
        <v>570</v>
      </c>
    </row>
    <row r="243" spans="1:32" ht="102.6" customHeight="1" x14ac:dyDescent="0.2">
      <c r="A243" s="297"/>
      <c r="B243" s="204"/>
      <c r="C243" s="204"/>
      <c r="D243" s="204"/>
      <c r="E243" s="200"/>
      <c r="F243" s="405"/>
      <c r="G243" s="195" t="s">
        <v>571</v>
      </c>
      <c r="H243" s="196">
        <v>2201063</v>
      </c>
      <c r="I243" s="186" t="s">
        <v>579</v>
      </c>
      <c r="J243" s="203">
        <v>220106300</v>
      </c>
      <c r="K243" s="267" t="s">
        <v>580</v>
      </c>
      <c r="L243" s="378" t="s">
        <v>54</v>
      </c>
      <c r="M243" s="261">
        <v>2</v>
      </c>
      <c r="N243" s="748"/>
      <c r="O243" s="753"/>
      <c r="P243" s="749"/>
      <c r="Q243" s="303"/>
      <c r="R243" s="303"/>
      <c r="S243" s="303"/>
      <c r="T243" s="303"/>
      <c r="U243" s="303"/>
      <c r="V243" s="460"/>
      <c r="W243" s="303"/>
      <c r="X243" s="303"/>
      <c r="Y243" s="461"/>
      <c r="Z243" s="303"/>
      <c r="AA243" s="463">
        <v>30000000</v>
      </c>
      <c r="AB243" s="303"/>
      <c r="AC243" s="303"/>
      <c r="AD243" s="305">
        <f t="shared" si="103"/>
        <v>30000000</v>
      </c>
      <c r="AE243" s="305" t="s">
        <v>569</v>
      </c>
      <c r="AF243" s="149" t="s">
        <v>570</v>
      </c>
    </row>
    <row r="244" spans="1:32" ht="102.6" customHeight="1" x14ac:dyDescent="0.2">
      <c r="A244" s="297"/>
      <c r="B244" s="204"/>
      <c r="C244" s="204"/>
      <c r="D244" s="204"/>
      <c r="E244" s="200"/>
      <c r="F244" s="405"/>
      <c r="G244" s="195" t="s">
        <v>571</v>
      </c>
      <c r="H244" s="196">
        <v>2201069</v>
      </c>
      <c r="I244" s="186" t="s">
        <v>582</v>
      </c>
      <c r="J244" s="203">
        <v>220106900</v>
      </c>
      <c r="K244" s="267" t="s">
        <v>583</v>
      </c>
      <c r="L244" s="378" t="s">
        <v>54</v>
      </c>
      <c r="M244" s="261">
        <v>3</v>
      </c>
      <c r="N244" s="748"/>
      <c r="O244" s="753"/>
      <c r="P244" s="749"/>
      <c r="Q244" s="303"/>
      <c r="R244" s="303"/>
      <c r="S244" s="303"/>
      <c r="T244" s="303"/>
      <c r="U244" s="303"/>
      <c r="V244" s="460"/>
      <c r="W244" s="303">
        <f>37500000+12500000</f>
        <v>50000000</v>
      </c>
      <c r="X244" s="303"/>
      <c r="Y244" s="461"/>
      <c r="Z244" s="303"/>
      <c r="AA244" s="463">
        <v>20000000</v>
      </c>
      <c r="AB244" s="303"/>
      <c r="AC244" s="303"/>
      <c r="AD244" s="305">
        <f t="shared" si="103"/>
        <v>70000000</v>
      </c>
      <c r="AE244" s="305" t="s">
        <v>569</v>
      </c>
      <c r="AF244" s="149" t="s">
        <v>570</v>
      </c>
    </row>
    <row r="245" spans="1:32" ht="138" customHeight="1" x14ac:dyDescent="0.2">
      <c r="A245" s="297"/>
      <c r="B245" s="204"/>
      <c r="C245" s="204"/>
      <c r="D245" s="204"/>
      <c r="E245" s="200"/>
      <c r="F245" s="405"/>
      <c r="G245" s="195" t="s">
        <v>584</v>
      </c>
      <c r="H245" s="196">
        <v>2201018</v>
      </c>
      <c r="I245" s="186" t="s">
        <v>585</v>
      </c>
      <c r="J245" s="203">
        <v>220101802</v>
      </c>
      <c r="K245" s="267" t="s">
        <v>586</v>
      </c>
      <c r="L245" s="378" t="s">
        <v>42</v>
      </c>
      <c r="M245" s="261">
        <v>1</v>
      </c>
      <c r="N245" s="748" t="s">
        <v>587</v>
      </c>
      <c r="O245" s="753" t="s">
        <v>588</v>
      </c>
      <c r="P245" s="749" t="s">
        <v>589</v>
      </c>
      <c r="Q245" s="303"/>
      <c r="R245" s="303"/>
      <c r="S245" s="303"/>
      <c r="T245" s="303"/>
      <c r="U245" s="303"/>
      <c r="V245" s="460"/>
      <c r="W245" s="264"/>
      <c r="X245" s="303"/>
      <c r="Y245" s="461"/>
      <c r="Z245" s="303"/>
      <c r="AA245" s="402">
        <v>6000000</v>
      </c>
      <c r="AB245" s="303"/>
      <c r="AC245" s="303"/>
      <c r="AD245" s="305">
        <f t="shared" si="103"/>
        <v>6000000</v>
      </c>
      <c r="AE245" s="305" t="s">
        <v>569</v>
      </c>
      <c r="AF245" s="149" t="s">
        <v>570</v>
      </c>
    </row>
    <row r="246" spans="1:32" ht="85.5" customHeight="1" x14ac:dyDescent="0.2">
      <c r="A246" s="297"/>
      <c r="B246" s="204"/>
      <c r="C246" s="204"/>
      <c r="D246" s="204"/>
      <c r="E246" s="200"/>
      <c r="F246" s="405"/>
      <c r="G246" s="195" t="s">
        <v>590</v>
      </c>
      <c r="H246" s="196">
        <v>2201037</v>
      </c>
      <c r="I246" s="186" t="s">
        <v>591</v>
      </c>
      <c r="J246" s="457">
        <v>220103700</v>
      </c>
      <c r="K246" s="410" t="s">
        <v>1178</v>
      </c>
      <c r="L246" s="378" t="s">
        <v>42</v>
      </c>
      <c r="M246" s="261">
        <v>54</v>
      </c>
      <c r="N246" s="748"/>
      <c r="O246" s="753"/>
      <c r="P246" s="749"/>
      <c r="Q246" s="303"/>
      <c r="R246" s="303"/>
      <c r="S246" s="303"/>
      <c r="T246" s="303"/>
      <c r="U246" s="303"/>
      <c r="V246" s="460"/>
      <c r="W246" s="264"/>
      <c r="X246" s="303"/>
      <c r="Y246" s="461"/>
      <c r="Z246" s="303"/>
      <c r="AA246" s="402">
        <v>10000000</v>
      </c>
      <c r="AB246" s="303"/>
      <c r="AC246" s="303"/>
      <c r="AD246" s="305">
        <f t="shared" si="103"/>
        <v>10000000</v>
      </c>
      <c r="AE246" s="305" t="s">
        <v>569</v>
      </c>
      <c r="AF246" s="149" t="s">
        <v>570</v>
      </c>
    </row>
    <row r="247" spans="1:32" ht="218.25" customHeight="1" x14ac:dyDescent="0.2">
      <c r="A247" s="297"/>
      <c r="B247" s="204"/>
      <c r="C247" s="204"/>
      <c r="D247" s="204"/>
      <c r="E247" s="200"/>
      <c r="F247" s="405"/>
      <c r="G247" s="195" t="s">
        <v>592</v>
      </c>
      <c r="H247" s="196">
        <v>2201073</v>
      </c>
      <c r="I247" s="186" t="s">
        <v>593</v>
      </c>
      <c r="J247" s="203">
        <v>220107300</v>
      </c>
      <c r="K247" s="187" t="s">
        <v>594</v>
      </c>
      <c r="L247" s="378" t="s">
        <v>54</v>
      </c>
      <c r="M247" s="261">
        <v>7774</v>
      </c>
      <c r="N247" s="748" t="s">
        <v>595</v>
      </c>
      <c r="O247" s="754" t="s">
        <v>1248</v>
      </c>
      <c r="P247" s="754" t="s">
        <v>596</v>
      </c>
      <c r="Q247" s="303"/>
      <c r="R247" s="303"/>
      <c r="S247" s="303"/>
      <c r="T247" s="303"/>
      <c r="U247" s="303"/>
      <c r="V247" s="460"/>
      <c r="W247" s="264"/>
      <c r="X247" s="303"/>
      <c r="Y247" s="461"/>
      <c r="Z247" s="303"/>
      <c r="AA247" s="402">
        <v>20000000</v>
      </c>
      <c r="AB247" s="303"/>
      <c r="AC247" s="303"/>
      <c r="AD247" s="305">
        <f t="shared" si="103"/>
        <v>20000000</v>
      </c>
      <c r="AE247" s="305" t="s">
        <v>569</v>
      </c>
      <c r="AF247" s="149" t="s">
        <v>570</v>
      </c>
    </row>
    <row r="248" spans="1:32" s="4" customFormat="1" ht="138.75" customHeight="1" x14ac:dyDescent="0.2">
      <c r="A248" s="140"/>
      <c r="B248" s="223"/>
      <c r="C248" s="223"/>
      <c r="D248" s="223"/>
      <c r="E248" s="226"/>
      <c r="F248" s="232"/>
      <c r="G248" s="186" t="s">
        <v>581</v>
      </c>
      <c r="H248" s="196">
        <v>2201068</v>
      </c>
      <c r="I248" s="186" t="s">
        <v>229</v>
      </c>
      <c r="J248" s="457">
        <v>220106800</v>
      </c>
      <c r="K248" s="410" t="s">
        <v>230</v>
      </c>
      <c r="L248" s="674" t="s">
        <v>54</v>
      </c>
      <c r="M248" s="190">
        <v>70</v>
      </c>
      <c r="N248" s="748"/>
      <c r="O248" s="754"/>
      <c r="P248" s="754"/>
      <c r="Q248" s="264"/>
      <c r="R248" s="264"/>
      <c r="S248" s="264">
        <v>0</v>
      </c>
      <c r="T248" s="264">
        <v>0</v>
      </c>
      <c r="U248" s="264">
        <v>0</v>
      </c>
      <c r="V248" s="458">
        <v>0</v>
      </c>
      <c r="W248" s="264">
        <v>0</v>
      </c>
      <c r="X248" s="264">
        <v>0</v>
      </c>
      <c r="Y248" s="459">
        <v>0</v>
      </c>
      <c r="Z248" s="264">
        <v>0</v>
      </c>
      <c r="AA248" s="332">
        <v>18000000</v>
      </c>
      <c r="AB248" s="264">
        <v>0</v>
      </c>
      <c r="AC248" s="264">
        <v>0</v>
      </c>
      <c r="AD248" s="411">
        <f t="shared" ref="AD248" si="104">+Q248+R248+S248+T248+U248+V248+W248+X248+Y248+Z248+AA248+AB248+AC248</f>
        <v>18000000</v>
      </c>
      <c r="AE248" s="411" t="s">
        <v>569</v>
      </c>
      <c r="AF248" s="412" t="s">
        <v>570</v>
      </c>
    </row>
    <row r="249" spans="1:32" ht="48.75" customHeight="1" x14ac:dyDescent="0.2">
      <c r="A249" s="297"/>
      <c r="B249" s="204"/>
      <c r="C249" s="204"/>
      <c r="D249" s="204"/>
      <c r="E249" s="200"/>
      <c r="F249" s="209"/>
      <c r="G249" s="195" t="s">
        <v>571</v>
      </c>
      <c r="H249" s="196">
        <v>2201026</v>
      </c>
      <c r="I249" s="186" t="s">
        <v>572</v>
      </c>
      <c r="J249" s="457">
        <v>220102600</v>
      </c>
      <c r="K249" s="267" t="s">
        <v>573</v>
      </c>
      <c r="L249" s="378" t="s">
        <v>54</v>
      </c>
      <c r="M249" s="261">
        <v>17</v>
      </c>
      <c r="N249" s="748"/>
      <c r="O249" s="754"/>
      <c r="P249" s="754"/>
      <c r="Q249" s="303"/>
      <c r="R249" s="303"/>
      <c r="S249" s="303"/>
      <c r="T249" s="303"/>
      <c r="U249" s="303"/>
      <c r="V249" s="460"/>
      <c r="W249" s="264">
        <v>25000000</v>
      </c>
      <c r="X249" s="264"/>
      <c r="Y249" s="459"/>
      <c r="Z249" s="303"/>
      <c r="AA249" s="329">
        <v>18000000</v>
      </c>
      <c r="AB249" s="303"/>
      <c r="AC249" s="303"/>
      <c r="AD249" s="305">
        <f>+Q249+R249+S249+T249+U249+V249+W249+X249+Y249+Z249+AA249+AB249+AC249</f>
        <v>43000000</v>
      </c>
      <c r="AE249" s="305" t="s">
        <v>569</v>
      </c>
      <c r="AF249" s="149" t="s">
        <v>570</v>
      </c>
    </row>
    <row r="250" spans="1:32" ht="84" customHeight="1" x14ac:dyDescent="0.2">
      <c r="A250" s="297"/>
      <c r="B250" s="204"/>
      <c r="C250" s="204"/>
      <c r="D250" s="204"/>
      <c r="E250" s="200"/>
      <c r="F250" s="405"/>
      <c r="G250" s="195" t="s">
        <v>592</v>
      </c>
      <c r="H250" s="196">
        <v>2201074</v>
      </c>
      <c r="I250" s="186" t="s">
        <v>1262</v>
      </c>
      <c r="J250" s="203">
        <v>220107400</v>
      </c>
      <c r="K250" s="187" t="s">
        <v>597</v>
      </c>
      <c r="L250" s="378" t="s">
        <v>54</v>
      </c>
      <c r="M250" s="261">
        <v>606</v>
      </c>
      <c r="N250" s="748"/>
      <c r="O250" s="754"/>
      <c r="P250" s="754"/>
      <c r="Q250" s="303"/>
      <c r="R250" s="303"/>
      <c r="S250" s="303"/>
      <c r="T250" s="303"/>
      <c r="U250" s="303"/>
      <c r="V250" s="460"/>
      <c r="W250" s="264"/>
      <c r="X250" s="303"/>
      <c r="Y250" s="461"/>
      <c r="Z250" s="303"/>
      <c r="AA250" s="402">
        <v>20000000</v>
      </c>
      <c r="AB250" s="303"/>
      <c r="AC250" s="303"/>
      <c r="AD250" s="305">
        <f t="shared" si="103"/>
        <v>20000000</v>
      </c>
      <c r="AE250" s="305" t="s">
        <v>569</v>
      </c>
      <c r="AF250" s="149" t="s">
        <v>570</v>
      </c>
    </row>
    <row r="251" spans="1:32" ht="109.5" customHeight="1" x14ac:dyDescent="0.2">
      <c r="A251" s="297"/>
      <c r="B251" s="204"/>
      <c r="C251" s="204"/>
      <c r="D251" s="204"/>
      <c r="E251" s="200"/>
      <c r="F251" s="405"/>
      <c r="G251" s="195" t="s">
        <v>592</v>
      </c>
      <c r="H251" s="190">
        <v>2201074</v>
      </c>
      <c r="I251" s="679" t="s">
        <v>598</v>
      </c>
      <c r="J251" s="198">
        <v>220107400</v>
      </c>
      <c r="K251" s="191" t="s">
        <v>599</v>
      </c>
      <c r="L251" s="378" t="s">
        <v>42</v>
      </c>
      <c r="M251" s="261">
        <v>94</v>
      </c>
      <c r="N251" s="748"/>
      <c r="O251" s="754"/>
      <c r="P251" s="754"/>
      <c r="Q251" s="303"/>
      <c r="R251" s="303"/>
      <c r="S251" s="303"/>
      <c r="T251" s="303"/>
      <c r="U251" s="303"/>
      <c r="V251" s="460"/>
      <c r="W251" s="264"/>
      <c r="X251" s="303"/>
      <c r="Y251" s="461"/>
      <c r="Z251" s="303"/>
      <c r="AA251" s="402">
        <v>20000000</v>
      </c>
      <c r="AB251" s="303"/>
      <c r="AC251" s="303"/>
      <c r="AD251" s="305">
        <f t="shared" si="103"/>
        <v>20000000</v>
      </c>
      <c r="AE251" s="305" t="s">
        <v>569</v>
      </c>
      <c r="AF251" s="149" t="s">
        <v>570</v>
      </c>
    </row>
    <row r="252" spans="1:32" ht="65.25" customHeight="1" x14ac:dyDescent="0.2">
      <c r="A252" s="297"/>
      <c r="B252" s="204"/>
      <c r="C252" s="204"/>
      <c r="D252" s="204"/>
      <c r="E252" s="200"/>
      <c r="F252" s="405"/>
      <c r="G252" s="195" t="s">
        <v>609</v>
      </c>
      <c r="H252" s="196">
        <v>2201035</v>
      </c>
      <c r="I252" s="195" t="s">
        <v>610</v>
      </c>
      <c r="J252" s="198">
        <v>220103500</v>
      </c>
      <c r="K252" s="187" t="s">
        <v>611</v>
      </c>
      <c r="L252" s="378" t="s">
        <v>54</v>
      </c>
      <c r="M252" s="261">
        <v>8</v>
      </c>
      <c r="N252" s="748"/>
      <c r="O252" s="754"/>
      <c r="P252" s="754"/>
      <c r="Q252" s="303"/>
      <c r="R252" s="303"/>
      <c r="S252" s="303"/>
      <c r="T252" s="303"/>
      <c r="U252" s="303"/>
      <c r="V252" s="460"/>
      <c r="W252" s="264"/>
      <c r="X252" s="303"/>
      <c r="Y252" s="461"/>
      <c r="Z252" s="303"/>
      <c r="AA252" s="402">
        <v>10000000</v>
      </c>
      <c r="AB252" s="303"/>
      <c r="AC252" s="303"/>
      <c r="AD252" s="305">
        <f t="shared" si="102"/>
        <v>10000000</v>
      </c>
      <c r="AE252" s="305" t="s">
        <v>569</v>
      </c>
      <c r="AF252" s="149" t="s">
        <v>570</v>
      </c>
    </row>
    <row r="253" spans="1:32" ht="121.5" customHeight="1" x14ac:dyDescent="0.2">
      <c r="A253" s="297"/>
      <c r="B253" s="204"/>
      <c r="C253" s="204"/>
      <c r="D253" s="204"/>
      <c r="E253" s="200"/>
      <c r="F253" s="209"/>
      <c r="G253" s="195" t="s">
        <v>574</v>
      </c>
      <c r="H253" s="196">
        <v>2201046</v>
      </c>
      <c r="I253" s="195" t="s">
        <v>612</v>
      </c>
      <c r="J253" s="417">
        <v>220104602</v>
      </c>
      <c r="K253" s="187" t="s">
        <v>613</v>
      </c>
      <c r="L253" s="378" t="s">
        <v>54</v>
      </c>
      <c r="M253" s="261">
        <v>13</v>
      </c>
      <c r="N253" s="748"/>
      <c r="O253" s="754"/>
      <c r="P253" s="754"/>
      <c r="Q253" s="303"/>
      <c r="R253" s="303"/>
      <c r="S253" s="303"/>
      <c r="T253" s="305"/>
      <c r="U253" s="303"/>
      <c r="V253" s="460"/>
      <c r="W253" s="264"/>
      <c r="X253" s="303"/>
      <c r="Y253" s="461"/>
      <c r="Z253" s="303"/>
      <c r="AA253" s="329">
        <v>10000000</v>
      </c>
      <c r="AB253" s="303"/>
      <c r="AC253" s="303"/>
      <c r="AD253" s="305">
        <f t="shared" si="102"/>
        <v>10000000</v>
      </c>
      <c r="AE253" s="305" t="s">
        <v>569</v>
      </c>
      <c r="AF253" s="149" t="s">
        <v>570</v>
      </c>
    </row>
    <row r="254" spans="1:32" ht="118.5" customHeight="1" x14ac:dyDescent="0.2">
      <c r="A254" s="297"/>
      <c r="B254" s="204"/>
      <c r="C254" s="204"/>
      <c r="D254" s="204"/>
      <c r="E254" s="200"/>
      <c r="F254" s="405"/>
      <c r="G254" s="195" t="s">
        <v>574</v>
      </c>
      <c r="H254" s="196">
        <v>2201054</v>
      </c>
      <c r="I254" s="195" t="s">
        <v>614</v>
      </c>
      <c r="J254" s="198">
        <v>220105400</v>
      </c>
      <c r="K254" s="187" t="s">
        <v>615</v>
      </c>
      <c r="L254" s="378" t="s">
        <v>42</v>
      </c>
      <c r="M254" s="261">
        <v>11</v>
      </c>
      <c r="N254" s="748"/>
      <c r="O254" s="754"/>
      <c r="P254" s="754"/>
      <c r="Q254" s="303"/>
      <c r="R254" s="303"/>
      <c r="S254" s="303"/>
      <c r="T254" s="303"/>
      <c r="U254" s="303"/>
      <c r="V254" s="460"/>
      <c r="W254" s="264"/>
      <c r="X254" s="303"/>
      <c r="Y254" s="461"/>
      <c r="Z254" s="303"/>
      <c r="AA254" s="402">
        <v>10000000</v>
      </c>
      <c r="AB254" s="303"/>
      <c r="AC254" s="303"/>
      <c r="AD254" s="305">
        <f t="shared" si="102"/>
        <v>10000000</v>
      </c>
      <c r="AE254" s="305" t="s">
        <v>569</v>
      </c>
      <c r="AF254" s="149" t="s">
        <v>570</v>
      </c>
    </row>
    <row r="255" spans="1:32" ht="102.6" customHeight="1" x14ac:dyDescent="0.2">
      <c r="A255" s="297"/>
      <c r="B255" s="204"/>
      <c r="C255" s="204"/>
      <c r="D255" s="204"/>
      <c r="E255" s="200"/>
      <c r="F255" s="405"/>
      <c r="G255" s="195" t="s">
        <v>600</v>
      </c>
      <c r="H255" s="196">
        <v>2201061</v>
      </c>
      <c r="I255" s="195" t="s">
        <v>616</v>
      </c>
      <c r="J255" s="198">
        <v>220106102</v>
      </c>
      <c r="K255" s="187" t="s">
        <v>617</v>
      </c>
      <c r="L255" s="378" t="s">
        <v>54</v>
      </c>
      <c r="M255" s="261">
        <v>12</v>
      </c>
      <c r="N255" s="748"/>
      <c r="O255" s="754"/>
      <c r="P255" s="754"/>
      <c r="Q255" s="303"/>
      <c r="R255" s="303"/>
      <c r="S255" s="303"/>
      <c r="T255" s="303"/>
      <c r="U255" s="303"/>
      <c r="V255" s="460"/>
      <c r="W255" s="303"/>
      <c r="X255" s="303"/>
      <c r="Y255" s="461"/>
      <c r="Z255" s="303"/>
      <c r="AA255" s="463">
        <v>10000000</v>
      </c>
      <c r="AB255" s="303"/>
      <c r="AC255" s="303"/>
      <c r="AD255" s="305">
        <f t="shared" si="102"/>
        <v>10000000</v>
      </c>
      <c r="AE255" s="305" t="s">
        <v>569</v>
      </c>
      <c r="AF255" s="149" t="s">
        <v>570</v>
      </c>
    </row>
    <row r="256" spans="1:32" ht="102.6" customHeight="1" x14ac:dyDescent="0.2">
      <c r="A256" s="297"/>
      <c r="B256" s="204"/>
      <c r="C256" s="204"/>
      <c r="D256" s="204"/>
      <c r="E256" s="200"/>
      <c r="F256" s="405"/>
      <c r="G256" s="195" t="s">
        <v>600</v>
      </c>
      <c r="H256" s="196">
        <v>2201066</v>
      </c>
      <c r="I256" s="195" t="s">
        <v>618</v>
      </c>
      <c r="J256" s="198">
        <v>220106600</v>
      </c>
      <c r="K256" s="187" t="s">
        <v>619</v>
      </c>
      <c r="L256" s="378" t="s">
        <v>54</v>
      </c>
      <c r="M256" s="261">
        <v>10000</v>
      </c>
      <c r="N256" s="748"/>
      <c r="O256" s="754"/>
      <c r="P256" s="754"/>
      <c r="Q256" s="303"/>
      <c r="R256" s="303"/>
      <c r="S256" s="303"/>
      <c r="T256" s="303"/>
      <c r="U256" s="303"/>
      <c r="V256" s="460"/>
      <c r="W256" s="303"/>
      <c r="X256" s="303"/>
      <c r="Y256" s="461"/>
      <c r="Z256" s="303"/>
      <c r="AA256" s="463">
        <v>10000000</v>
      </c>
      <c r="AB256" s="303"/>
      <c r="AC256" s="303"/>
      <c r="AD256" s="305">
        <f t="shared" si="102"/>
        <v>10000000</v>
      </c>
      <c r="AE256" s="305" t="s">
        <v>569</v>
      </c>
      <c r="AF256" s="149" t="s">
        <v>570</v>
      </c>
    </row>
    <row r="257" spans="1:72" ht="128.25" customHeight="1" x14ac:dyDescent="0.2">
      <c r="A257" s="297"/>
      <c r="B257" s="204"/>
      <c r="C257" s="204"/>
      <c r="D257" s="204"/>
      <c r="E257" s="200"/>
      <c r="F257" s="209"/>
      <c r="G257" s="195" t="s">
        <v>622</v>
      </c>
      <c r="H257" s="190">
        <v>2201006</v>
      </c>
      <c r="I257" s="186" t="s">
        <v>623</v>
      </c>
      <c r="J257" s="457">
        <v>220100600</v>
      </c>
      <c r="K257" s="410" t="s">
        <v>624</v>
      </c>
      <c r="L257" s="464" t="s">
        <v>42</v>
      </c>
      <c r="M257" s="261">
        <v>54</v>
      </c>
      <c r="N257" s="747" t="s">
        <v>625</v>
      </c>
      <c r="O257" s="749" t="s">
        <v>626</v>
      </c>
      <c r="P257" s="749" t="s">
        <v>627</v>
      </c>
      <c r="Q257" s="303"/>
      <c r="R257" s="303"/>
      <c r="S257" s="303"/>
      <c r="T257" s="264"/>
      <c r="U257" s="264"/>
      <c r="V257" s="458"/>
      <c r="W257" s="465"/>
      <c r="X257" s="264"/>
      <c r="Y257" s="459"/>
      <c r="Z257" s="264"/>
      <c r="AA257" s="463">
        <v>10000000</v>
      </c>
      <c r="AB257" s="303"/>
      <c r="AC257" s="303"/>
      <c r="AD257" s="411">
        <f>+Q257+R257+S257+T257+U257+V257+W257+X257+Y257+Z257+AA257+AB257+AC257</f>
        <v>10000000</v>
      </c>
      <c r="AE257" s="305" t="s">
        <v>569</v>
      </c>
      <c r="AF257" s="149" t="s">
        <v>570</v>
      </c>
    </row>
    <row r="258" spans="1:72" ht="150" customHeight="1" x14ac:dyDescent="0.2">
      <c r="A258" s="297"/>
      <c r="B258" s="204"/>
      <c r="C258" s="204"/>
      <c r="D258" s="204"/>
      <c r="E258" s="200"/>
      <c r="F258" s="405"/>
      <c r="G258" s="195" t="s">
        <v>622</v>
      </c>
      <c r="H258" s="190">
        <v>2201015</v>
      </c>
      <c r="I258" s="186" t="s">
        <v>628</v>
      </c>
      <c r="J258" s="203">
        <v>220101500</v>
      </c>
      <c r="K258" s="267" t="s">
        <v>629</v>
      </c>
      <c r="L258" s="378" t="s">
        <v>42</v>
      </c>
      <c r="M258" s="409">
        <v>11</v>
      </c>
      <c r="N258" s="747"/>
      <c r="O258" s="749"/>
      <c r="P258" s="749"/>
      <c r="Q258" s="303"/>
      <c r="R258" s="303"/>
      <c r="S258" s="303"/>
      <c r="T258" s="264"/>
      <c r="U258" s="264"/>
      <c r="V258" s="458"/>
      <c r="W258" s="264"/>
      <c r="X258" s="264"/>
      <c r="Y258" s="459"/>
      <c r="Z258" s="264"/>
      <c r="AA258" s="463">
        <v>12000000</v>
      </c>
      <c r="AB258" s="303"/>
      <c r="AC258" s="303"/>
      <c r="AD258" s="411">
        <f t="shared" ref="AD258:AD268" si="105">+Q258+R258+S258+T258+U258+V258+W258+X258+Y258+Z258+AA258+AB258+AC258</f>
        <v>12000000</v>
      </c>
      <c r="AE258" s="305" t="s">
        <v>569</v>
      </c>
      <c r="AF258" s="149" t="s">
        <v>570</v>
      </c>
    </row>
    <row r="259" spans="1:72" ht="154.5" customHeight="1" x14ac:dyDescent="0.2">
      <c r="A259" s="297"/>
      <c r="B259" s="204"/>
      <c r="C259" s="204"/>
      <c r="D259" s="204"/>
      <c r="E259" s="200"/>
      <c r="F259" s="405"/>
      <c r="G259" s="195" t="s">
        <v>574</v>
      </c>
      <c r="H259" s="190">
        <v>2201042</v>
      </c>
      <c r="I259" s="186" t="s">
        <v>630</v>
      </c>
      <c r="J259" s="203">
        <v>220104200</v>
      </c>
      <c r="K259" s="267" t="s">
        <v>631</v>
      </c>
      <c r="L259" s="378" t="s">
        <v>54</v>
      </c>
      <c r="M259" s="261">
        <v>6000</v>
      </c>
      <c r="N259" s="747"/>
      <c r="O259" s="749"/>
      <c r="P259" s="749"/>
      <c r="Q259" s="303"/>
      <c r="R259" s="303"/>
      <c r="S259" s="303"/>
      <c r="T259" s="264"/>
      <c r="U259" s="264"/>
      <c r="V259" s="458"/>
      <c r="W259" s="264"/>
      <c r="X259" s="264"/>
      <c r="Y259" s="459"/>
      <c r="Z259" s="264"/>
      <c r="AA259" s="332">
        <v>10000000</v>
      </c>
      <c r="AB259" s="303"/>
      <c r="AC259" s="303"/>
      <c r="AD259" s="411">
        <f t="shared" si="105"/>
        <v>10000000</v>
      </c>
      <c r="AE259" s="305" t="s">
        <v>569</v>
      </c>
      <c r="AF259" s="149" t="s">
        <v>570</v>
      </c>
    </row>
    <row r="260" spans="1:72" s="82" customFormat="1" ht="111.75" customHeight="1" x14ac:dyDescent="0.2">
      <c r="A260" s="573"/>
      <c r="B260" s="194"/>
      <c r="C260" s="194"/>
      <c r="D260" s="194"/>
      <c r="E260" s="574"/>
      <c r="F260" s="266"/>
      <c r="G260" s="192" t="s">
        <v>632</v>
      </c>
      <c r="H260" s="190">
        <v>2201071</v>
      </c>
      <c r="I260" s="213" t="s">
        <v>633</v>
      </c>
      <c r="J260" s="417">
        <v>220107100</v>
      </c>
      <c r="K260" s="191" t="s">
        <v>634</v>
      </c>
      <c r="L260" s="445" t="s">
        <v>42</v>
      </c>
      <c r="M260" s="445">
        <v>54</v>
      </c>
      <c r="N260" s="747"/>
      <c r="O260" s="749"/>
      <c r="P260" s="749"/>
      <c r="Q260" s="580"/>
      <c r="R260" s="580"/>
      <c r="S260" s="580"/>
      <c r="T260" s="580">
        <f>1704977490-400000000</f>
        <v>1304977490</v>
      </c>
      <c r="U260" s="580"/>
      <c r="V260" s="581"/>
      <c r="W260" s="582">
        <v>141320000000</v>
      </c>
      <c r="X260" s="583">
        <v>25145000000</v>
      </c>
      <c r="Y260" s="584"/>
      <c r="Z260" s="580"/>
      <c r="AA260" s="402">
        <f>1195000000-7500000-252675151-30000000+985822393+2000000000</f>
        <v>3890647242</v>
      </c>
      <c r="AB260" s="580"/>
      <c r="AC260" s="580"/>
      <c r="AD260" s="575">
        <f t="shared" si="105"/>
        <v>171660624732</v>
      </c>
      <c r="AE260" s="575" t="s">
        <v>569</v>
      </c>
      <c r="AF260" s="577" t="s">
        <v>570</v>
      </c>
    </row>
    <row r="261" spans="1:72" ht="168" customHeight="1" x14ac:dyDescent="0.2">
      <c r="A261" s="297"/>
      <c r="B261" s="204"/>
      <c r="C261" s="204"/>
      <c r="D261" s="204"/>
      <c r="E261" s="200"/>
      <c r="F261" s="405"/>
      <c r="G261" s="195" t="s">
        <v>574</v>
      </c>
      <c r="H261" s="196">
        <v>2201050</v>
      </c>
      <c r="I261" s="186" t="s">
        <v>635</v>
      </c>
      <c r="J261" s="203">
        <v>220105000</v>
      </c>
      <c r="K261" s="267" t="s">
        <v>636</v>
      </c>
      <c r="L261" s="378" t="s">
        <v>54</v>
      </c>
      <c r="M261" s="261">
        <v>8000</v>
      </c>
      <c r="N261" s="748" t="s">
        <v>637</v>
      </c>
      <c r="O261" s="746" t="s">
        <v>638</v>
      </c>
      <c r="P261" s="734" t="s">
        <v>639</v>
      </c>
      <c r="Q261" s="303"/>
      <c r="R261" s="303"/>
      <c r="S261" s="303"/>
      <c r="T261" s="303"/>
      <c r="U261" s="303"/>
      <c r="V261" s="460"/>
      <c r="W261" s="140"/>
      <c r="X261" s="303"/>
      <c r="Y261" s="461"/>
      <c r="Z261" s="303"/>
      <c r="AA261" s="402">
        <v>10000000</v>
      </c>
      <c r="AB261" s="303"/>
      <c r="AC261" s="303"/>
      <c r="AD261" s="411">
        <f t="shared" si="105"/>
        <v>10000000</v>
      </c>
      <c r="AE261" s="305" t="s">
        <v>569</v>
      </c>
      <c r="AF261" s="149" t="s">
        <v>570</v>
      </c>
    </row>
    <row r="262" spans="1:72" ht="135" customHeight="1" x14ac:dyDescent="0.2">
      <c r="A262" s="297"/>
      <c r="B262" s="204"/>
      <c r="C262" s="204"/>
      <c r="D262" s="204"/>
      <c r="E262" s="200"/>
      <c r="F262" s="405"/>
      <c r="G262" s="195" t="s">
        <v>574</v>
      </c>
      <c r="H262" s="196">
        <v>2201050</v>
      </c>
      <c r="I262" s="186" t="s">
        <v>635</v>
      </c>
      <c r="J262" s="457">
        <v>220105001</v>
      </c>
      <c r="K262" s="410" t="s">
        <v>640</v>
      </c>
      <c r="L262" s="378" t="s">
        <v>42</v>
      </c>
      <c r="M262" s="261">
        <v>150</v>
      </c>
      <c r="N262" s="748"/>
      <c r="O262" s="746"/>
      <c r="P262" s="734"/>
      <c r="Q262" s="303"/>
      <c r="R262" s="303"/>
      <c r="S262" s="303"/>
      <c r="T262" s="303"/>
      <c r="U262" s="303"/>
      <c r="V262" s="460"/>
      <c r="W262" s="303">
        <v>749000000</v>
      </c>
      <c r="X262" s="303">
        <v>0</v>
      </c>
      <c r="Y262" s="461">
        <v>0</v>
      </c>
      <c r="Z262" s="303">
        <v>0</v>
      </c>
      <c r="AA262" s="303">
        <v>0</v>
      </c>
      <c r="AB262" s="303">
        <v>0</v>
      </c>
      <c r="AC262" s="303">
        <v>0</v>
      </c>
      <c r="AD262" s="411">
        <f t="shared" si="105"/>
        <v>749000000</v>
      </c>
      <c r="AE262" s="305" t="s">
        <v>569</v>
      </c>
      <c r="AF262" s="149" t="s">
        <v>570</v>
      </c>
    </row>
    <row r="263" spans="1:72" ht="120.75" customHeight="1" x14ac:dyDescent="0.2">
      <c r="A263" s="297"/>
      <c r="B263" s="204"/>
      <c r="C263" s="204"/>
      <c r="D263" s="204"/>
      <c r="E263" s="200"/>
      <c r="F263" s="405"/>
      <c r="G263" s="195" t="s">
        <v>571</v>
      </c>
      <c r="H263" s="196">
        <v>2201001</v>
      </c>
      <c r="I263" s="186" t="s">
        <v>642</v>
      </c>
      <c r="J263" s="203">
        <v>220100100</v>
      </c>
      <c r="K263" s="187" t="s">
        <v>643</v>
      </c>
      <c r="L263" s="261" t="s">
        <v>42</v>
      </c>
      <c r="M263" s="261">
        <v>2</v>
      </c>
      <c r="N263" s="748"/>
      <c r="O263" s="746"/>
      <c r="P263" s="734"/>
      <c r="Q263" s="303"/>
      <c r="R263" s="303"/>
      <c r="S263" s="303"/>
      <c r="T263" s="303"/>
      <c r="U263" s="303"/>
      <c r="V263" s="460"/>
      <c r="W263" s="303"/>
      <c r="X263" s="303"/>
      <c r="Y263" s="461"/>
      <c r="Z263" s="303"/>
      <c r="AA263" s="402">
        <v>10000000</v>
      </c>
      <c r="AB263" s="303"/>
      <c r="AC263" s="303"/>
      <c r="AD263" s="411">
        <f t="shared" si="105"/>
        <v>10000000</v>
      </c>
      <c r="AE263" s="305" t="s">
        <v>569</v>
      </c>
      <c r="AF263" s="149" t="s">
        <v>570</v>
      </c>
    </row>
    <row r="264" spans="1:72" ht="114" customHeight="1" x14ac:dyDescent="0.2">
      <c r="A264" s="297"/>
      <c r="B264" s="204"/>
      <c r="C264" s="204"/>
      <c r="D264" s="204"/>
      <c r="E264" s="200"/>
      <c r="F264" s="405"/>
      <c r="G264" s="195" t="s">
        <v>644</v>
      </c>
      <c r="H264" s="196">
        <v>2201034</v>
      </c>
      <c r="I264" s="186" t="s">
        <v>645</v>
      </c>
      <c r="J264" s="457">
        <v>220103400</v>
      </c>
      <c r="K264" s="410" t="s">
        <v>646</v>
      </c>
      <c r="L264" s="378" t="s">
        <v>54</v>
      </c>
      <c r="M264" s="261">
        <v>5500</v>
      </c>
      <c r="N264" s="747" t="s">
        <v>647</v>
      </c>
      <c r="O264" s="753" t="s">
        <v>648</v>
      </c>
      <c r="P264" s="749" t="s">
        <v>649</v>
      </c>
      <c r="Q264" s="303"/>
      <c r="R264" s="303"/>
      <c r="S264" s="303"/>
      <c r="T264" s="303"/>
      <c r="U264" s="303"/>
      <c r="V264" s="460"/>
      <c r="W264" s="303"/>
      <c r="X264" s="303"/>
      <c r="Y264" s="461"/>
      <c r="Z264" s="303"/>
      <c r="AA264" s="463">
        <v>10000000</v>
      </c>
      <c r="AB264" s="303"/>
      <c r="AC264" s="303"/>
      <c r="AD264" s="411">
        <f t="shared" si="105"/>
        <v>10000000</v>
      </c>
      <c r="AE264" s="305" t="s">
        <v>569</v>
      </c>
      <c r="AF264" s="149" t="s">
        <v>570</v>
      </c>
    </row>
    <row r="265" spans="1:72" ht="103.5" customHeight="1" x14ac:dyDescent="0.2">
      <c r="A265" s="297"/>
      <c r="B265" s="204"/>
      <c r="C265" s="204"/>
      <c r="D265" s="204"/>
      <c r="E265" s="200"/>
      <c r="F265" s="405"/>
      <c r="G265" s="195" t="s">
        <v>644</v>
      </c>
      <c r="H265" s="196">
        <v>2201034</v>
      </c>
      <c r="I265" s="186" t="s">
        <v>650</v>
      </c>
      <c r="J265" s="203">
        <v>220103401</v>
      </c>
      <c r="K265" s="267" t="s">
        <v>651</v>
      </c>
      <c r="L265" s="378" t="s">
        <v>42</v>
      </c>
      <c r="M265" s="261">
        <v>54</v>
      </c>
      <c r="N265" s="747"/>
      <c r="O265" s="753"/>
      <c r="P265" s="749"/>
      <c r="Q265" s="303"/>
      <c r="R265" s="303"/>
      <c r="S265" s="303"/>
      <c r="T265" s="303"/>
      <c r="U265" s="303"/>
      <c r="V265" s="460"/>
      <c r="W265" s="303"/>
      <c r="X265" s="303"/>
      <c r="Y265" s="461"/>
      <c r="Z265" s="303"/>
      <c r="AA265" s="463">
        <v>10000000</v>
      </c>
      <c r="AB265" s="303"/>
      <c r="AC265" s="303"/>
      <c r="AD265" s="411">
        <f t="shared" si="105"/>
        <v>10000000</v>
      </c>
      <c r="AE265" s="305" t="s">
        <v>569</v>
      </c>
      <c r="AF265" s="149" t="s">
        <v>570</v>
      </c>
    </row>
    <row r="266" spans="1:72" ht="93.75" customHeight="1" x14ac:dyDescent="0.2">
      <c r="A266" s="297"/>
      <c r="B266" s="204"/>
      <c r="C266" s="204"/>
      <c r="D266" s="204"/>
      <c r="E266" s="200"/>
      <c r="F266" s="405"/>
      <c r="G266" s="195" t="s">
        <v>644</v>
      </c>
      <c r="H266" s="196">
        <v>2201060</v>
      </c>
      <c r="I266" s="186" t="s">
        <v>652</v>
      </c>
      <c r="J266" s="457">
        <v>220106000</v>
      </c>
      <c r="K266" s="267" t="s">
        <v>653</v>
      </c>
      <c r="L266" s="378" t="s">
        <v>54</v>
      </c>
      <c r="M266" s="261">
        <v>200</v>
      </c>
      <c r="N266" s="747"/>
      <c r="O266" s="753"/>
      <c r="P266" s="749"/>
      <c r="Q266" s="303"/>
      <c r="R266" s="303"/>
      <c r="S266" s="303"/>
      <c r="T266" s="303"/>
      <c r="U266" s="303"/>
      <c r="V266" s="460"/>
      <c r="W266" s="303"/>
      <c r="X266" s="303"/>
      <c r="Y266" s="461"/>
      <c r="Z266" s="303"/>
      <c r="AA266" s="463">
        <v>10000000</v>
      </c>
      <c r="AB266" s="303"/>
      <c r="AC266" s="303"/>
      <c r="AD266" s="411">
        <f t="shared" si="105"/>
        <v>10000000</v>
      </c>
      <c r="AE266" s="305" t="s">
        <v>569</v>
      </c>
      <c r="AF266" s="149" t="s">
        <v>570</v>
      </c>
    </row>
    <row r="267" spans="1:72" ht="159.75" customHeight="1" x14ac:dyDescent="0.2">
      <c r="A267" s="297"/>
      <c r="B267" s="204"/>
      <c r="C267" s="204"/>
      <c r="D267" s="204"/>
      <c r="E267" s="200"/>
      <c r="F267" s="405"/>
      <c r="G267" s="195" t="s">
        <v>622</v>
      </c>
      <c r="H267" s="196">
        <v>2201001</v>
      </c>
      <c r="I267" s="186" t="s">
        <v>59</v>
      </c>
      <c r="J267" s="203">
        <v>220100100</v>
      </c>
      <c r="K267" s="267" t="s">
        <v>641</v>
      </c>
      <c r="L267" s="261" t="s">
        <v>42</v>
      </c>
      <c r="M267" s="261">
        <v>5</v>
      </c>
      <c r="N267" s="748" t="s">
        <v>654</v>
      </c>
      <c r="O267" s="753" t="s">
        <v>655</v>
      </c>
      <c r="P267" s="753" t="s">
        <v>656</v>
      </c>
      <c r="Q267" s="303"/>
      <c r="R267" s="303"/>
      <c r="S267" s="303"/>
      <c r="T267" s="303"/>
      <c r="U267" s="303"/>
      <c r="V267" s="460"/>
      <c r="W267" s="303"/>
      <c r="X267" s="303"/>
      <c r="Y267" s="461"/>
      <c r="Z267" s="303"/>
      <c r="AA267" s="463">
        <v>9000000</v>
      </c>
      <c r="AB267" s="303"/>
      <c r="AC267" s="303"/>
      <c r="AD267" s="411">
        <f t="shared" si="105"/>
        <v>9000000</v>
      </c>
      <c r="AE267" s="305" t="s">
        <v>569</v>
      </c>
      <c r="AF267" s="149" t="s">
        <v>570</v>
      </c>
    </row>
    <row r="268" spans="1:72" ht="122.25" customHeight="1" x14ac:dyDescent="0.2">
      <c r="A268" s="297"/>
      <c r="B268" s="204"/>
      <c r="C268" s="204"/>
      <c r="D268" s="204"/>
      <c r="E268" s="200"/>
      <c r="F268" s="405"/>
      <c r="G268" s="195" t="s">
        <v>574</v>
      </c>
      <c r="H268" s="196">
        <v>2201048</v>
      </c>
      <c r="I268" s="186" t="s">
        <v>657</v>
      </c>
      <c r="J268" s="203">
        <v>220104801</v>
      </c>
      <c r="K268" s="267" t="s">
        <v>658</v>
      </c>
      <c r="L268" s="378" t="s">
        <v>42</v>
      </c>
      <c r="M268" s="261">
        <v>1</v>
      </c>
      <c r="N268" s="748"/>
      <c r="O268" s="753"/>
      <c r="P268" s="753"/>
      <c r="Q268" s="303"/>
      <c r="R268" s="303"/>
      <c r="S268" s="303"/>
      <c r="T268" s="303"/>
      <c r="U268" s="303"/>
      <c r="V268" s="460"/>
      <c r="W268" s="303"/>
      <c r="X268" s="303"/>
      <c r="Y268" s="461"/>
      <c r="Z268" s="303"/>
      <c r="AA268" s="463">
        <v>9000000</v>
      </c>
      <c r="AB268" s="303"/>
      <c r="AC268" s="303"/>
      <c r="AD268" s="411">
        <f t="shared" si="105"/>
        <v>9000000</v>
      </c>
      <c r="AE268" s="305" t="s">
        <v>569</v>
      </c>
      <c r="AF268" s="149" t="s">
        <v>570</v>
      </c>
    </row>
    <row r="269" spans="1:72" ht="31.5" customHeight="1" x14ac:dyDescent="0.2">
      <c r="A269" s="297"/>
      <c r="B269" s="204"/>
      <c r="C269" s="204"/>
      <c r="D269" s="204"/>
      <c r="E269" s="309">
        <v>2202</v>
      </c>
      <c r="F269" s="188" t="s">
        <v>1337</v>
      </c>
      <c r="G269" s="366"/>
      <c r="H269" s="307"/>
      <c r="I269" s="308"/>
      <c r="J269" s="309"/>
      <c r="K269" s="299"/>
      <c r="L269" s="310"/>
      <c r="M269" s="309"/>
      <c r="N269" s="311"/>
      <c r="O269" s="299"/>
      <c r="P269" s="299"/>
      <c r="Q269" s="300">
        <f>SUM(Q270:Q270)</f>
        <v>0</v>
      </c>
      <c r="R269" s="300">
        <f t="shared" ref="R269:AD269" si="106">SUM(R270:R270)</f>
        <v>0</v>
      </c>
      <c r="S269" s="300">
        <f t="shared" si="106"/>
        <v>0</v>
      </c>
      <c r="T269" s="300">
        <f t="shared" si="106"/>
        <v>0</v>
      </c>
      <c r="U269" s="300">
        <f t="shared" si="106"/>
        <v>0</v>
      </c>
      <c r="V269" s="300">
        <f t="shared" si="106"/>
        <v>0</v>
      </c>
      <c r="W269" s="300">
        <f t="shared" si="106"/>
        <v>0</v>
      </c>
      <c r="X269" s="300">
        <f t="shared" si="106"/>
        <v>0</v>
      </c>
      <c r="Y269" s="300">
        <f t="shared" si="106"/>
        <v>0</v>
      </c>
      <c r="Z269" s="300">
        <f t="shared" si="106"/>
        <v>0</v>
      </c>
      <c r="AA269" s="300">
        <f t="shared" si="106"/>
        <v>100000000</v>
      </c>
      <c r="AB269" s="300">
        <f t="shared" si="106"/>
        <v>0</v>
      </c>
      <c r="AC269" s="300">
        <f t="shared" si="106"/>
        <v>0</v>
      </c>
      <c r="AD269" s="300">
        <f t="shared" si="106"/>
        <v>100000000</v>
      </c>
      <c r="AE269" s="300"/>
      <c r="AF269" s="312"/>
    </row>
    <row r="270" spans="1:72" s="586" customFormat="1" ht="156" customHeight="1" x14ac:dyDescent="0.25">
      <c r="A270" s="585"/>
      <c r="B270" s="194"/>
      <c r="C270" s="194"/>
      <c r="D270" s="194"/>
      <c r="E270" s="574"/>
      <c r="F270" s="466"/>
      <c r="G270" s="192" t="s">
        <v>659</v>
      </c>
      <c r="H270" s="190">
        <v>2202006</v>
      </c>
      <c r="I270" s="192" t="s">
        <v>1195</v>
      </c>
      <c r="J270" s="190">
        <v>220200604</v>
      </c>
      <c r="K270" s="191" t="s">
        <v>660</v>
      </c>
      <c r="L270" s="445" t="s">
        <v>42</v>
      </c>
      <c r="M270" s="445">
        <v>2</v>
      </c>
      <c r="N270" s="266" t="s">
        <v>661</v>
      </c>
      <c r="O270" s="191" t="s">
        <v>1286</v>
      </c>
      <c r="P270" s="192" t="s">
        <v>662</v>
      </c>
      <c r="Q270" s="303"/>
      <c r="R270" s="303"/>
      <c r="S270" s="303"/>
      <c r="T270" s="303"/>
      <c r="U270" s="303"/>
      <c r="V270" s="460"/>
      <c r="W270" s="396"/>
      <c r="X270" s="396"/>
      <c r="Y270" s="461"/>
      <c r="Z270" s="303"/>
      <c r="AA270" s="329">
        <f>100000000+2000000000-2000000000</f>
        <v>100000000</v>
      </c>
      <c r="AB270" s="303"/>
      <c r="AC270" s="303"/>
      <c r="AD270" s="575">
        <f>+Q270+R270+S270+T270+U270+V270+W270+X270+Y270+Z270+AA270+AB270+AC270</f>
        <v>100000000</v>
      </c>
      <c r="AE270" s="575" t="s">
        <v>569</v>
      </c>
      <c r="AF270" s="577" t="s">
        <v>570</v>
      </c>
    </row>
    <row r="271" spans="1:72" ht="28.5" customHeight="1" x14ac:dyDescent="0.2">
      <c r="A271" s="297"/>
      <c r="B271" s="280">
        <v>2</v>
      </c>
      <c r="C271" s="155" t="s">
        <v>332</v>
      </c>
      <c r="D271" s="348"/>
      <c r="E271" s="155"/>
      <c r="F271" s="155"/>
      <c r="G271" s="155"/>
      <c r="H271" s="281"/>
      <c r="I271" s="282"/>
      <c r="J271" s="280"/>
      <c r="K271" s="283"/>
      <c r="L271" s="284"/>
      <c r="M271" s="280"/>
      <c r="N271" s="285"/>
      <c r="O271" s="283"/>
      <c r="P271" s="283"/>
      <c r="Q271" s="286">
        <f>Q272</f>
        <v>0</v>
      </c>
      <c r="R271" s="286">
        <f t="shared" ref="R271:AD273" si="107">R272</f>
        <v>0</v>
      </c>
      <c r="S271" s="286">
        <f t="shared" si="107"/>
        <v>0</v>
      </c>
      <c r="T271" s="286">
        <f t="shared" si="107"/>
        <v>0</v>
      </c>
      <c r="U271" s="286">
        <f t="shared" si="107"/>
        <v>0</v>
      </c>
      <c r="V271" s="286">
        <f t="shared" si="107"/>
        <v>0</v>
      </c>
      <c r="W271" s="286">
        <f t="shared" si="107"/>
        <v>0</v>
      </c>
      <c r="X271" s="286">
        <f t="shared" si="107"/>
        <v>0</v>
      </c>
      <c r="Y271" s="286">
        <f t="shared" si="107"/>
        <v>0</v>
      </c>
      <c r="Z271" s="286">
        <f t="shared" si="107"/>
        <v>0</v>
      </c>
      <c r="AA271" s="286">
        <f t="shared" si="107"/>
        <v>7500000</v>
      </c>
      <c r="AB271" s="286">
        <f t="shared" si="107"/>
        <v>0</v>
      </c>
      <c r="AC271" s="286">
        <f t="shared" si="107"/>
        <v>0</v>
      </c>
      <c r="AD271" s="286">
        <f>AD272</f>
        <v>7500000</v>
      </c>
      <c r="AE271" s="286"/>
      <c r="AF271" s="340"/>
    </row>
    <row r="272" spans="1:72" s="9" customFormat="1" ht="27.75" customHeight="1" x14ac:dyDescent="0.25">
      <c r="A272" s="279"/>
      <c r="B272" s="194"/>
      <c r="C272" s="159">
        <v>39</v>
      </c>
      <c r="D272" s="156" t="s">
        <v>1189</v>
      </c>
      <c r="E272" s="156"/>
      <c r="F272" s="287"/>
      <c r="G272" s="288"/>
      <c r="H272" s="289"/>
      <c r="I272" s="290"/>
      <c r="J272" s="291"/>
      <c r="K272" s="292"/>
      <c r="L272" s="293"/>
      <c r="M272" s="291"/>
      <c r="N272" s="392"/>
      <c r="O272" s="295"/>
      <c r="P272" s="295"/>
      <c r="Q272" s="296">
        <f>Q273</f>
        <v>0</v>
      </c>
      <c r="R272" s="296">
        <f t="shared" si="107"/>
        <v>0</v>
      </c>
      <c r="S272" s="296">
        <f t="shared" si="107"/>
        <v>0</v>
      </c>
      <c r="T272" s="296">
        <f t="shared" si="107"/>
        <v>0</v>
      </c>
      <c r="U272" s="296">
        <f t="shared" si="107"/>
        <v>0</v>
      </c>
      <c r="V272" s="296">
        <f t="shared" si="107"/>
        <v>0</v>
      </c>
      <c r="W272" s="296">
        <f t="shared" si="107"/>
        <v>0</v>
      </c>
      <c r="X272" s="296">
        <f t="shared" si="107"/>
        <v>0</v>
      </c>
      <c r="Y272" s="296">
        <f t="shared" si="107"/>
        <v>0</v>
      </c>
      <c r="Z272" s="296">
        <f t="shared" si="107"/>
        <v>0</v>
      </c>
      <c r="AA272" s="296">
        <f t="shared" si="107"/>
        <v>7500000</v>
      </c>
      <c r="AB272" s="296">
        <f t="shared" si="107"/>
        <v>0</v>
      </c>
      <c r="AC272" s="296">
        <f t="shared" si="107"/>
        <v>0</v>
      </c>
      <c r="AD272" s="296">
        <f t="shared" si="107"/>
        <v>7500000</v>
      </c>
      <c r="AE272" s="296"/>
      <c r="AF272" s="341"/>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row>
    <row r="273" spans="1:72" ht="26.25" customHeight="1" x14ac:dyDescent="0.2">
      <c r="A273" s="297"/>
      <c r="B273" s="204"/>
      <c r="C273" s="204"/>
      <c r="D273" s="204"/>
      <c r="E273" s="309">
        <v>3904</v>
      </c>
      <c r="F273" s="188" t="s">
        <v>663</v>
      </c>
      <c r="G273" s="366"/>
      <c r="H273" s="307"/>
      <c r="I273" s="308"/>
      <c r="J273" s="309"/>
      <c r="K273" s="299"/>
      <c r="L273" s="310"/>
      <c r="M273" s="309"/>
      <c r="N273" s="311"/>
      <c r="O273" s="299"/>
      <c r="P273" s="299"/>
      <c r="Q273" s="300">
        <f>Q274</f>
        <v>0</v>
      </c>
      <c r="R273" s="300">
        <f t="shared" si="107"/>
        <v>0</v>
      </c>
      <c r="S273" s="300">
        <f t="shared" si="107"/>
        <v>0</v>
      </c>
      <c r="T273" s="300">
        <f t="shared" si="107"/>
        <v>0</v>
      </c>
      <c r="U273" s="300">
        <f t="shared" si="107"/>
        <v>0</v>
      </c>
      <c r="V273" s="300">
        <f t="shared" si="107"/>
        <v>0</v>
      </c>
      <c r="W273" s="300">
        <f t="shared" si="107"/>
        <v>0</v>
      </c>
      <c r="X273" s="300">
        <f t="shared" si="107"/>
        <v>0</v>
      </c>
      <c r="Y273" s="300">
        <f t="shared" si="107"/>
        <v>0</v>
      </c>
      <c r="Z273" s="300">
        <f t="shared" si="107"/>
        <v>0</v>
      </c>
      <c r="AA273" s="300">
        <f t="shared" si="107"/>
        <v>7500000</v>
      </c>
      <c r="AB273" s="300">
        <f t="shared" si="107"/>
        <v>0</v>
      </c>
      <c r="AC273" s="300">
        <f t="shared" si="107"/>
        <v>0</v>
      </c>
      <c r="AD273" s="300">
        <f t="shared" si="107"/>
        <v>7500000</v>
      </c>
      <c r="AE273" s="300"/>
      <c r="AF273" s="312"/>
    </row>
    <row r="274" spans="1:72" s="27" customFormat="1" ht="147.75" customHeight="1" x14ac:dyDescent="0.25">
      <c r="A274" s="238"/>
      <c r="B274" s="204"/>
      <c r="C274" s="204"/>
      <c r="D274" s="204"/>
      <c r="E274" s="200"/>
      <c r="F274" s="209"/>
      <c r="G274" s="195" t="s">
        <v>664</v>
      </c>
      <c r="H274" s="197">
        <v>3904006</v>
      </c>
      <c r="I274" s="195" t="s">
        <v>665</v>
      </c>
      <c r="J274" s="219">
        <v>390400604</v>
      </c>
      <c r="K274" s="246" t="s">
        <v>666</v>
      </c>
      <c r="L274" s="209" t="s">
        <v>54</v>
      </c>
      <c r="M274" s="261">
        <v>18</v>
      </c>
      <c r="N274" s="466" t="s">
        <v>667</v>
      </c>
      <c r="O274" s="267" t="s">
        <v>668</v>
      </c>
      <c r="P274" s="186" t="s">
        <v>669</v>
      </c>
      <c r="Q274" s="303"/>
      <c r="R274" s="303"/>
      <c r="S274" s="303"/>
      <c r="T274" s="303"/>
      <c r="U274" s="303"/>
      <c r="V274" s="460"/>
      <c r="W274" s="396"/>
      <c r="X274" s="396"/>
      <c r="Y274" s="461"/>
      <c r="Z274" s="303"/>
      <c r="AA274" s="332">
        <v>7500000</v>
      </c>
      <c r="AB274" s="303"/>
      <c r="AC274" s="303"/>
      <c r="AD274" s="305">
        <f>+Q274+R274+S274+T274+U274+V274+W274+X274+Y274+Z274+AA274+AB274+AC274</f>
        <v>7500000</v>
      </c>
      <c r="AE274" s="305" t="s">
        <v>569</v>
      </c>
      <c r="AF274" s="149" t="s">
        <v>570</v>
      </c>
      <c r="AG274" s="141"/>
      <c r="AH274" s="141"/>
      <c r="AI274" s="141"/>
      <c r="AJ274" s="141"/>
      <c r="AK274" s="141"/>
      <c r="AL274" s="141"/>
      <c r="AM274" s="141"/>
      <c r="AN274" s="141"/>
      <c r="AO274" s="141"/>
      <c r="AP274" s="141"/>
      <c r="AQ274" s="141"/>
      <c r="AR274" s="141"/>
      <c r="AS274" s="141"/>
      <c r="AT274" s="141"/>
      <c r="AU274" s="141"/>
      <c r="AV274" s="141"/>
      <c r="AW274" s="141"/>
      <c r="AX274" s="141"/>
      <c r="AY274" s="141"/>
      <c r="AZ274" s="141"/>
      <c r="BA274" s="141"/>
      <c r="BB274" s="141"/>
      <c r="BC274" s="141"/>
      <c r="BD274" s="141"/>
      <c r="BE274" s="141"/>
      <c r="BF274" s="141"/>
      <c r="BG274" s="141"/>
      <c r="BH274" s="141"/>
      <c r="BI274" s="141"/>
      <c r="BJ274" s="141"/>
      <c r="BK274" s="141"/>
      <c r="BL274" s="141"/>
      <c r="BM274" s="141"/>
      <c r="BN274" s="141"/>
      <c r="BO274" s="141"/>
      <c r="BP274" s="141"/>
      <c r="BQ274" s="141"/>
      <c r="BR274" s="141"/>
      <c r="BS274" s="141"/>
      <c r="BT274" s="141"/>
    </row>
    <row r="275" spans="1:72" s="122" customFormat="1" ht="25.5" customHeight="1" x14ac:dyDescent="0.2">
      <c r="A275" s="315"/>
      <c r="B275" s="336"/>
      <c r="C275" s="336"/>
      <c r="D275" s="336"/>
      <c r="E275" s="337"/>
      <c r="F275" s="338"/>
      <c r="G275" s="319"/>
      <c r="H275" s="337"/>
      <c r="I275" s="319"/>
      <c r="J275" s="320"/>
      <c r="K275" s="318"/>
      <c r="L275" s="338"/>
      <c r="M275" s="320"/>
      <c r="N275" s="338"/>
      <c r="O275" s="318"/>
      <c r="P275" s="318"/>
      <c r="Q275" s="315"/>
      <c r="R275" s="315"/>
      <c r="S275" s="315"/>
      <c r="T275" s="315"/>
      <c r="U275" s="315"/>
      <c r="V275" s="315"/>
      <c r="W275" s="420"/>
      <c r="X275" s="420"/>
      <c r="Y275" s="315"/>
      <c r="Z275" s="315"/>
      <c r="AA275" s="421"/>
      <c r="AB275" s="315"/>
      <c r="AC275" s="315"/>
      <c r="AD275" s="420"/>
      <c r="AE275" s="420"/>
      <c r="AF275" s="430"/>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T275" s="117"/>
    </row>
    <row r="276" spans="1:72" s="658" customFormat="1" ht="24.75" customHeight="1" x14ac:dyDescent="0.2">
      <c r="A276" s="56" t="s">
        <v>670</v>
      </c>
      <c r="B276" s="56"/>
      <c r="C276" s="56"/>
      <c r="D276" s="56"/>
      <c r="E276" s="57"/>
      <c r="F276" s="58"/>
      <c r="G276" s="650"/>
      <c r="H276" s="653"/>
      <c r="I276" s="650"/>
      <c r="J276" s="654"/>
      <c r="K276" s="655"/>
      <c r="L276" s="656"/>
      <c r="M276" s="654"/>
      <c r="N276" s="58"/>
      <c r="O276" s="655"/>
      <c r="P276" s="655"/>
      <c r="Q276" s="651">
        <f t="shared" ref="Q276:AD276" si="108">Q277+Q311+Q318</f>
        <v>3526539574</v>
      </c>
      <c r="R276" s="651">
        <f t="shared" si="108"/>
        <v>0</v>
      </c>
      <c r="S276" s="651">
        <f t="shared" si="108"/>
        <v>0</v>
      </c>
      <c r="T276" s="651">
        <f t="shared" si="108"/>
        <v>0</v>
      </c>
      <c r="U276" s="651">
        <f t="shared" si="108"/>
        <v>0</v>
      </c>
      <c r="V276" s="651">
        <f t="shared" si="108"/>
        <v>0</v>
      </c>
      <c r="W276" s="651">
        <f t="shared" si="108"/>
        <v>0</v>
      </c>
      <c r="X276" s="651">
        <f t="shared" si="108"/>
        <v>0</v>
      </c>
      <c r="Y276" s="651">
        <f t="shared" si="108"/>
        <v>0</v>
      </c>
      <c r="Z276" s="651">
        <f t="shared" si="108"/>
        <v>0</v>
      </c>
      <c r="AA276" s="651">
        <f t="shared" si="108"/>
        <v>1656250000</v>
      </c>
      <c r="AB276" s="651">
        <f t="shared" si="108"/>
        <v>0</v>
      </c>
      <c r="AC276" s="651">
        <f t="shared" si="108"/>
        <v>0</v>
      </c>
      <c r="AD276" s="651">
        <f t="shared" si="108"/>
        <v>5182789574</v>
      </c>
      <c r="AE276" s="651"/>
      <c r="AF276" s="652"/>
      <c r="AG276" s="657"/>
      <c r="AH276" s="657"/>
      <c r="AI276" s="657"/>
      <c r="AJ276" s="657"/>
      <c r="AK276" s="657"/>
      <c r="AL276" s="657"/>
      <c r="AM276" s="657"/>
      <c r="AN276" s="657"/>
      <c r="AO276" s="657"/>
      <c r="AP276" s="657"/>
      <c r="AQ276" s="657"/>
      <c r="AR276" s="657"/>
      <c r="AS276" s="657"/>
      <c r="AT276" s="657"/>
      <c r="AU276" s="657"/>
      <c r="AV276" s="657"/>
      <c r="AW276" s="657"/>
      <c r="AX276" s="657"/>
      <c r="AY276" s="657"/>
      <c r="AZ276" s="657"/>
      <c r="BA276" s="657"/>
      <c r="BB276" s="657"/>
      <c r="BC276" s="657"/>
      <c r="BD276" s="657"/>
      <c r="BE276" s="657"/>
      <c r="BF276" s="657"/>
      <c r="BG276" s="657"/>
      <c r="BH276" s="657"/>
      <c r="BI276" s="657"/>
      <c r="BJ276" s="657"/>
      <c r="BK276" s="657"/>
      <c r="BL276" s="657"/>
      <c r="BM276" s="657"/>
      <c r="BN276" s="657"/>
      <c r="BO276" s="657"/>
      <c r="BP276" s="657"/>
      <c r="BQ276" s="657"/>
      <c r="BR276" s="657"/>
      <c r="BS276" s="657"/>
      <c r="BT276" s="657"/>
    </row>
    <row r="277" spans="1:72" ht="33.75" customHeight="1" x14ac:dyDescent="0.2">
      <c r="A277" s="297"/>
      <c r="B277" s="280">
        <v>1</v>
      </c>
      <c r="C277" s="155" t="s">
        <v>120</v>
      </c>
      <c r="D277" s="659"/>
      <c r="E277" s="660"/>
      <c r="F277" s="660"/>
      <c r="G277" s="661"/>
      <c r="H277" s="281"/>
      <c r="I277" s="282"/>
      <c r="J277" s="280"/>
      <c r="K277" s="283"/>
      <c r="L277" s="284"/>
      <c r="M277" s="280"/>
      <c r="N277" s="285"/>
      <c r="O277" s="283"/>
      <c r="P277" s="283"/>
      <c r="Q277" s="286">
        <f>Q278+Q282+Q285</f>
        <v>3526539574</v>
      </c>
      <c r="R277" s="286">
        <f t="shared" ref="R277:AF277" si="109">R278+R282+R285</f>
        <v>0</v>
      </c>
      <c r="S277" s="286">
        <f t="shared" si="109"/>
        <v>0</v>
      </c>
      <c r="T277" s="286">
        <f t="shared" si="109"/>
        <v>0</v>
      </c>
      <c r="U277" s="286">
        <f t="shared" si="109"/>
        <v>0</v>
      </c>
      <c r="V277" s="286">
        <f t="shared" si="109"/>
        <v>0</v>
      </c>
      <c r="W277" s="286">
        <f t="shared" si="109"/>
        <v>0</v>
      </c>
      <c r="X277" s="286">
        <f t="shared" si="109"/>
        <v>0</v>
      </c>
      <c r="Y277" s="286">
        <f t="shared" si="109"/>
        <v>0</v>
      </c>
      <c r="Z277" s="286">
        <f t="shared" si="109"/>
        <v>0</v>
      </c>
      <c r="AA277" s="286">
        <f t="shared" si="109"/>
        <v>1265250000</v>
      </c>
      <c r="AB277" s="286">
        <f t="shared" si="109"/>
        <v>0</v>
      </c>
      <c r="AC277" s="286">
        <f t="shared" si="109"/>
        <v>0</v>
      </c>
      <c r="AD277" s="286">
        <f t="shared" si="109"/>
        <v>4791789574</v>
      </c>
      <c r="AE277" s="286">
        <f t="shared" si="109"/>
        <v>0</v>
      </c>
      <c r="AF277" s="286">
        <f t="shared" si="109"/>
        <v>0</v>
      </c>
    </row>
    <row r="278" spans="1:72" s="9" customFormat="1" ht="27.75" customHeight="1" x14ac:dyDescent="0.25">
      <c r="A278" s="279"/>
      <c r="B278" s="194"/>
      <c r="C278" s="159">
        <v>19</v>
      </c>
      <c r="D278" s="156" t="s">
        <v>1183</v>
      </c>
      <c r="E278" s="156"/>
      <c r="F278" s="287"/>
      <c r="G278" s="288"/>
      <c r="H278" s="289"/>
      <c r="I278" s="290"/>
      <c r="J278" s="291"/>
      <c r="K278" s="292"/>
      <c r="L278" s="293"/>
      <c r="M278" s="291"/>
      <c r="N278" s="392"/>
      <c r="O278" s="295"/>
      <c r="P278" s="295"/>
      <c r="Q278" s="296">
        <f>Q279</f>
        <v>0</v>
      </c>
      <c r="R278" s="296">
        <f t="shared" ref="R278:AD278" si="110">R279</f>
        <v>0</v>
      </c>
      <c r="S278" s="296">
        <f t="shared" si="110"/>
        <v>0</v>
      </c>
      <c r="T278" s="296">
        <f t="shared" si="110"/>
        <v>0</v>
      </c>
      <c r="U278" s="296">
        <f t="shared" si="110"/>
        <v>0</v>
      </c>
      <c r="V278" s="296">
        <f t="shared" si="110"/>
        <v>0</v>
      </c>
      <c r="W278" s="296">
        <f t="shared" si="110"/>
        <v>0</v>
      </c>
      <c r="X278" s="296">
        <f t="shared" si="110"/>
        <v>0</v>
      </c>
      <c r="Y278" s="296">
        <f t="shared" si="110"/>
        <v>0</v>
      </c>
      <c r="Z278" s="296">
        <f t="shared" si="110"/>
        <v>0</v>
      </c>
      <c r="AA278" s="296">
        <f t="shared" si="110"/>
        <v>175000000</v>
      </c>
      <c r="AB278" s="296">
        <f t="shared" si="110"/>
        <v>0</v>
      </c>
      <c r="AC278" s="296">
        <f t="shared" si="110"/>
        <v>0</v>
      </c>
      <c r="AD278" s="296">
        <f t="shared" si="110"/>
        <v>175000000</v>
      </c>
      <c r="AE278" s="296"/>
      <c r="AF278" s="341"/>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row>
    <row r="279" spans="1:72" ht="24.75" customHeight="1" x14ac:dyDescent="0.2">
      <c r="A279" s="297"/>
      <c r="B279" s="204"/>
      <c r="C279" s="204"/>
      <c r="D279" s="204"/>
      <c r="E279" s="309">
        <v>1905</v>
      </c>
      <c r="F279" s="467" t="s">
        <v>671</v>
      </c>
      <c r="G279" s="468"/>
      <c r="H279" s="307"/>
      <c r="I279" s="308"/>
      <c r="J279" s="309"/>
      <c r="K279" s="299"/>
      <c r="L279" s="310"/>
      <c r="M279" s="309"/>
      <c r="N279" s="311"/>
      <c r="O279" s="299"/>
      <c r="P279" s="299"/>
      <c r="Q279" s="328">
        <f>SUM(Q280:Q281)</f>
        <v>0</v>
      </c>
      <c r="R279" s="328">
        <f t="shared" ref="R279:AD279" si="111">SUM(R280:R281)</f>
        <v>0</v>
      </c>
      <c r="S279" s="328">
        <f t="shared" si="111"/>
        <v>0</v>
      </c>
      <c r="T279" s="328">
        <f t="shared" si="111"/>
        <v>0</v>
      </c>
      <c r="U279" s="328">
        <f t="shared" si="111"/>
        <v>0</v>
      </c>
      <c r="V279" s="328">
        <f t="shared" si="111"/>
        <v>0</v>
      </c>
      <c r="W279" s="328">
        <f t="shared" si="111"/>
        <v>0</v>
      </c>
      <c r="X279" s="328">
        <f t="shared" si="111"/>
        <v>0</v>
      </c>
      <c r="Y279" s="328">
        <f t="shared" si="111"/>
        <v>0</v>
      </c>
      <c r="Z279" s="328">
        <f t="shared" si="111"/>
        <v>0</v>
      </c>
      <c r="AA279" s="328">
        <f>SUM(AA280:AA281)</f>
        <v>175000000</v>
      </c>
      <c r="AB279" s="328">
        <f t="shared" si="111"/>
        <v>0</v>
      </c>
      <c r="AC279" s="328">
        <f t="shared" si="111"/>
        <v>0</v>
      </c>
      <c r="AD279" s="328">
        <f t="shared" si="111"/>
        <v>175000000</v>
      </c>
      <c r="AE279" s="328"/>
      <c r="AF279" s="328"/>
    </row>
    <row r="280" spans="1:72" ht="222.75" customHeight="1" x14ac:dyDescent="0.2">
      <c r="A280" s="297"/>
      <c r="B280" s="204"/>
      <c r="C280" s="204"/>
      <c r="D280" s="204"/>
      <c r="E280" s="197"/>
      <c r="F280" s="405"/>
      <c r="G280" s="195" t="s">
        <v>672</v>
      </c>
      <c r="H280" s="198">
        <v>1905021</v>
      </c>
      <c r="I280" s="720" t="s">
        <v>673</v>
      </c>
      <c r="J280" s="198">
        <v>190502100</v>
      </c>
      <c r="K280" s="187" t="s">
        <v>674</v>
      </c>
      <c r="L280" s="378" t="s">
        <v>42</v>
      </c>
      <c r="M280" s="261">
        <v>12</v>
      </c>
      <c r="N280" s="769" t="s">
        <v>675</v>
      </c>
      <c r="O280" s="750" t="s">
        <v>1249</v>
      </c>
      <c r="P280" s="750" t="s">
        <v>676</v>
      </c>
      <c r="Q280" s="303">
        <v>0</v>
      </c>
      <c r="R280" s="303">
        <v>0</v>
      </c>
      <c r="S280" s="303">
        <v>0</v>
      </c>
      <c r="T280" s="303">
        <v>0</v>
      </c>
      <c r="U280" s="303">
        <v>0</v>
      </c>
      <c r="V280" s="460">
        <v>0</v>
      </c>
      <c r="W280" s="303">
        <v>0</v>
      </c>
      <c r="X280" s="303">
        <v>0</v>
      </c>
      <c r="Y280" s="461">
        <v>0</v>
      </c>
      <c r="Z280" s="303">
        <v>0</v>
      </c>
      <c r="AA280" s="329">
        <v>100000000</v>
      </c>
      <c r="AB280" s="303">
        <v>0</v>
      </c>
      <c r="AC280" s="303">
        <v>0</v>
      </c>
      <c r="AD280" s="305">
        <f>+Q280+R280+S280+T280+U280+V280+W280+X280+Y280+Z280+AA280+AB280+AC280</f>
        <v>100000000</v>
      </c>
      <c r="AE280" s="305" t="s">
        <v>677</v>
      </c>
      <c r="AF280" s="149" t="s">
        <v>678</v>
      </c>
    </row>
    <row r="281" spans="1:72" ht="186" customHeight="1" x14ac:dyDescent="0.2">
      <c r="A281" s="297"/>
      <c r="B281" s="204"/>
      <c r="C281" s="204"/>
      <c r="D281" s="204"/>
      <c r="E281" s="197"/>
      <c r="F281" s="405"/>
      <c r="G281" s="195" t="s">
        <v>679</v>
      </c>
      <c r="H281" s="215">
        <v>1905022</v>
      </c>
      <c r="I281" s="245" t="s">
        <v>680</v>
      </c>
      <c r="J281" s="219">
        <v>190502200</v>
      </c>
      <c r="K281" s="246" t="s">
        <v>681</v>
      </c>
      <c r="L281" s="378" t="s">
        <v>42</v>
      </c>
      <c r="M281" s="261">
        <v>12</v>
      </c>
      <c r="N281" s="769"/>
      <c r="O281" s="750"/>
      <c r="P281" s="750"/>
      <c r="Q281" s="303">
        <v>0</v>
      </c>
      <c r="R281" s="303"/>
      <c r="S281" s="303"/>
      <c r="T281" s="303"/>
      <c r="U281" s="303"/>
      <c r="V281" s="460"/>
      <c r="W281" s="303"/>
      <c r="X281" s="303"/>
      <c r="Y281" s="461"/>
      <c r="Z281" s="303"/>
      <c r="AA281" s="329">
        <v>75000000</v>
      </c>
      <c r="AB281" s="303"/>
      <c r="AC281" s="303"/>
      <c r="AD281" s="305">
        <f>+Q281+R281+S281+T281+U281+V281+W281+X281+Y281+Z281+AA281+AB281+AC281</f>
        <v>75000000</v>
      </c>
      <c r="AE281" s="305" t="s">
        <v>677</v>
      </c>
      <c r="AF281" s="149" t="s">
        <v>678</v>
      </c>
    </row>
    <row r="282" spans="1:72" s="9" customFormat="1" ht="27.75" customHeight="1" x14ac:dyDescent="0.25">
      <c r="A282" s="279"/>
      <c r="B282" s="194"/>
      <c r="C282" s="159">
        <v>33</v>
      </c>
      <c r="D282" s="386" t="s">
        <v>1184</v>
      </c>
      <c r="E282" s="156"/>
      <c r="F282" s="287"/>
      <c r="G282" s="288"/>
      <c r="H282" s="289"/>
      <c r="I282" s="290"/>
      <c r="J282" s="291"/>
      <c r="K282" s="292"/>
      <c r="L282" s="293"/>
      <c r="M282" s="291"/>
      <c r="N282" s="392"/>
      <c r="O282" s="295"/>
      <c r="P282" s="295"/>
      <c r="Q282" s="296">
        <f>Q283</f>
        <v>0</v>
      </c>
      <c r="R282" s="296">
        <f t="shared" ref="R282:AD282" si="112">R283</f>
        <v>0</v>
      </c>
      <c r="S282" s="296">
        <f t="shared" si="112"/>
        <v>0</v>
      </c>
      <c r="T282" s="296">
        <f t="shared" si="112"/>
        <v>0</v>
      </c>
      <c r="U282" s="296">
        <f t="shared" si="112"/>
        <v>0</v>
      </c>
      <c r="V282" s="296">
        <f t="shared" si="112"/>
        <v>0</v>
      </c>
      <c r="W282" s="296">
        <f t="shared" si="112"/>
        <v>0</v>
      </c>
      <c r="X282" s="296">
        <f t="shared" si="112"/>
        <v>0</v>
      </c>
      <c r="Y282" s="296">
        <f t="shared" si="112"/>
        <v>0</v>
      </c>
      <c r="Z282" s="296">
        <f t="shared" si="112"/>
        <v>0</v>
      </c>
      <c r="AA282" s="296">
        <f t="shared" si="112"/>
        <v>14250000</v>
      </c>
      <c r="AB282" s="296">
        <f t="shared" si="112"/>
        <v>0</v>
      </c>
      <c r="AC282" s="296">
        <f t="shared" si="112"/>
        <v>0</v>
      </c>
      <c r="AD282" s="296">
        <f t="shared" si="112"/>
        <v>14250000</v>
      </c>
      <c r="AE282" s="296"/>
      <c r="AF282" s="341"/>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row>
    <row r="283" spans="1:72" ht="23.25" customHeight="1" x14ac:dyDescent="0.2">
      <c r="A283" s="297"/>
      <c r="B283" s="204"/>
      <c r="C283" s="204"/>
      <c r="D283" s="204"/>
      <c r="E283" s="309">
        <v>3301</v>
      </c>
      <c r="F283" s="188" t="s">
        <v>138</v>
      </c>
      <c r="G283" s="366"/>
      <c r="H283" s="307"/>
      <c r="I283" s="308"/>
      <c r="J283" s="309"/>
      <c r="K283" s="299"/>
      <c r="L283" s="469"/>
      <c r="M283" s="309"/>
      <c r="N283" s="311"/>
      <c r="O283" s="299"/>
      <c r="P283" s="299"/>
      <c r="Q283" s="328">
        <f>SUM(Q284)</f>
        <v>0</v>
      </c>
      <c r="R283" s="328">
        <f t="shared" ref="R283:AD283" si="113">SUM(R284)</f>
        <v>0</v>
      </c>
      <c r="S283" s="328">
        <f t="shared" si="113"/>
        <v>0</v>
      </c>
      <c r="T283" s="328">
        <f t="shared" si="113"/>
        <v>0</v>
      </c>
      <c r="U283" s="328">
        <f t="shared" si="113"/>
        <v>0</v>
      </c>
      <c r="V283" s="328">
        <f t="shared" si="113"/>
        <v>0</v>
      </c>
      <c r="W283" s="328">
        <f t="shared" si="113"/>
        <v>0</v>
      </c>
      <c r="X283" s="328">
        <f t="shared" si="113"/>
        <v>0</v>
      </c>
      <c r="Y283" s="328">
        <f t="shared" si="113"/>
        <v>0</v>
      </c>
      <c r="Z283" s="328">
        <f t="shared" si="113"/>
        <v>0</v>
      </c>
      <c r="AA283" s="328">
        <f>SUM(AA284)</f>
        <v>14250000</v>
      </c>
      <c r="AB283" s="328">
        <f t="shared" si="113"/>
        <v>0</v>
      </c>
      <c r="AC283" s="328">
        <f t="shared" si="113"/>
        <v>0</v>
      </c>
      <c r="AD283" s="328">
        <f t="shared" si="113"/>
        <v>14250000</v>
      </c>
      <c r="AE283" s="328"/>
      <c r="AF283" s="328"/>
    </row>
    <row r="284" spans="1:72" ht="183" customHeight="1" x14ac:dyDescent="0.2">
      <c r="A284" s="297"/>
      <c r="B284" s="204"/>
      <c r="C284" s="204"/>
      <c r="D284" s="204"/>
      <c r="E284" s="197"/>
      <c r="F284" s="405"/>
      <c r="G284" s="195" t="s">
        <v>682</v>
      </c>
      <c r="H284" s="198">
        <v>3301051</v>
      </c>
      <c r="I284" s="195" t="s">
        <v>683</v>
      </c>
      <c r="J284" s="198">
        <v>330105110</v>
      </c>
      <c r="K284" s="187" t="s">
        <v>684</v>
      </c>
      <c r="L284" s="378" t="s">
        <v>54</v>
      </c>
      <c r="M284" s="261">
        <v>250</v>
      </c>
      <c r="N284" s="266" t="s">
        <v>685</v>
      </c>
      <c r="O284" s="187" t="s">
        <v>1250</v>
      </c>
      <c r="P284" s="195" t="s">
        <v>686</v>
      </c>
      <c r="Q284" s="303"/>
      <c r="R284" s="303"/>
      <c r="S284" s="303"/>
      <c r="T284" s="303"/>
      <c r="U284" s="303"/>
      <c r="V284" s="460"/>
      <c r="W284" s="303"/>
      <c r="X284" s="303"/>
      <c r="Y284" s="461"/>
      <c r="Z284" s="303"/>
      <c r="AA284" s="329">
        <v>14250000</v>
      </c>
      <c r="AB284" s="303"/>
      <c r="AC284" s="303"/>
      <c r="AD284" s="305">
        <f>+Q284+R284+S284+T284+U284+V284+W284+X284+Y284+Z284+AA284+AB284+AC284</f>
        <v>14250000</v>
      </c>
      <c r="AE284" s="305" t="s">
        <v>677</v>
      </c>
      <c r="AF284" s="149" t="s">
        <v>678</v>
      </c>
    </row>
    <row r="285" spans="1:72" s="9" customFormat="1" ht="27.75" customHeight="1" x14ac:dyDescent="0.25">
      <c r="A285" s="279"/>
      <c r="B285" s="194"/>
      <c r="C285" s="681">
        <v>41</v>
      </c>
      <c r="D285" s="156" t="s">
        <v>1357</v>
      </c>
      <c r="E285" s="156"/>
      <c r="F285" s="287"/>
      <c r="G285" s="288"/>
      <c r="H285" s="289"/>
      <c r="I285" s="290"/>
      <c r="J285" s="291"/>
      <c r="K285" s="292"/>
      <c r="L285" s="293"/>
      <c r="M285" s="291"/>
      <c r="N285" s="392"/>
      <c r="O285" s="295"/>
      <c r="P285" s="295"/>
      <c r="Q285" s="296">
        <f t="shared" ref="Q285:AD285" si="114">Q286+Q297+Q305</f>
        <v>3526539574</v>
      </c>
      <c r="R285" s="296">
        <f t="shared" si="114"/>
        <v>0</v>
      </c>
      <c r="S285" s="296">
        <f t="shared" si="114"/>
        <v>0</v>
      </c>
      <c r="T285" s="296">
        <f t="shared" si="114"/>
        <v>0</v>
      </c>
      <c r="U285" s="296">
        <f t="shared" si="114"/>
        <v>0</v>
      </c>
      <c r="V285" s="296">
        <f t="shared" si="114"/>
        <v>0</v>
      </c>
      <c r="W285" s="296">
        <f t="shared" si="114"/>
        <v>0</v>
      </c>
      <c r="X285" s="296">
        <f t="shared" si="114"/>
        <v>0</v>
      </c>
      <c r="Y285" s="296">
        <f t="shared" si="114"/>
        <v>0</v>
      </c>
      <c r="Z285" s="296">
        <f t="shared" si="114"/>
        <v>0</v>
      </c>
      <c r="AA285" s="296">
        <f t="shared" si="114"/>
        <v>1076000000</v>
      </c>
      <c r="AB285" s="296">
        <f t="shared" si="114"/>
        <v>0</v>
      </c>
      <c r="AC285" s="296">
        <f t="shared" si="114"/>
        <v>0</v>
      </c>
      <c r="AD285" s="296">
        <f t="shared" si="114"/>
        <v>4602539574</v>
      </c>
      <c r="AE285" s="296"/>
      <c r="AF285" s="341"/>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row>
    <row r="286" spans="1:72" ht="24.75" customHeight="1" x14ac:dyDescent="0.2">
      <c r="A286" s="297"/>
      <c r="B286" s="204"/>
      <c r="C286" s="204"/>
      <c r="D286" s="204"/>
      <c r="E286" s="309">
        <v>4102</v>
      </c>
      <c r="F286" s="188" t="s">
        <v>687</v>
      </c>
      <c r="G286" s="366"/>
      <c r="H286" s="307"/>
      <c r="I286" s="308"/>
      <c r="J286" s="309"/>
      <c r="K286" s="299"/>
      <c r="L286" s="310"/>
      <c r="M286" s="309"/>
      <c r="N286" s="311"/>
      <c r="O286" s="299"/>
      <c r="P286" s="299"/>
      <c r="Q286" s="328">
        <f t="shared" ref="Q286:AD286" si="115">SUM(Q287:Q296)</f>
        <v>0</v>
      </c>
      <c r="R286" s="328">
        <f t="shared" si="115"/>
        <v>0</v>
      </c>
      <c r="S286" s="328">
        <f t="shared" si="115"/>
        <v>0</v>
      </c>
      <c r="T286" s="328">
        <f t="shared" si="115"/>
        <v>0</v>
      </c>
      <c r="U286" s="328">
        <f t="shared" si="115"/>
        <v>0</v>
      </c>
      <c r="V286" s="328">
        <f t="shared" si="115"/>
        <v>0</v>
      </c>
      <c r="W286" s="328">
        <f t="shared" si="115"/>
        <v>0</v>
      </c>
      <c r="X286" s="328">
        <f t="shared" si="115"/>
        <v>0</v>
      </c>
      <c r="Y286" s="328">
        <f t="shared" si="115"/>
        <v>0</v>
      </c>
      <c r="Z286" s="328">
        <f t="shared" si="115"/>
        <v>0</v>
      </c>
      <c r="AA286" s="328">
        <f t="shared" si="115"/>
        <v>748000000</v>
      </c>
      <c r="AB286" s="328">
        <f t="shared" si="115"/>
        <v>0</v>
      </c>
      <c r="AC286" s="328">
        <f t="shared" si="115"/>
        <v>0</v>
      </c>
      <c r="AD286" s="328">
        <f t="shared" si="115"/>
        <v>748000000</v>
      </c>
      <c r="AE286" s="328"/>
      <c r="AF286" s="328"/>
    </row>
    <row r="287" spans="1:72" ht="83.25" customHeight="1" x14ac:dyDescent="0.2">
      <c r="A287" s="297"/>
      <c r="B287" s="204"/>
      <c r="C287" s="204"/>
      <c r="D287" s="204"/>
      <c r="E287" s="200"/>
      <c r="F287" s="405"/>
      <c r="G287" s="195" t="s">
        <v>688</v>
      </c>
      <c r="H287" s="203">
        <v>4102035</v>
      </c>
      <c r="I287" s="186" t="s">
        <v>689</v>
      </c>
      <c r="J287" s="425">
        <v>410203500</v>
      </c>
      <c r="K287" s="246" t="s">
        <v>690</v>
      </c>
      <c r="L287" s="385" t="s">
        <v>42</v>
      </c>
      <c r="M287" s="374">
        <v>1</v>
      </c>
      <c r="N287" s="748" t="s">
        <v>691</v>
      </c>
      <c r="O287" s="746" t="s">
        <v>1251</v>
      </c>
      <c r="P287" s="734" t="s">
        <v>692</v>
      </c>
      <c r="Q287" s="303"/>
      <c r="R287" s="303"/>
      <c r="S287" s="303"/>
      <c r="T287" s="303"/>
      <c r="U287" s="303"/>
      <c r="V287" s="460"/>
      <c r="W287" s="303"/>
      <c r="X287" s="303"/>
      <c r="Y287" s="461"/>
      <c r="Z287" s="303"/>
      <c r="AA287" s="329">
        <v>20000000</v>
      </c>
      <c r="AB287" s="303"/>
      <c r="AC287" s="303"/>
      <c r="AD287" s="305">
        <f t="shared" ref="AD287:AD296" si="116">+Q287+R287+S287+T287+U287+V287+W287+X287+Y287+Z287+AA287+AB287+AC287</f>
        <v>20000000</v>
      </c>
      <c r="AE287" s="305" t="s">
        <v>677</v>
      </c>
      <c r="AF287" s="149" t="s">
        <v>678</v>
      </c>
    </row>
    <row r="288" spans="1:72" ht="92.25" customHeight="1" x14ac:dyDescent="0.2">
      <c r="A288" s="140"/>
      <c r="B288" s="204"/>
      <c r="C288" s="204"/>
      <c r="D288" s="204"/>
      <c r="E288" s="226"/>
      <c r="F288" s="232"/>
      <c r="G288" s="186" t="s">
        <v>693</v>
      </c>
      <c r="H288" s="203">
        <v>4102001</v>
      </c>
      <c r="I288" s="186" t="s">
        <v>694</v>
      </c>
      <c r="J288" s="203">
        <v>410200100</v>
      </c>
      <c r="K288" s="246" t="s">
        <v>695</v>
      </c>
      <c r="L288" s="385" t="s">
        <v>42</v>
      </c>
      <c r="M288" s="374">
        <v>12</v>
      </c>
      <c r="N288" s="748"/>
      <c r="O288" s="746"/>
      <c r="P288" s="734"/>
      <c r="Q288" s="303"/>
      <c r="R288" s="303"/>
      <c r="S288" s="303"/>
      <c r="T288" s="303"/>
      <c r="U288" s="303"/>
      <c r="V288" s="460"/>
      <c r="W288" s="303"/>
      <c r="X288" s="303"/>
      <c r="Y288" s="461"/>
      <c r="Z288" s="303"/>
      <c r="AA288" s="329">
        <v>50000000</v>
      </c>
      <c r="AB288" s="303"/>
      <c r="AC288" s="303"/>
      <c r="AD288" s="305">
        <f t="shared" si="116"/>
        <v>50000000</v>
      </c>
      <c r="AE288" s="305" t="s">
        <v>677</v>
      </c>
      <c r="AF288" s="149" t="s">
        <v>678</v>
      </c>
    </row>
    <row r="289" spans="1:32" ht="177.75" customHeight="1" x14ac:dyDescent="0.2">
      <c r="A289" s="297"/>
      <c r="B289" s="204"/>
      <c r="C289" s="204"/>
      <c r="D289" s="204"/>
      <c r="E289" s="197"/>
      <c r="F289" s="209"/>
      <c r="G289" s="195" t="s">
        <v>696</v>
      </c>
      <c r="H289" s="470" t="s">
        <v>1201</v>
      </c>
      <c r="I289" s="186" t="s">
        <v>697</v>
      </c>
      <c r="J289" s="470" t="s">
        <v>1202</v>
      </c>
      <c r="K289" s="246" t="s">
        <v>698</v>
      </c>
      <c r="L289" s="385" t="s">
        <v>42</v>
      </c>
      <c r="M289" s="374">
        <v>1</v>
      </c>
      <c r="N289" s="266" t="s">
        <v>699</v>
      </c>
      <c r="O289" s="187" t="s">
        <v>700</v>
      </c>
      <c r="P289" s="195" t="s">
        <v>701</v>
      </c>
      <c r="Q289" s="303"/>
      <c r="R289" s="303"/>
      <c r="S289" s="303"/>
      <c r="T289" s="303"/>
      <c r="U289" s="303"/>
      <c r="V289" s="460"/>
      <c r="W289" s="303"/>
      <c r="X289" s="303"/>
      <c r="Y289" s="461"/>
      <c r="Z289" s="303"/>
      <c r="AA289" s="329">
        <v>135000000</v>
      </c>
      <c r="AB289" s="303"/>
      <c r="AC289" s="303"/>
      <c r="AD289" s="305">
        <f t="shared" si="116"/>
        <v>135000000</v>
      </c>
      <c r="AE289" s="305" t="s">
        <v>677</v>
      </c>
      <c r="AF289" s="149" t="s">
        <v>678</v>
      </c>
    </row>
    <row r="290" spans="1:32" ht="336" customHeight="1" x14ac:dyDescent="0.2">
      <c r="A290" s="297"/>
      <c r="B290" s="204"/>
      <c r="C290" s="204"/>
      <c r="D290" s="204"/>
      <c r="E290" s="197"/>
      <c r="F290" s="405"/>
      <c r="G290" s="195" t="s">
        <v>702</v>
      </c>
      <c r="H290" s="692" t="s">
        <v>1215</v>
      </c>
      <c r="I290" s="679" t="s">
        <v>1340</v>
      </c>
      <c r="J290" s="198" t="s">
        <v>1214</v>
      </c>
      <c r="K290" s="676" t="s">
        <v>1338</v>
      </c>
      <c r="L290" s="385" t="s">
        <v>54</v>
      </c>
      <c r="M290" s="385">
        <v>1</v>
      </c>
      <c r="N290" s="774" t="s">
        <v>703</v>
      </c>
      <c r="O290" s="766" t="s">
        <v>1252</v>
      </c>
      <c r="P290" s="736" t="s">
        <v>704</v>
      </c>
      <c r="Q290" s="303"/>
      <c r="R290" s="303"/>
      <c r="S290" s="303"/>
      <c r="T290" s="303"/>
      <c r="U290" s="303"/>
      <c r="V290" s="460"/>
      <c r="W290" s="303"/>
      <c r="X290" s="303"/>
      <c r="Y290" s="461"/>
      <c r="Z290" s="303"/>
      <c r="AA290" s="329">
        <v>36000000</v>
      </c>
      <c r="AB290" s="303"/>
      <c r="AC290" s="303"/>
      <c r="AD290" s="305">
        <f t="shared" ref="AD290:AD291" si="117">+Q290+R290+S290+T290+U290+V290+W290+X290+Y290+Z290+AA290+AB290+AC290</f>
        <v>36000000</v>
      </c>
      <c r="AE290" s="305" t="s">
        <v>677</v>
      </c>
      <c r="AF290" s="149" t="s">
        <v>678</v>
      </c>
    </row>
    <row r="291" spans="1:32" ht="282" customHeight="1" x14ac:dyDescent="0.2">
      <c r="A291" s="297"/>
      <c r="B291" s="204"/>
      <c r="C291" s="204"/>
      <c r="D291" s="204"/>
      <c r="E291" s="197"/>
      <c r="F291" s="405"/>
      <c r="G291" s="195" t="s">
        <v>702</v>
      </c>
      <c r="H291" s="684" t="s">
        <v>1201</v>
      </c>
      <c r="I291" s="679" t="s">
        <v>1339</v>
      </c>
      <c r="J291" s="198">
        <v>410204301</v>
      </c>
      <c r="K291" s="676" t="s">
        <v>1341</v>
      </c>
      <c r="L291" s="385" t="s">
        <v>42</v>
      </c>
      <c r="M291" s="385">
        <v>1</v>
      </c>
      <c r="N291" s="775"/>
      <c r="O291" s="767"/>
      <c r="P291" s="738"/>
      <c r="Q291" s="303"/>
      <c r="R291" s="303"/>
      <c r="S291" s="303"/>
      <c r="T291" s="303"/>
      <c r="U291" s="303"/>
      <c r="V291" s="460"/>
      <c r="W291" s="303"/>
      <c r="X291" s="303"/>
      <c r="Y291" s="461"/>
      <c r="Z291" s="303"/>
      <c r="AA291" s="329">
        <v>204000000</v>
      </c>
      <c r="AB291" s="303"/>
      <c r="AC291" s="303"/>
      <c r="AD291" s="305">
        <f t="shared" si="117"/>
        <v>204000000</v>
      </c>
      <c r="AE291" s="305" t="s">
        <v>677</v>
      </c>
      <c r="AF291" s="149" t="s">
        <v>678</v>
      </c>
    </row>
    <row r="292" spans="1:32" s="82" customFormat="1" ht="204" customHeight="1" x14ac:dyDescent="0.2">
      <c r="A292" s="573"/>
      <c r="B292" s="194"/>
      <c r="C292" s="194"/>
      <c r="D292" s="194"/>
      <c r="E292" s="190"/>
      <c r="F292" s="587"/>
      <c r="G292" s="192" t="s">
        <v>705</v>
      </c>
      <c r="H292" s="198">
        <v>4102038</v>
      </c>
      <c r="I292" s="192" t="s">
        <v>706</v>
      </c>
      <c r="J292" s="198">
        <v>410203800</v>
      </c>
      <c r="K292" s="649" t="s">
        <v>707</v>
      </c>
      <c r="L292" s="385" t="s">
        <v>42</v>
      </c>
      <c r="M292" s="385">
        <v>1</v>
      </c>
      <c r="N292" s="266" t="s">
        <v>708</v>
      </c>
      <c r="O292" s="191" t="s">
        <v>1200</v>
      </c>
      <c r="P292" s="192" t="s">
        <v>709</v>
      </c>
      <c r="Q292" s="303"/>
      <c r="R292" s="303"/>
      <c r="S292" s="303"/>
      <c r="T292" s="303"/>
      <c r="U292" s="303"/>
      <c r="V292" s="460"/>
      <c r="W292" s="303"/>
      <c r="X292" s="303"/>
      <c r="Y292" s="461"/>
      <c r="Z292" s="303"/>
      <c r="AA292" s="329">
        <v>210000000</v>
      </c>
      <c r="AB292" s="303"/>
      <c r="AC292" s="303"/>
      <c r="AD292" s="575">
        <f t="shared" si="116"/>
        <v>210000000</v>
      </c>
      <c r="AE292" s="575" t="s">
        <v>677</v>
      </c>
      <c r="AF292" s="577" t="s">
        <v>678</v>
      </c>
    </row>
    <row r="293" spans="1:32" ht="189.75" customHeight="1" x14ac:dyDescent="0.2">
      <c r="A293" s="297"/>
      <c r="B293" s="204"/>
      <c r="C293" s="204"/>
      <c r="D293" s="204"/>
      <c r="E293" s="197"/>
      <c r="F293" s="405"/>
      <c r="G293" s="195" t="s">
        <v>710</v>
      </c>
      <c r="H293" s="198">
        <v>4102042</v>
      </c>
      <c r="I293" s="679" t="s">
        <v>711</v>
      </c>
      <c r="J293" s="198">
        <v>410204200</v>
      </c>
      <c r="K293" s="187" t="s">
        <v>712</v>
      </c>
      <c r="L293" s="385" t="s">
        <v>42</v>
      </c>
      <c r="M293" s="374">
        <v>12</v>
      </c>
      <c r="N293" s="268" t="s">
        <v>713</v>
      </c>
      <c r="O293" s="471" t="s">
        <v>1253</v>
      </c>
      <c r="P293" s="245" t="s">
        <v>714</v>
      </c>
      <c r="Q293" s="303"/>
      <c r="R293" s="303"/>
      <c r="S293" s="303"/>
      <c r="T293" s="303"/>
      <c r="U293" s="303"/>
      <c r="V293" s="460"/>
      <c r="W293" s="303"/>
      <c r="X293" s="303"/>
      <c r="Y293" s="461"/>
      <c r="Z293" s="303"/>
      <c r="AA293" s="329">
        <v>18000000</v>
      </c>
      <c r="AB293" s="303"/>
      <c r="AC293" s="303"/>
      <c r="AD293" s="305">
        <f t="shared" si="116"/>
        <v>18000000</v>
      </c>
      <c r="AE293" s="305" t="s">
        <v>677</v>
      </c>
      <c r="AF293" s="149" t="s">
        <v>678</v>
      </c>
    </row>
    <row r="294" spans="1:32" ht="116.25" customHeight="1" x14ac:dyDescent="0.2">
      <c r="A294" s="297"/>
      <c r="B294" s="204"/>
      <c r="C294" s="204"/>
      <c r="D294" s="204"/>
      <c r="E294" s="197"/>
      <c r="F294" s="405"/>
      <c r="G294" s="195" t="s">
        <v>715</v>
      </c>
      <c r="H294" s="203">
        <v>4102001</v>
      </c>
      <c r="I294" s="225" t="s">
        <v>716</v>
      </c>
      <c r="J294" s="203">
        <v>410200100</v>
      </c>
      <c r="K294" s="224" t="s">
        <v>717</v>
      </c>
      <c r="L294" s="385" t="s">
        <v>42</v>
      </c>
      <c r="M294" s="374">
        <v>1</v>
      </c>
      <c r="N294" s="747" t="s">
        <v>718</v>
      </c>
      <c r="O294" s="764" t="s">
        <v>1254</v>
      </c>
      <c r="P294" s="764" t="s">
        <v>719</v>
      </c>
      <c r="Q294" s="303"/>
      <c r="R294" s="303"/>
      <c r="S294" s="303"/>
      <c r="T294" s="303"/>
      <c r="U294" s="303"/>
      <c r="V294" s="460"/>
      <c r="W294" s="303"/>
      <c r="X294" s="303"/>
      <c r="Y294" s="461"/>
      <c r="Z294" s="303"/>
      <c r="AA294" s="329">
        <v>20000000</v>
      </c>
      <c r="AB294" s="303"/>
      <c r="AC294" s="303"/>
      <c r="AD294" s="305">
        <f t="shared" si="116"/>
        <v>20000000</v>
      </c>
      <c r="AE294" s="305" t="s">
        <v>677</v>
      </c>
      <c r="AF294" s="149" t="s">
        <v>678</v>
      </c>
    </row>
    <row r="295" spans="1:32" ht="248.25" customHeight="1" x14ac:dyDescent="0.2">
      <c r="A295" s="297"/>
      <c r="B295" s="204"/>
      <c r="C295" s="204"/>
      <c r="D295" s="204"/>
      <c r="E295" s="197"/>
      <c r="F295" s="405"/>
      <c r="G295" s="195" t="s">
        <v>720</v>
      </c>
      <c r="H295" s="236">
        <v>4102046</v>
      </c>
      <c r="I295" s="260" t="s">
        <v>721</v>
      </c>
      <c r="J295" s="236">
        <v>410204600</v>
      </c>
      <c r="K295" s="237" t="s">
        <v>722</v>
      </c>
      <c r="L295" s="385" t="s">
        <v>54</v>
      </c>
      <c r="M295" s="374">
        <v>16</v>
      </c>
      <c r="N295" s="747"/>
      <c r="O295" s="764"/>
      <c r="P295" s="764"/>
      <c r="Q295" s="303"/>
      <c r="R295" s="303"/>
      <c r="S295" s="303"/>
      <c r="T295" s="303"/>
      <c r="U295" s="303"/>
      <c r="V295" s="460"/>
      <c r="W295" s="303"/>
      <c r="X295" s="303"/>
      <c r="Y295" s="461"/>
      <c r="Z295" s="303"/>
      <c r="AA295" s="329">
        <v>18000000</v>
      </c>
      <c r="AB295" s="303"/>
      <c r="AC295" s="303"/>
      <c r="AD295" s="305">
        <f t="shared" si="116"/>
        <v>18000000</v>
      </c>
      <c r="AE295" s="305" t="s">
        <v>677</v>
      </c>
      <c r="AF295" s="149" t="s">
        <v>678</v>
      </c>
    </row>
    <row r="296" spans="1:32" ht="174" customHeight="1" x14ac:dyDescent="0.2">
      <c r="A296" s="297"/>
      <c r="B296" s="204"/>
      <c r="C296" s="204"/>
      <c r="D296" s="204"/>
      <c r="E296" s="197"/>
      <c r="F296" s="405"/>
      <c r="G296" s="195" t="s">
        <v>723</v>
      </c>
      <c r="H296" s="197">
        <v>4102038</v>
      </c>
      <c r="I296" s="195" t="s">
        <v>724</v>
      </c>
      <c r="J296" s="219">
        <v>410203800</v>
      </c>
      <c r="K296" s="246" t="s">
        <v>725</v>
      </c>
      <c r="L296" s="385" t="s">
        <v>54</v>
      </c>
      <c r="M296" s="374">
        <v>10</v>
      </c>
      <c r="N296" s="268" t="s">
        <v>726</v>
      </c>
      <c r="O296" s="216" t="s">
        <v>1255</v>
      </c>
      <c r="P296" s="218" t="s">
        <v>727</v>
      </c>
      <c r="Q296" s="303"/>
      <c r="R296" s="303"/>
      <c r="S296" s="303"/>
      <c r="T296" s="303"/>
      <c r="U296" s="303"/>
      <c r="V296" s="460"/>
      <c r="W296" s="303"/>
      <c r="X296" s="303"/>
      <c r="Y296" s="461"/>
      <c r="Z296" s="303"/>
      <c r="AA296" s="329">
        <v>37000000</v>
      </c>
      <c r="AB296" s="303"/>
      <c r="AC296" s="303"/>
      <c r="AD296" s="305">
        <f t="shared" si="116"/>
        <v>37000000</v>
      </c>
      <c r="AE296" s="305" t="s">
        <v>677</v>
      </c>
      <c r="AF296" s="149" t="s">
        <v>678</v>
      </c>
    </row>
    <row r="297" spans="1:32" ht="37.5" customHeight="1" x14ac:dyDescent="0.2">
      <c r="A297" s="297"/>
      <c r="B297" s="204"/>
      <c r="C297" s="204"/>
      <c r="D297" s="204"/>
      <c r="E297" s="309">
        <v>4103</v>
      </c>
      <c r="F297" s="188" t="s">
        <v>252</v>
      </c>
      <c r="G297" s="366"/>
      <c r="H297" s="307"/>
      <c r="I297" s="308"/>
      <c r="J297" s="309"/>
      <c r="K297" s="299"/>
      <c r="L297" s="310"/>
      <c r="M297" s="309"/>
      <c r="N297" s="311"/>
      <c r="O297" s="299"/>
      <c r="P297" s="299"/>
      <c r="Q297" s="328">
        <f>SUM(Q298:Q304)</f>
        <v>0</v>
      </c>
      <c r="R297" s="328">
        <f t="shared" ref="R297:AC297" si="118">SUM(R298:R304)</f>
        <v>0</v>
      </c>
      <c r="S297" s="328">
        <f t="shared" si="118"/>
        <v>0</v>
      </c>
      <c r="T297" s="328">
        <f t="shared" si="118"/>
        <v>0</v>
      </c>
      <c r="U297" s="328">
        <f t="shared" si="118"/>
        <v>0</v>
      </c>
      <c r="V297" s="472">
        <f t="shared" si="118"/>
        <v>0</v>
      </c>
      <c r="W297" s="328">
        <f t="shared" si="118"/>
        <v>0</v>
      </c>
      <c r="X297" s="328">
        <f t="shared" si="118"/>
        <v>0</v>
      </c>
      <c r="Y297" s="473">
        <f t="shared" si="118"/>
        <v>0</v>
      </c>
      <c r="Z297" s="328">
        <f t="shared" si="118"/>
        <v>0</v>
      </c>
      <c r="AA297" s="328">
        <f>SUM(AA298:AA304)</f>
        <v>175000000</v>
      </c>
      <c r="AB297" s="328">
        <f t="shared" si="118"/>
        <v>0</v>
      </c>
      <c r="AC297" s="328">
        <f t="shared" si="118"/>
        <v>0</v>
      </c>
      <c r="AD297" s="328">
        <f>SUM(AD298:AD304)</f>
        <v>175000000</v>
      </c>
      <c r="AE297" s="328"/>
      <c r="AF297" s="328"/>
    </row>
    <row r="298" spans="1:32" ht="141" customHeight="1" x14ac:dyDescent="0.2">
      <c r="A298" s="297"/>
      <c r="B298" s="223"/>
      <c r="C298" s="223"/>
      <c r="D298" s="223"/>
      <c r="E298" s="197"/>
      <c r="F298" s="405"/>
      <c r="G298" s="195" t="s">
        <v>728</v>
      </c>
      <c r="H298" s="198">
        <v>4103059</v>
      </c>
      <c r="I298" s="195" t="s">
        <v>729</v>
      </c>
      <c r="J298" s="383">
        <v>410305900</v>
      </c>
      <c r="K298" s="246" t="s">
        <v>730</v>
      </c>
      <c r="L298" s="378" t="s">
        <v>54</v>
      </c>
      <c r="M298" s="261">
        <v>10</v>
      </c>
      <c r="N298" s="266" t="s">
        <v>731</v>
      </c>
      <c r="O298" s="195" t="s">
        <v>732</v>
      </c>
      <c r="P298" s="195" t="s">
        <v>733</v>
      </c>
      <c r="Q298" s="303"/>
      <c r="R298" s="303"/>
      <c r="S298" s="303"/>
      <c r="T298" s="303"/>
      <c r="U298" s="303"/>
      <c r="V298" s="460"/>
      <c r="W298" s="303"/>
      <c r="X298" s="303"/>
      <c r="Y298" s="461"/>
      <c r="Z298" s="303"/>
      <c r="AA298" s="329">
        <v>15000000</v>
      </c>
      <c r="AB298" s="303"/>
      <c r="AC298" s="303"/>
      <c r="AD298" s="305">
        <f t="shared" ref="AD298:AD310" si="119">+Q298+R298+S298+T298+U298+V298+W298+X298+Y298+Z298+AA298+AB298+AC298</f>
        <v>15000000</v>
      </c>
      <c r="AE298" s="305" t="s">
        <v>677</v>
      </c>
      <c r="AF298" s="149" t="s">
        <v>678</v>
      </c>
    </row>
    <row r="299" spans="1:32" ht="150.75" customHeight="1" x14ac:dyDescent="0.2">
      <c r="A299" s="297"/>
      <c r="B299" s="204"/>
      <c r="C299" s="204"/>
      <c r="D299" s="204"/>
      <c r="E299" s="197"/>
      <c r="F299" s="405"/>
      <c r="G299" s="195" t="s">
        <v>734</v>
      </c>
      <c r="H299" s="197">
        <v>4103052</v>
      </c>
      <c r="I299" s="195" t="s">
        <v>735</v>
      </c>
      <c r="J299" s="219">
        <v>410305202</v>
      </c>
      <c r="K299" s="246" t="s">
        <v>736</v>
      </c>
      <c r="L299" s="378" t="s">
        <v>42</v>
      </c>
      <c r="M299" s="261">
        <v>1</v>
      </c>
      <c r="N299" s="266" t="s">
        <v>737</v>
      </c>
      <c r="O299" s="195" t="s">
        <v>738</v>
      </c>
      <c r="P299" s="195" t="s">
        <v>739</v>
      </c>
      <c r="Q299" s="303"/>
      <c r="R299" s="303"/>
      <c r="S299" s="303"/>
      <c r="T299" s="303"/>
      <c r="U299" s="303"/>
      <c r="V299" s="460"/>
      <c r="W299" s="303"/>
      <c r="X299" s="303"/>
      <c r="Y299" s="461"/>
      <c r="Z299" s="303"/>
      <c r="AA299" s="329">
        <v>20000000</v>
      </c>
      <c r="AB299" s="303"/>
      <c r="AC299" s="303"/>
      <c r="AD299" s="305">
        <f t="shared" si="119"/>
        <v>20000000</v>
      </c>
      <c r="AE299" s="305" t="s">
        <v>677</v>
      </c>
      <c r="AF299" s="149" t="s">
        <v>678</v>
      </c>
    </row>
    <row r="300" spans="1:32" ht="271.5" customHeight="1" x14ac:dyDescent="0.2">
      <c r="A300" s="297"/>
      <c r="B300" s="204"/>
      <c r="C300" s="204"/>
      <c r="D300" s="204"/>
      <c r="E300" s="197"/>
      <c r="F300" s="405"/>
      <c r="G300" s="195" t="s">
        <v>720</v>
      </c>
      <c r="H300" s="197">
        <v>4103050</v>
      </c>
      <c r="I300" s="195" t="s">
        <v>740</v>
      </c>
      <c r="J300" s="219">
        <v>410305001</v>
      </c>
      <c r="K300" s="246" t="s">
        <v>741</v>
      </c>
      <c r="L300" s="378" t="s">
        <v>42</v>
      </c>
      <c r="M300" s="261">
        <v>12</v>
      </c>
      <c r="N300" s="266" t="s">
        <v>742</v>
      </c>
      <c r="O300" s="195" t="s">
        <v>1256</v>
      </c>
      <c r="P300" s="195" t="s">
        <v>743</v>
      </c>
      <c r="Q300" s="303"/>
      <c r="R300" s="303"/>
      <c r="S300" s="303"/>
      <c r="T300" s="303"/>
      <c r="U300" s="303"/>
      <c r="V300" s="460"/>
      <c r="W300" s="303"/>
      <c r="X300" s="303"/>
      <c r="Y300" s="461"/>
      <c r="Z300" s="303"/>
      <c r="AA300" s="329">
        <v>25000000</v>
      </c>
      <c r="AB300" s="303"/>
      <c r="AC300" s="303"/>
      <c r="AD300" s="305">
        <f t="shared" si="119"/>
        <v>25000000</v>
      </c>
      <c r="AE300" s="305" t="s">
        <v>677</v>
      </c>
      <c r="AF300" s="149" t="s">
        <v>678</v>
      </c>
    </row>
    <row r="301" spans="1:32" ht="149.25" customHeight="1" x14ac:dyDescent="0.2">
      <c r="A301" s="297"/>
      <c r="B301" s="204"/>
      <c r="C301" s="204"/>
      <c r="D301" s="204"/>
      <c r="E301" s="197"/>
      <c r="F301" s="405"/>
      <c r="G301" s="195" t="s">
        <v>744</v>
      </c>
      <c r="H301" s="198">
        <v>4103058</v>
      </c>
      <c r="I301" s="195" t="s">
        <v>745</v>
      </c>
      <c r="J301" s="383">
        <v>410305800</v>
      </c>
      <c r="K301" s="246" t="s">
        <v>746</v>
      </c>
      <c r="L301" s="378" t="s">
        <v>54</v>
      </c>
      <c r="M301" s="261">
        <v>2</v>
      </c>
      <c r="N301" s="266" t="s">
        <v>747</v>
      </c>
      <c r="O301" s="195" t="s">
        <v>748</v>
      </c>
      <c r="P301" s="195" t="s">
        <v>749</v>
      </c>
      <c r="Q301" s="303"/>
      <c r="R301" s="303"/>
      <c r="S301" s="303"/>
      <c r="T301" s="303"/>
      <c r="U301" s="303"/>
      <c r="V301" s="460"/>
      <c r="W301" s="303"/>
      <c r="X301" s="303"/>
      <c r="Y301" s="461"/>
      <c r="Z301" s="303"/>
      <c r="AA301" s="329">
        <v>28000000</v>
      </c>
      <c r="AB301" s="303"/>
      <c r="AC301" s="303"/>
      <c r="AD301" s="305">
        <f t="shared" si="119"/>
        <v>28000000</v>
      </c>
      <c r="AE301" s="305" t="s">
        <v>677</v>
      </c>
      <c r="AF301" s="149" t="s">
        <v>678</v>
      </c>
    </row>
    <row r="302" spans="1:32" ht="96" customHeight="1" x14ac:dyDescent="0.2">
      <c r="A302" s="297"/>
      <c r="B302" s="204"/>
      <c r="C302" s="204"/>
      <c r="D302" s="204"/>
      <c r="E302" s="197"/>
      <c r="F302" s="405"/>
      <c r="G302" s="193" t="s">
        <v>750</v>
      </c>
      <c r="H302" s="203">
        <v>4103060</v>
      </c>
      <c r="I302" s="186" t="s">
        <v>751</v>
      </c>
      <c r="J302" s="203">
        <v>410306000</v>
      </c>
      <c r="K302" s="246" t="s">
        <v>752</v>
      </c>
      <c r="L302" s="378" t="s">
        <v>54</v>
      </c>
      <c r="M302" s="261">
        <v>5</v>
      </c>
      <c r="N302" s="747" t="s">
        <v>753</v>
      </c>
      <c r="O302" s="734" t="s">
        <v>754</v>
      </c>
      <c r="P302" s="734" t="s">
        <v>755</v>
      </c>
      <c r="Q302" s="303"/>
      <c r="R302" s="303"/>
      <c r="S302" s="303"/>
      <c r="T302" s="303"/>
      <c r="U302" s="303"/>
      <c r="V302" s="460"/>
      <c r="W302" s="303"/>
      <c r="X302" s="303"/>
      <c r="Y302" s="461"/>
      <c r="Z302" s="303"/>
      <c r="AA302" s="329">
        <v>27000000</v>
      </c>
      <c r="AB302" s="303"/>
      <c r="AC302" s="303"/>
      <c r="AD302" s="305">
        <f t="shared" si="119"/>
        <v>27000000</v>
      </c>
      <c r="AE302" s="305" t="s">
        <v>677</v>
      </c>
      <c r="AF302" s="149" t="s">
        <v>678</v>
      </c>
    </row>
    <row r="303" spans="1:32" ht="87" customHeight="1" x14ac:dyDescent="0.2">
      <c r="A303" s="297"/>
      <c r="B303" s="204"/>
      <c r="C303" s="204"/>
      <c r="D303" s="204"/>
      <c r="E303" s="197"/>
      <c r="F303" s="405"/>
      <c r="G303" s="193" t="s">
        <v>756</v>
      </c>
      <c r="H303" s="203">
        <v>4103060</v>
      </c>
      <c r="I303" s="186" t="s">
        <v>757</v>
      </c>
      <c r="J303" s="203">
        <v>410306000</v>
      </c>
      <c r="K303" s="187" t="s">
        <v>758</v>
      </c>
      <c r="L303" s="378" t="s">
        <v>42</v>
      </c>
      <c r="M303" s="261">
        <v>2</v>
      </c>
      <c r="N303" s="747"/>
      <c r="O303" s="734"/>
      <c r="P303" s="734"/>
      <c r="Q303" s="303"/>
      <c r="R303" s="303"/>
      <c r="S303" s="303"/>
      <c r="T303" s="303"/>
      <c r="U303" s="303"/>
      <c r="V303" s="460"/>
      <c r="W303" s="303"/>
      <c r="X303" s="303"/>
      <c r="Y303" s="461"/>
      <c r="Z303" s="303"/>
      <c r="AA303" s="329">
        <v>20000000</v>
      </c>
      <c r="AB303" s="303"/>
      <c r="AC303" s="303"/>
      <c r="AD303" s="305">
        <f t="shared" si="119"/>
        <v>20000000</v>
      </c>
      <c r="AE303" s="305" t="s">
        <v>677</v>
      </c>
      <c r="AF303" s="149" t="s">
        <v>678</v>
      </c>
    </row>
    <row r="304" spans="1:32" s="82" customFormat="1" ht="152.25" customHeight="1" x14ac:dyDescent="0.2">
      <c r="A304" s="573"/>
      <c r="B304" s="194"/>
      <c r="C304" s="194"/>
      <c r="D304" s="194"/>
      <c r="E304" s="190"/>
      <c r="F304" s="587"/>
      <c r="G304" s="192" t="s">
        <v>759</v>
      </c>
      <c r="H304" s="198">
        <v>4103052</v>
      </c>
      <c r="I304" s="192" t="s">
        <v>760</v>
      </c>
      <c r="J304" s="198">
        <v>410305202</v>
      </c>
      <c r="K304" s="206" t="s">
        <v>761</v>
      </c>
      <c r="L304" s="445" t="s">
        <v>42</v>
      </c>
      <c r="M304" s="445">
        <v>1</v>
      </c>
      <c r="N304" s="266" t="s">
        <v>762</v>
      </c>
      <c r="O304" s="192" t="s">
        <v>763</v>
      </c>
      <c r="P304" s="192" t="s">
        <v>764</v>
      </c>
      <c r="Q304" s="303"/>
      <c r="R304" s="303"/>
      <c r="S304" s="303"/>
      <c r="T304" s="303"/>
      <c r="U304" s="303"/>
      <c r="V304" s="460"/>
      <c r="W304" s="303"/>
      <c r="X304" s="303"/>
      <c r="Y304" s="461"/>
      <c r="Z304" s="303"/>
      <c r="AA304" s="329">
        <v>40000000</v>
      </c>
      <c r="AB304" s="303"/>
      <c r="AC304" s="303"/>
      <c r="AD304" s="575">
        <f t="shared" si="119"/>
        <v>40000000</v>
      </c>
      <c r="AE304" s="575" t="s">
        <v>677</v>
      </c>
      <c r="AF304" s="577" t="s">
        <v>678</v>
      </c>
    </row>
    <row r="305" spans="1:72" ht="44.25" customHeight="1" x14ac:dyDescent="0.2">
      <c r="A305" s="297"/>
      <c r="B305" s="204"/>
      <c r="C305" s="204"/>
      <c r="D305" s="204"/>
      <c r="E305" s="309">
        <v>4104</v>
      </c>
      <c r="F305" s="188" t="s">
        <v>765</v>
      </c>
      <c r="G305" s="366"/>
      <c r="H305" s="307"/>
      <c r="I305" s="308"/>
      <c r="J305" s="309"/>
      <c r="K305" s="299"/>
      <c r="L305" s="474"/>
      <c r="M305" s="309"/>
      <c r="N305" s="311"/>
      <c r="O305" s="299"/>
      <c r="P305" s="299"/>
      <c r="Q305" s="328">
        <f t="shared" ref="Q305:AD305" si="120">SUM(Q306:Q310)</f>
        <v>3526539574</v>
      </c>
      <c r="R305" s="328">
        <f t="shared" si="120"/>
        <v>0</v>
      </c>
      <c r="S305" s="328">
        <f t="shared" si="120"/>
        <v>0</v>
      </c>
      <c r="T305" s="328">
        <f t="shared" si="120"/>
        <v>0</v>
      </c>
      <c r="U305" s="328">
        <f t="shared" si="120"/>
        <v>0</v>
      </c>
      <c r="V305" s="472">
        <f t="shared" si="120"/>
        <v>0</v>
      </c>
      <c r="W305" s="328">
        <f t="shared" si="120"/>
        <v>0</v>
      </c>
      <c r="X305" s="328">
        <f t="shared" si="120"/>
        <v>0</v>
      </c>
      <c r="Y305" s="473">
        <f t="shared" si="120"/>
        <v>0</v>
      </c>
      <c r="Z305" s="328">
        <f t="shared" si="120"/>
        <v>0</v>
      </c>
      <c r="AA305" s="328">
        <f t="shared" si="120"/>
        <v>153000000</v>
      </c>
      <c r="AB305" s="328">
        <f t="shared" si="120"/>
        <v>0</v>
      </c>
      <c r="AC305" s="328">
        <f t="shared" si="120"/>
        <v>0</v>
      </c>
      <c r="AD305" s="328">
        <f t="shared" si="120"/>
        <v>3679539574</v>
      </c>
      <c r="AE305" s="328"/>
      <c r="AF305" s="328"/>
    </row>
    <row r="306" spans="1:72" ht="152.25" customHeight="1" x14ac:dyDescent="0.2">
      <c r="A306" s="297"/>
      <c r="B306" s="204"/>
      <c r="C306" s="204"/>
      <c r="D306" s="204"/>
      <c r="E306" s="197"/>
      <c r="F306" s="405"/>
      <c r="G306" s="195" t="s">
        <v>766</v>
      </c>
      <c r="H306" s="203">
        <v>4104020</v>
      </c>
      <c r="I306" s="186" t="s">
        <v>767</v>
      </c>
      <c r="J306" s="203">
        <v>410402000</v>
      </c>
      <c r="K306" s="187" t="s">
        <v>768</v>
      </c>
      <c r="L306" s="378" t="s">
        <v>54</v>
      </c>
      <c r="M306" s="261">
        <v>50</v>
      </c>
      <c r="N306" s="747" t="s">
        <v>769</v>
      </c>
      <c r="O306" s="753" t="s">
        <v>770</v>
      </c>
      <c r="P306" s="734" t="s">
        <v>771</v>
      </c>
      <c r="Q306" s="303"/>
      <c r="R306" s="303"/>
      <c r="S306" s="303"/>
      <c r="T306" s="303"/>
      <c r="U306" s="303"/>
      <c r="V306" s="460"/>
      <c r="W306" s="303"/>
      <c r="X306" s="303"/>
      <c r="Y306" s="461"/>
      <c r="Z306" s="303"/>
      <c r="AA306" s="332">
        <f>25000000+54000000</f>
        <v>79000000</v>
      </c>
      <c r="AB306" s="303"/>
      <c r="AC306" s="303"/>
      <c r="AD306" s="305">
        <f t="shared" si="119"/>
        <v>79000000</v>
      </c>
      <c r="AE306" s="305" t="s">
        <v>677</v>
      </c>
      <c r="AF306" s="149" t="s">
        <v>678</v>
      </c>
    </row>
    <row r="307" spans="1:72" ht="134.25" customHeight="1" x14ac:dyDescent="0.2">
      <c r="A307" s="297"/>
      <c r="B307" s="204"/>
      <c r="C307" s="204"/>
      <c r="D307" s="204"/>
      <c r="E307" s="197"/>
      <c r="F307" s="405"/>
      <c r="G307" s="195" t="s">
        <v>772</v>
      </c>
      <c r="H307" s="203">
        <v>4104020</v>
      </c>
      <c r="I307" s="186" t="s">
        <v>767</v>
      </c>
      <c r="J307" s="203">
        <v>410402000</v>
      </c>
      <c r="K307" s="475" t="s">
        <v>773</v>
      </c>
      <c r="L307" s="398" t="s">
        <v>42</v>
      </c>
      <c r="M307" s="261">
        <v>12</v>
      </c>
      <c r="N307" s="747"/>
      <c r="O307" s="753"/>
      <c r="P307" s="734"/>
      <c r="Q307" s="303"/>
      <c r="R307" s="303"/>
      <c r="S307" s="303"/>
      <c r="T307" s="303"/>
      <c r="U307" s="303"/>
      <c r="V307" s="460"/>
      <c r="W307" s="303"/>
      <c r="X307" s="303"/>
      <c r="Y307" s="461"/>
      <c r="Z307" s="303"/>
      <c r="AA307" s="329">
        <v>19000000</v>
      </c>
      <c r="AB307" s="303"/>
      <c r="AC307" s="303"/>
      <c r="AD307" s="305">
        <f t="shared" si="119"/>
        <v>19000000</v>
      </c>
      <c r="AE307" s="305" t="s">
        <v>677</v>
      </c>
      <c r="AF307" s="149" t="s">
        <v>678</v>
      </c>
    </row>
    <row r="308" spans="1:72" ht="108.75" customHeight="1" x14ac:dyDescent="0.2">
      <c r="A308" s="297"/>
      <c r="B308" s="204"/>
      <c r="C308" s="204"/>
      <c r="D308" s="204"/>
      <c r="E308" s="197"/>
      <c r="F308" s="405"/>
      <c r="G308" s="195" t="s">
        <v>774</v>
      </c>
      <c r="H308" s="203">
        <v>4104027</v>
      </c>
      <c r="I308" s="186" t="s">
        <v>775</v>
      </c>
      <c r="J308" s="203">
        <v>410402700</v>
      </c>
      <c r="K308" s="187" t="s">
        <v>776</v>
      </c>
      <c r="L308" s="378" t="s">
        <v>42</v>
      </c>
      <c r="M308" s="261">
        <v>12</v>
      </c>
      <c r="N308" s="302" t="s">
        <v>777</v>
      </c>
      <c r="O308" s="195" t="s">
        <v>1257</v>
      </c>
      <c r="P308" s="195" t="s">
        <v>778</v>
      </c>
      <c r="Q308" s="303"/>
      <c r="R308" s="303"/>
      <c r="S308" s="303"/>
      <c r="T308" s="303"/>
      <c r="U308" s="303"/>
      <c r="V308" s="460"/>
      <c r="W308" s="303"/>
      <c r="X308" s="303"/>
      <c r="Y308" s="461"/>
      <c r="Z308" s="303"/>
      <c r="AA308" s="329">
        <v>35000000</v>
      </c>
      <c r="AB308" s="303"/>
      <c r="AC308" s="303"/>
      <c r="AD308" s="305">
        <f t="shared" si="119"/>
        <v>35000000</v>
      </c>
      <c r="AE308" s="305" t="s">
        <v>677</v>
      </c>
      <c r="AF308" s="149" t="s">
        <v>678</v>
      </c>
    </row>
    <row r="309" spans="1:72" ht="131.25" customHeight="1" x14ac:dyDescent="0.2">
      <c r="A309" s="297"/>
      <c r="B309" s="204"/>
      <c r="C309" s="204"/>
      <c r="D309" s="204"/>
      <c r="E309" s="197"/>
      <c r="F309" s="209"/>
      <c r="G309" s="195" t="s">
        <v>794</v>
      </c>
      <c r="H309" s="217">
        <v>4104015</v>
      </c>
      <c r="I309" s="245" t="s">
        <v>795</v>
      </c>
      <c r="J309" s="383">
        <v>410401500</v>
      </c>
      <c r="K309" s="246" t="s">
        <v>796</v>
      </c>
      <c r="L309" s="378" t="s">
        <v>42</v>
      </c>
      <c r="M309" s="227">
        <v>7500</v>
      </c>
      <c r="N309" s="774" t="s">
        <v>791</v>
      </c>
      <c r="O309" s="762" t="s">
        <v>792</v>
      </c>
      <c r="P309" s="756" t="s">
        <v>793</v>
      </c>
      <c r="Q309" s="303"/>
      <c r="R309" s="303"/>
      <c r="S309" s="303"/>
      <c r="T309" s="303"/>
      <c r="U309" s="303"/>
      <c r="V309" s="460"/>
      <c r="W309" s="303"/>
      <c r="X309" s="303"/>
      <c r="Y309" s="461"/>
      <c r="Z309" s="303"/>
      <c r="AA309" s="329">
        <v>20000000</v>
      </c>
      <c r="AB309" s="303"/>
      <c r="AC309" s="303"/>
      <c r="AD309" s="305">
        <f t="shared" si="119"/>
        <v>20000000</v>
      </c>
      <c r="AE309" s="305" t="s">
        <v>677</v>
      </c>
      <c r="AF309" s="149" t="s">
        <v>678</v>
      </c>
    </row>
    <row r="310" spans="1:72" ht="203.25" customHeight="1" x14ac:dyDescent="0.2">
      <c r="A310" s="297"/>
      <c r="B310" s="204"/>
      <c r="C310" s="204"/>
      <c r="D310" s="204"/>
      <c r="E310" s="197"/>
      <c r="F310" s="209"/>
      <c r="G310" s="195" t="s">
        <v>797</v>
      </c>
      <c r="H310" s="196">
        <v>4104008</v>
      </c>
      <c r="I310" s="260" t="s">
        <v>798</v>
      </c>
      <c r="J310" s="196">
        <v>410400800</v>
      </c>
      <c r="K310" s="475" t="s">
        <v>799</v>
      </c>
      <c r="L310" s="209" t="s">
        <v>42</v>
      </c>
      <c r="M310" s="261">
        <v>12</v>
      </c>
      <c r="N310" s="775"/>
      <c r="O310" s="763"/>
      <c r="P310" s="756"/>
      <c r="Q310" s="428">
        <f>1057961872+2468577702</f>
        <v>3526539574</v>
      </c>
      <c r="R310" s="476"/>
      <c r="S310" s="303"/>
      <c r="T310" s="303"/>
      <c r="U310" s="303"/>
      <c r="V310" s="460"/>
      <c r="W310" s="303"/>
      <c r="X310" s="303"/>
      <c r="Y310" s="461"/>
      <c r="Z310" s="303"/>
      <c r="AA310" s="329">
        <v>0</v>
      </c>
      <c r="AB310" s="303"/>
      <c r="AC310" s="303"/>
      <c r="AD310" s="305">
        <f t="shared" si="119"/>
        <v>3526539574</v>
      </c>
      <c r="AE310" s="305" t="s">
        <v>677</v>
      </c>
      <c r="AF310" s="149" t="s">
        <v>678</v>
      </c>
    </row>
    <row r="311" spans="1:72" ht="24.75" customHeight="1" x14ac:dyDescent="0.2">
      <c r="A311" s="297"/>
      <c r="B311" s="280">
        <v>2</v>
      </c>
      <c r="C311" s="155" t="s">
        <v>332</v>
      </c>
      <c r="D311" s="348"/>
      <c r="E311" s="155"/>
      <c r="F311" s="155"/>
      <c r="G311" s="155"/>
      <c r="H311" s="281"/>
      <c r="I311" s="282"/>
      <c r="J311" s="280"/>
      <c r="K311" s="283"/>
      <c r="L311" s="284"/>
      <c r="M311" s="280"/>
      <c r="N311" s="285"/>
      <c r="O311" s="282"/>
      <c r="P311" s="282"/>
      <c r="Q311" s="286">
        <f>Q312+Q315</f>
        <v>0</v>
      </c>
      <c r="R311" s="286">
        <f t="shared" ref="R311:AC311" si="121">R312+R315</f>
        <v>0</v>
      </c>
      <c r="S311" s="286">
        <f t="shared" si="121"/>
        <v>0</v>
      </c>
      <c r="T311" s="286">
        <f t="shared" si="121"/>
        <v>0</v>
      </c>
      <c r="U311" s="286">
        <f t="shared" si="121"/>
        <v>0</v>
      </c>
      <c r="V311" s="286">
        <f t="shared" si="121"/>
        <v>0</v>
      </c>
      <c r="W311" s="286">
        <f t="shared" si="121"/>
        <v>0</v>
      </c>
      <c r="X311" s="286">
        <f t="shared" si="121"/>
        <v>0</v>
      </c>
      <c r="Y311" s="286">
        <f t="shared" si="121"/>
        <v>0</v>
      </c>
      <c r="Z311" s="286">
        <f t="shared" si="121"/>
        <v>0</v>
      </c>
      <c r="AA311" s="286">
        <f t="shared" si="121"/>
        <v>36000000</v>
      </c>
      <c r="AB311" s="286">
        <f t="shared" si="121"/>
        <v>0</v>
      </c>
      <c r="AC311" s="286">
        <f t="shared" si="121"/>
        <v>0</v>
      </c>
      <c r="AD311" s="286">
        <f>AD312+AD315</f>
        <v>36000000</v>
      </c>
      <c r="AE311" s="286"/>
      <c r="AF311" s="340"/>
    </row>
    <row r="312" spans="1:72" s="9" customFormat="1" ht="27.75" customHeight="1" x14ac:dyDescent="0.25">
      <c r="A312" s="279"/>
      <c r="B312" s="194"/>
      <c r="C312" s="159">
        <v>17</v>
      </c>
      <c r="D312" s="156" t="s">
        <v>1188</v>
      </c>
      <c r="E312" s="156"/>
      <c r="F312" s="287"/>
      <c r="G312" s="288"/>
      <c r="H312" s="289"/>
      <c r="I312" s="290"/>
      <c r="J312" s="291"/>
      <c r="K312" s="292"/>
      <c r="L312" s="293"/>
      <c r="M312" s="291"/>
      <c r="N312" s="392"/>
      <c r="O312" s="295"/>
      <c r="P312" s="295"/>
      <c r="Q312" s="296">
        <f>Q313</f>
        <v>0</v>
      </c>
      <c r="R312" s="296">
        <f t="shared" ref="R312:AD312" si="122">R313</f>
        <v>0</v>
      </c>
      <c r="S312" s="296">
        <f t="shared" si="122"/>
        <v>0</v>
      </c>
      <c r="T312" s="296">
        <f t="shared" si="122"/>
        <v>0</v>
      </c>
      <c r="U312" s="296">
        <f t="shared" si="122"/>
        <v>0</v>
      </c>
      <c r="V312" s="296">
        <f t="shared" si="122"/>
        <v>0</v>
      </c>
      <c r="W312" s="296">
        <f t="shared" si="122"/>
        <v>0</v>
      </c>
      <c r="X312" s="296">
        <f t="shared" si="122"/>
        <v>0</v>
      </c>
      <c r="Y312" s="296">
        <f t="shared" si="122"/>
        <v>0</v>
      </c>
      <c r="Z312" s="296">
        <f t="shared" si="122"/>
        <v>0</v>
      </c>
      <c r="AA312" s="296">
        <f t="shared" si="122"/>
        <v>18000000</v>
      </c>
      <c r="AB312" s="296">
        <f t="shared" si="122"/>
        <v>0</v>
      </c>
      <c r="AC312" s="296">
        <f t="shared" si="122"/>
        <v>0</v>
      </c>
      <c r="AD312" s="296">
        <f t="shared" si="122"/>
        <v>18000000</v>
      </c>
      <c r="AE312" s="296"/>
      <c r="AF312" s="341"/>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row>
    <row r="313" spans="1:72" ht="25.5" customHeight="1" x14ac:dyDescent="0.2">
      <c r="A313" s="297"/>
      <c r="B313" s="204"/>
      <c r="C313" s="204"/>
      <c r="D313" s="204"/>
      <c r="E313" s="309">
        <v>1702</v>
      </c>
      <c r="F313" s="188" t="s">
        <v>1267</v>
      </c>
      <c r="G313" s="366"/>
      <c r="H313" s="307"/>
      <c r="I313" s="308"/>
      <c r="J313" s="309"/>
      <c r="K313" s="299"/>
      <c r="L313" s="310"/>
      <c r="M313" s="309"/>
      <c r="N313" s="311"/>
      <c r="O313" s="308"/>
      <c r="P313" s="308"/>
      <c r="Q313" s="328">
        <f t="shared" ref="Q313:AD313" si="123">+Q314</f>
        <v>0</v>
      </c>
      <c r="R313" s="328">
        <f t="shared" si="123"/>
        <v>0</v>
      </c>
      <c r="S313" s="328">
        <f t="shared" si="123"/>
        <v>0</v>
      </c>
      <c r="T313" s="328">
        <f t="shared" si="123"/>
        <v>0</v>
      </c>
      <c r="U313" s="328">
        <f t="shared" si="123"/>
        <v>0</v>
      </c>
      <c r="V313" s="328">
        <f t="shared" si="123"/>
        <v>0</v>
      </c>
      <c r="W313" s="328">
        <f t="shared" si="123"/>
        <v>0</v>
      </c>
      <c r="X313" s="328">
        <f t="shared" si="123"/>
        <v>0</v>
      </c>
      <c r="Y313" s="328">
        <f t="shared" si="123"/>
        <v>0</v>
      </c>
      <c r="Z313" s="328">
        <f t="shared" si="123"/>
        <v>0</v>
      </c>
      <c r="AA313" s="328">
        <f t="shared" si="123"/>
        <v>18000000</v>
      </c>
      <c r="AB313" s="328">
        <f t="shared" si="123"/>
        <v>0</v>
      </c>
      <c r="AC313" s="328">
        <f t="shared" si="123"/>
        <v>0</v>
      </c>
      <c r="AD313" s="328">
        <f t="shared" si="123"/>
        <v>18000000</v>
      </c>
      <c r="AE313" s="328"/>
      <c r="AF313" s="328"/>
    </row>
    <row r="314" spans="1:72" ht="135" customHeight="1" x14ac:dyDescent="0.2">
      <c r="A314" s="297"/>
      <c r="B314" s="204"/>
      <c r="C314" s="204"/>
      <c r="D314" s="204"/>
      <c r="E314" s="197"/>
      <c r="F314" s="405"/>
      <c r="G314" s="195" t="s">
        <v>811</v>
      </c>
      <c r="H314" s="198">
        <v>1702011</v>
      </c>
      <c r="I314" s="195" t="s">
        <v>812</v>
      </c>
      <c r="J314" s="383" t="s">
        <v>813</v>
      </c>
      <c r="K314" s="246" t="s">
        <v>814</v>
      </c>
      <c r="L314" s="429" t="s">
        <v>54</v>
      </c>
      <c r="M314" s="261">
        <v>4</v>
      </c>
      <c r="N314" s="266" t="s">
        <v>815</v>
      </c>
      <c r="O314" s="195" t="s">
        <v>816</v>
      </c>
      <c r="P314" s="195" t="s">
        <v>817</v>
      </c>
      <c r="Q314" s="303"/>
      <c r="R314" s="303"/>
      <c r="S314" s="303"/>
      <c r="T314" s="303"/>
      <c r="U314" s="303"/>
      <c r="V314" s="460"/>
      <c r="W314" s="303"/>
      <c r="X314" s="303"/>
      <c r="Y314" s="461"/>
      <c r="Z314" s="303"/>
      <c r="AA314" s="329">
        <v>18000000</v>
      </c>
      <c r="AB314" s="303"/>
      <c r="AC314" s="303"/>
      <c r="AD314" s="305">
        <f>+Q314+R314+S314+T314+U314+V314+W314+X314+Y314+Z314+AA314+AB314+AC314</f>
        <v>18000000</v>
      </c>
      <c r="AE314" s="305" t="s">
        <v>677</v>
      </c>
      <c r="AF314" s="149" t="s">
        <v>678</v>
      </c>
    </row>
    <row r="315" spans="1:72" s="9" customFormat="1" ht="27.75" customHeight="1" x14ac:dyDescent="0.25">
      <c r="A315" s="279"/>
      <c r="B315" s="194"/>
      <c r="C315" s="159">
        <v>36</v>
      </c>
      <c r="D315" s="156" t="s">
        <v>1187</v>
      </c>
      <c r="E315" s="156"/>
      <c r="F315" s="287"/>
      <c r="G315" s="288"/>
      <c r="H315" s="289"/>
      <c r="I315" s="290"/>
      <c r="J315" s="291"/>
      <c r="K315" s="292"/>
      <c r="L315" s="293"/>
      <c r="M315" s="291"/>
      <c r="N315" s="392"/>
      <c r="O315" s="295"/>
      <c r="P315" s="295"/>
      <c r="Q315" s="296">
        <f>Q316</f>
        <v>0</v>
      </c>
      <c r="R315" s="296">
        <f t="shared" ref="R315:AD315" si="124">R316</f>
        <v>0</v>
      </c>
      <c r="S315" s="296">
        <f t="shared" si="124"/>
        <v>0</v>
      </c>
      <c r="T315" s="296">
        <f t="shared" si="124"/>
        <v>0</v>
      </c>
      <c r="U315" s="296">
        <f t="shared" si="124"/>
        <v>0</v>
      </c>
      <c r="V315" s="296">
        <f t="shared" si="124"/>
        <v>0</v>
      </c>
      <c r="W315" s="296">
        <f t="shared" si="124"/>
        <v>0</v>
      </c>
      <c r="X315" s="296">
        <f t="shared" si="124"/>
        <v>0</v>
      </c>
      <c r="Y315" s="296">
        <f t="shared" si="124"/>
        <v>0</v>
      </c>
      <c r="Z315" s="296">
        <f t="shared" si="124"/>
        <v>0</v>
      </c>
      <c r="AA315" s="296">
        <f t="shared" si="124"/>
        <v>18000000</v>
      </c>
      <c r="AB315" s="296">
        <f t="shared" si="124"/>
        <v>0</v>
      </c>
      <c r="AC315" s="296">
        <f t="shared" si="124"/>
        <v>0</v>
      </c>
      <c r="AD315" s="296">
        <f t="shared" si="124"/>
        <v>18000000</v>
      </c>
      <c r="AE315" s="296"/>
      <c r="AF315" s="341"/>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row>
    <row r="316" spans="1:72" ht="38.25" customHeight="1" x14ac:dyDescent="0.2">
      <c r="A316" s="297"/>
      <c r="B316" s="204"/>
      <c r="C316" s="204"/>
      <c r="D316" s="204"/>
      <c r="E316" s="309">
        <v>3604</v>
      </c>
      <c r="F316" s="188" t="s">
        <v>818</v>
      </c>
      <c r="G316" s="366"/>
      <c r="H316" s="307"/>
      <c r="I316" s="308"/>
      <c r="J316" s="309"/>
      <c r="K316" s="299"/>
      <c r="L316" s="310"/>
      <c r="M316" s="309"/>
      <c r="N316" s="311"/>
      <c r="O316" s="308"/>
      <c r="P316" s="308"/>
      <c r="Q316" s="328">
        <f t="shared" ref="Q316:AD316" si="125">+Q317</f>
        <v>0</v>
      </c>
      <c r="R316" s="328">
        <f t="shared" si="125"/>
        <v>0</v>
      </c>
      <c r="S316" s="328">
        <f t="shared" si="125"/>
        <v>0</v>
      </c>
      <c r="T316" s="328">
        <f t="shared" si="125"/>
        <v>0</v>
      </c>
      <c r="U316" s="328">
        <f t="shared" si="125"/>
        <v>0</v>
      </c>
      <c r="V316" s="328">
        <f t="shared" si="125"/>
        <v>0</v>
      </c>
      <c r="W316" s="328">
        <f t="shared" si="125"/>
        <v>0</v>
      </c>
      <c r="X316" s="328">
        <f t="shared" si="125"/>
        <v>0</v>
      </c>
      <c r="Y316" s="328">
        <f t="shared" si="125"/>
        <v>0</v>
      </c>
      <c r="Z316" s="328">
        <f t="shared" si="125"/>
        <v>0</v>
      </c>
      <c r="AA316" s="328">
        <f t="shared" si="125"/>
        <v>18000000</v>
      </c>
      <c r="AB316" s="328">
        <f t="shared" si="125"/>
        <v>0</v>
      </c>
      <c r="AC316" s="328">
        <f t="shared" si="125"/>
        <v>0</v>
      </c>
      <c r="AD316" s="328">
        <f t="shared" si="125"/>
        <v>18000000</v>
      </c>
      <c r="AE316" s="328"/>
      <c r="AF316" s="328"/>
    </row>
    <row r="317" spans="1:72" ht="131.25" customHeight="1" x14ac:dyDescent="0.2">
      <c r="A317" s="297"/>
      <c r="B317" s="204"/>
      <c r="C317" s="204"/>
      <c r="D317" s="204"/>
      <c r="E317" s="197"/>
      <c r="F317" s="405"/>
      <c r="G317" s="195" t="s">
        <v>819</v>
      </c>
      <c r="H317" s="197">
        <v>3604006</v>
      </c>
      <c r="I317" s="195" t="s">
        <v>820</v>
      </c>
      <c r="J317" s="383" t="s">
        <v>821</v>
      </c>
      <c r="K317" s="313" t="s">
        <v>276</v>
      </c>
      <c r="L317" s="452" t="s">
        <v>54</v>
      </c>
      <c r="M317" s="448">
        <v>200</v>
      </c>
      <c r="N317" s="266" t="s">
        <v>822</v>
      </c>
      <c r="O317" s="245" t="s">
        <v>823</v>
      </c>
      <c r="P317" s="245" t="s">
        <v>824</v>
      </c>
      <c r="Q317" s="303"/>
      <c r="R317" s="303"/>
      <c r="S317" s="303"/>
      <c r="T317" s="303"/>
      <c r="U317" s="303"/>
      <c r="V317" s="460"/>
      <c r="W317" s="303"/>
      <c r="X317" s="303"/>
      <c r="Y317" s="461"/>
      <c r="Z317" s="303"/>
      <c r="AA317" s="329">
        <v>18000000</v>
      </c>
      <c r="AB317" s="303"/>
      <c r="AC317" s="303"/>
      <c r="AD317" s="305">
        <f>+Q317+R317+S317+T317+U317+V317+W317+X317+Y317+Z317+AA317+AB317+AC317</f>
        <v>18000000</v>
      </c>
      <c r="AE317" s="305" t="s">
        <v>677</v>
      </c>
      <c r="AF317" s="149" t="s">
        <v>678</v>
      </c>
    </row>
    <row r="318" spans="1:72" ht="25.5" customHeight="1" x14ac:dyDescent="0.2">
      <c r="A318" s="297"/>
      <c r="B318" s="280">
        <v>4</v>
      </c>
      <c r="C318" s="155" t="s">
        <v>37</v>
      </c>
      <c r="D318" s="348"/>
      <c r="E318" s="155"/>
      <c r="F318" s="155"/>
      <c r="G318" s="155"/>
      <c r="H318" s="281"/>
      <c r="I318" s="282"/>
      <c r="J318" s="280"/>
      <c r="K318" s="283"/>
      <c r="L318" s="284"/>
      <c r="M318" s="280"/>
      <c r="N318" s="285"/>
      <c r="O318" s="282"/>
      <c r="P318" s="282"/>
      <c r="Q318" s="325">
        <f>Q319</f>
        <v>0</v>
      </c>
      <c r="R318" s="325">
        <f t="shared" ref="R318:AD319" si="126">R319</f>
        <v>0</v>
      </c>
      <c r="S318" s="325">
        <f t="shared" si="126"/>
        <v>0</v>
      </c>
      <c r="T318" s="325">
        <f>T319+T326</f>
        <v>0</v>
      </c>
      <c r="U318" s="325">
        <f t="shared" ref="U318:AD318" si="127">U319+U326</f>
        <v>0</v>
      </c>
      <c r="V318" s="325">
        <f t="shared" si="127"/>
        <v>0</v>
      </c>
      <c r="W318" s="325">
        <f t="shared" si="127"/>
        <v>0</v>
      </c>
      <c r="X318" s="325">
        <f t="shared" si="127"/>
        <v>0</v>
      </c>
      <c r="Y318" s="325">
        <f t="shared" si="127"/>
        <v>0</v>
      </c>
      <c r="Z318" s="325">
        <f t="shared" si="127"/>
        <v>0</v>
      </c>
      <c r="AA318" s="325">
        <f t="shared" si="127"/>
        <v>355000000</v>
      </c>
      <c r="AB318" s="325">
        <f t="shared" si="127"/>
        <v>0</v>
      </c>
      <c r="AC318" s="325">
        <f t="shared" si="127"/>
        <v>0</v>
      </c>
      <c r="AD318" s="325">
        <f t="shared" si="127"/>
        <v>355000000</v>
      </c>
      <c r="AE318" s="325"/>
      <c r="AF318" s="325"/>
    </row>
    <row r="319" spans="1:72" s="9" customFormat="1" ht="27.75" customHeight="1" x14ac:dyDescent="0.25">
      <c r="A319" s="279"/>
      <c r="B319" s="194"/>
      <c r="C319" s="159">
        <v>45</v>
      </c>
      <c r="D319" s="156" t="s">
        <v>1190</v>
      </c>
      <c r="E319" s="156"/>
      <c r="F319" s="287"/>
      <c r="G319" s="288"/>
      <c r="H319" s="289"/>
      <c r="I319" s="290"/>
      <c r="J319" s="291"/>
      <c r="K319" s="292"/>
      <c r="L319" s="293"/>
      <c r="M319" s="291"/>
      <c r="N319" s="392"/>
      <c r="O319" s="295"/>
      <c r="P319" s="295"/>
      <c r="Q319" s="296">
        <f>Q320</f>
        <v>0</v>
      </c>
      <c r="R319" s="296">
        <f t="shared" si="126"/>
        <v>0</v>
      </c>
      <c r="S319" s="296">
        <f t="shared" si="126"/>
        <v>0</v>
      </c>
      <c r="T319" s="296">
        <f t="shared" si="126"/>
        <v>0</v>
      </c>
      <c r="U319" s="296">
        <f t="shared" si="126"/>
        <v>0</v>
      </c>
      <c r="V319" s="296">
        <f t="shared" si="126"/>
        <v>0</v>
      </c>
      <c r="W319" s="296">
        <f t="shared" si="126"/>
        <v>0</v>
      </c>
      <c r="X319" s="296">
        <f t="shared" si="126"/>
        <v>0</v>
      </c>
      <c r="Y319" s="296">
        <f t="shared" si="126"/>
        <v>0</v>
      </c>
      <c r="Z319" s="296">
        <f t="shared" si="126"/>
        <v>0</v>
      </c>
      <c r="AA319" s="296">
        <f t="shared" si="126"/>
        <v>251000000</v>
      </c>
      <c r="AB319" s="296">
        <f t="shared" si="126"/>
        <v>0</v>
      </c>
      <c r="AC319" s="296">
        <f t="shared" si="126"/>
        <v>0</v>
      </c>
      <c r="AD319" s="296">
        <f t="shared" si="126"/>
        <v>251000000</v>
      </c>
      <c r="AE319" s="296"/>
      <c r="AF319" s="341"/>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row>
    <row r="320" spans="1:72" ht="36" customHeight="1" x14ac:dyDescent="0.2">
      <c r="A320" s="477"/>
      <c r="B320" s="478"/>
      <c r="C320" s="478"/>
      <c r="D320" s="478"/>
      <c r="E320" s="408">
        <v>4502</v>
      </c>
      <c r="F320" s="239" t="s">
        <v>1323</v>
      </c>
      <c r="G320" s="479"/>
      <c r="H320" s="480"/>
      <c r="I320" s="481"/>
      <c r="J320" s="408"/>
      <c r="K320" s="482"/>
      <c r="L320" s="483"/>
      <c r="M320" s="408"/>
      <c r="N320" s="484"/>
      <c r="O320" s="481"/>
      <c r="P320" s="481"/>
      <c r="Q320" s="485">
        <f t="shared" ref="Q320:Z320" si="128">+Q321</f>
        <v>0</v>
      </c>
      <c r="R320" s="485">
        <f t="shared" si="128"/>
        <v>0</v>
      </c>
      <c r="S320" s="485">
        <f t="shared" si="128"/>
        <v>0</v>
      </c>
      <c r="T320" s="485">
        <f t="shared" si="128"/>
        <v>0</v>
      </c>
      <c r="U320" s="485">
        <f t="shared" si="128"/>
        <v>0</v>
      </c>
      <c r="V320" s="485">
        <f t="shared" si="128"/>
        <v>0</v>
      </c>
      <c r="W320" s="485">
        <f t="shared" si="128"/>
        <v>0</v>
      </c>
      <c r="X320" s="485">
        <f t="shared" si="128"/>
        <v>0</v>
      </c>
      <c r="Y320" s="485">
        <f t="shared" si="128"/>
        <v>0</v>
      </c>
      <c r="Z320" s="485">
        <f t="shared" si="128"/>
        <v>0</v>
      </c>
      <c r="AA320" s="485">
        <f>SUM(AA321:AA325)</f>
        <v>251000000</v>
      </c>
      <c r="AB320" s="485">
        <f t="shared" ref="AB320:AF320" si="129">SUM(AB321:AB325)</f>
        <v>0</v>
      </c>
      <c r="AC320" s="485">
        <f t="shared" si="129"/>
        <v>0</v>
      </c>
      <c r="AD320" s="485">
        <f t="shared" si="129"/>
        <v>251000000</v>
      </c>
      <c r="AE320" s="485">
        <f t="shared" si="129"/>
        <v>0</v>
      </c>
      <c r="AF320" s="485">
        <f t="shared" si="129"/>
        <v>0</v>
      </c>
    </row>
    <row r="321" spans="1:72" ht="122.25" customHeight="1" x14ac:dyDescent="0.2">
      <c r="A321" s="486"/>
      <c r="B321" s="487"/>
      <c r="C321" s="487"/>
      <c r="D321" s="487"/>
      <c r="E321" s="244"/>
      <c r="F321" s="488"/>
      <c r="G321" s="269" t="s">
        <v>825</v>
      </c>
      <c r="H321" s="235">
        <v>4502001</v>
      </c>
      <c r="I321" s="269" t="s">
        <v>67</v>
      </c>
      <c r="J321" s="489">
        <v>450200108</v>
      </c>
      <c r="K321" s="490" t="s">
        <v>826</v>
      </c>
      <c r="L321" s="491" t="s">
        <v>54</v>
      </c>
      <c r="M321" s="409">
        <v>1</v>
      </c>
      <c r="N321" s="265" t="s">
        <v>827</v>
      </c>
      <c r="O321" s="269" t="s">
        <v>828</v>
      </c>
      <c r="P321" s="269" t="s">
        <v>829</v>
      </c>
      <c r="Q321" s="492"/>
      <c r="R321" s="492"/>
      <c r="S321" s="492"/>
      <c r="T321" s="492"/>
      <c r="U321" s="492"/>
      <c r="V321" s="493"/>
      <c r="W321" s="492"/>
      <c r="X321" s="492"/>
      <c r="Y321" s="494"/>
      <c r="Z321" s="492"/>
      <c r="AA321" s="495">
        <v>18000000</v>
      </c>
      <c r="AB321" s="492"/>
      <c r="AC321" s="492"/>
      <c r="AD321" s="496">
        <f>+Q321+R321+S321+T321+U321+V321+W321+X321+Y321+Z321+AA321+AB321+AC321</f>
        <v>18000000</v>
      </c>
      <c r="AE321" s="496" t="s">
        <v>677</v>
      </c>
      <c r="AF321" s="497" t="s">
        <v>678</v>
      </c>
    </row>
    <row r="322" spans="1:72" s="4" customFormat="1" ht="224.25" customHeight="1" x14ac:dyDescent="0.2">
      <c r="A322" s="140"/>
      <c r="B322" s="223"/>
      <c r="C322" s="223"/>
      <c r="D322" s="223"/>
      <c r="E322" s="196"/>
      <c r="F322" s="222"/>
      <c r="G322" s="186" t="s">
        <v>784</v>
      </c>
      <c r="H322" s="236">
        <v>4502038</v>
      </c>
      <c r="I322" s="186" t="s">
        <v>1343</v>
      </c>
      <c r="J322" s="227">
        <v>450203800</v>
      </c>
      <c r="K322" s="410" t="s">
        <v>1344</v>
      </c>
      <c r="L322" s="261" t="s">
        <v>42</v>
      </c>
      <c r="M322" s="261">
        <v>1</v>
      </c>
      <c r="N322" s="222" t="s">
        <v>785</v>
      </c>
      <c r="O322" s="186" t="s">
        <v>786</v>
      </c>
      <c r="P322" s="186" t="s">
        <v>787</v>
      </c>
      <c r="Q322" s="264"/>
      <c r="R322" s="264"/>
      <c r="S322" s="264"/>
      <c r="T322" s="264"/>
      <c r="U322" s="264"/>
      <c r="V322" s="458"/>
      <c r="W322" s="264"/>
      <c r="X322" s="264"/>
      <c r="Y322" s="459"/>
      <c r="Z322" s="264"/>
      <c r="AA322" s="332">
        <f>95000000-18000000</f>
        <v>77000000</v>
      </c>
      <c r="AB322" s="264"/>
      <c r="AC322" s="264"/>
      <c r="AD322" s="411">
        <f t="shared" ref="AD322:AD323" si="130">+Q322+R322+S322+T322+U322+V322+W322+X322+Y322+Z322+AA322+AB322+AC322</f>
        <v>77000000</v>
      </c>
      <c r="AE322" s="411" t="s">
        <v>677</v>
      </c>
      <c r="AF322" s="412" t="s">
        <v>678</v>
      </c>
    </row>
    <row r="323" spans="1:72" s="4" customFormat="1" ht="216" customHeight="1" x14ac:dyDescent="0.2">
      <c r="A323" s="140"/>
      <c r="B323" s="223"/>
      <c r="C323" s="223"/>
      <c r="D323" s="223"/>
      <c r="E323" s="196"/>
      <c r="F323" s="222"/>
      <c r="G323" s="186" t="s">
        <v>779</v>
      </c>
      <c r="H323" s="236">
        <v>4502038</v>
      </c>
      <c r="I323" s="186" t="s">
        <v>780</v>
      </c>
      <c r="J323" s="227">
        <v>450203800</v>
      </c>
      <c r="K323" s="410" t="s">
        <v>1345</v>
      </c>
      <c r="L323" s="261" t="s">
        <v>42</v>
      </c>
      <c r="M323" s="261">
        <v>1</v>
      </c>
      <c r="N323" s="222" t="s">
        <v>781</v>
      </c>
      <c r="O323" s="186" t="s">
        <v>782</v>
      </c>
      <c r="P323" s="186" t="s">
        <v>783</v>
      </c>
      <c r="Q323" s="264"/>
      <c r="R323" s="264"/>
      <c r="S323" s="264"/>
      <c r="T323" s="264"/>
      <c r="U323" s="264"/>
      <c r="V323" s="458"/>
      <c r="W323" s="264"/>
      <c r="X323" s="264"/>
      <c r="Y323" s="459"/>
      <c r="Z323" s="264"/>
      <c r="AA323" s="332">
        <v>90000000</v>
      </c>
      <c r="AB323" s="264"/>
      <c r="AC323" s="264"/>
      <c r="AD323" s="411">
        <f t="shared" si="130"/>
        <v>90000000</v>
      </c>
      <c r="AE323" s="411" t="s">
        <v>677</v>
      </c>
      <c r="AF323" s="412" t="s">
        <v>678</v>
      </c>
    </row>
    <row r="324" spans="1:72" s="4" customFormat="1" ht="180" customHeight="1" x14ac:dyDescent="0.2">
      <c r="A324" s="140"/>
      <c r="B324" s="223"/>
      <c r="C324" s="223"/>
      <c r="D324" s="223"/>
      <c r="E324" s="196"/>
      <c r="F324" s="232"/>
      <c r="G324" s="186" t="s">
        <v>803</v>
      </c>
      <c r="H324" s="203">
        <v>4502024</v>
      </c>
      <c r="I324" s="186" t="s">
        <v>264</v>
      </c>
      <c r="J324" s="203">
        <v>450202401</v>
      </c>
      <c r="K324" s="267" t="s">
        <v>804</v>
      </c>
      <c r="L324" s="261" t="s">
        <v>42</v>
      </c>
      <c r="M324" s="261">
        <v>1</v>
      </c>
      <c r="N324" s="222" t="s">
        <v>805</v>
      </c>
      <c r="O324" s="186" t="s">
        <v>1258</v>
      </c>
      <c r="P324" s="186" t="s">
        <v>806</v>
      </c>
      <c r="Q324" s="264">
        <v>0</v>
      </c>
      <c r="R324" s="264">
        <v>0</v>
      </c>
      <c r="S324" s="264">
        <v>0</v>
      </c>
      <c r="T324" s="264">
        <v>0</v>
      </c>
      <c r="U324" s="264">
        <v>0</v>
      </c>
      <c r="V324" s="458">
        <v>0</v>
      </c>
      <c r="W324" s="264">
        <v>0</v>
      </c>
      <c r="X324" s="264">
        <v>0</v>
      </c>
      <c r="Y324" s="459">
        <v>0</v>
      </c>
      <c r="Z324" s="264">
        <v>0</v>
      </c>
      <c r="AA324" s="332">
        <v>33000000</v>
      </c>
      <c r="AB324" s="264"/>
      <c r="AC324" s="264"/>
      <c r="AD324" s="411">
        <f>+Q324+R324+S324+T324+U324+V324+W324+X324+Y324+Z324+AA324+AB324+AC324</f>
        <v>33000000</v>
      </c>
      <c r="AE324" s="411" t="s">
        <v>677</v>
      </c>
      <c r="AF324" s="412" t="s">
        <v>678</v>
      </c>
    </row>
    <row r="325" spans="1:72" s="4" customFormat="1" ht="135" x14ac:dyDescent="0.2">
      <c r="A325" s="140"/>
      <c r="B325" s="223"/>
      <c r="C325" s="223"/>
      <c r="D325" s="223"/>
      <c r="E325" s="196"/>
      <c r="F325" s="232"/>
      <c r="G325" s="186" t="s">
        <v>803</v>
      </c>
      <c r="H325" s="203">
        <v>4502024</v>
      </c>
      <c r="I325" s="186" t="s">
        <v>264</v>
      </c>
      <c r="J325" s="203">
        <v>450202401</v>
      </c>
      <c r="K325" s="267" t="s">
        <v>807</v>
      </c>
      <c r="L325" s="261" t="s">
        <v>42</v>
      </c>
      <c r="M325" s="261">
        <v>1</v>
      </c>
      <c r="N325" s="222" t="s">
        <v>808</v>
      </c>
      <c r="O325" s="186" t="s">
        <v>809</v>
      </c>
      <c r="P325" s="186" t="s">
        <v>810</v>
      </c>
      <c r="Q325" s="264"/>
      <c r="R325" s="264"/>
      <c r="S325" s="264"/>
      <c r="T325" s="264"/>
      <c r="U325" s="264"/>
      <c r="V325" s="458"/>
      <c r="W325" s="264"/>
      <c r="X325" s="264"/>
      <c r="Y325" s="459"/>
      <c r="Z325" s="264"/>
      <c r="AA325" s="332">
        <v>33000000</v>
      </c>
      <c r="AB325" s="264"/>
      <c r="AC325" s="264"/>
      <c r="AD325" s="411">
        <f>+Q325+R325+S325+T325+U325+V325+W325+X325+Y325+Z325+AA325+AB325+AC325</f>
        <v>33000000</v>
      </c>
      <c r="AE325" s="411" t="s">
        <v>677</v>
      </c>
      <c r="AF325" s="412" t="s">
        <v>678</v>
      </c>
    </row>
    <row r="326" spans="1:72" ht="41.25" customHeight="1" x14ac:dyDescent="0.2">
      <c r="A326" s="477"/>
      <c r="B326" s="478"/>
      <c r="C326" s="478"/>
      <c r="D326" s="478"/>
      <c r="E326" s="408">
        <v>4599</v>
      </c>
      <c r="F326" s="239" t="s">
        <v>1355</v>
      </c>
      <c r="G326" s="479"/>
      <c r="H326" s="480"/>
      <c r="I326" s="481"/>
      <c r="J326" s="408"/>
      <c r="K326" s="482"/>
      <c r="L326" s="483"/>
      <c r="M326" s="408"/>
      <c r="N326" s="484"/>
      <c r="O326" s="481"/>
      <c r="P326" s="498"/>
      <c r="Q326" s="485">
        <f t="shared" ref="Q326:S326" si="131">+Q327</f>
        <v>0</v>
      </c>
      <c r="R326" s="485">
        <f t="shared" si="131"/>
        <v>0</v>
      </c>
      <c r="S326" s="485">
        <f t="shared" si="131"/>
        <v>0</v>
      </c>
      <c r="T326" s="485">
        <f t="shared" ref="T326:AE326" si="132">SUM(T327:T329)</f>
        <v>0</v>
      </c>
      <c r="U326" s="485">
        <f t="shared" si="132"/>
        <v>0</v>
      </c>
      <c r="V326" s="485">
        <f t="shared" si="132"/>
        <v>0</v>
      </c>
      <c r="W326" s="485">
        <f t="shared" si="132"/>
        <v>0</v>
      </c>
      <c r="X326" s="485">
        <f t="shared" si="132"/>
        <v>0</v>
      </c>
      <c r="Y326" s="485">
        <f t="shared" si="132"/>
        <v>0</v>
      </c>
      <c r="Z326" s="485">
        <f t="shared" si="132"/>
        <v>0</v>
      </c>
      <c r="AA326" s="485">
        <f t="shared" si="132"/>
        <v>104000000</v>
      </c>
      <c r="AB326" s="485">
        <f t="shared" si="132"/>
        <v>0</v>
      </c>
      <c r="AC326" s="485">
        <f t="shared" si="132"/>
        <v>0</v>
      </c>
      <c r="AD326" s="485">
        <f t="shared" si="132"/>
        <v>104000000</v>
      </c>
      <c r="AE326" s="485">
        <f t="shared" si="132"/>
        <v>0</v>
      </c>
      <c r="AF326" s="485">
        <f>SUM(AF327:AF331)</f>
        <v>0</v>
      </c>
    </row>
    <row r="327" spans="1:72" s="4" customFormat="1" ht="207" customHeight="1" x14ac:dyDescent="0.2">
      <c r="A327" s="140"/>
      <c r="B327" s="223"/>
      <c r="C327" s="223"/>
      <c r="D327" s="223"/>
      <c r="E327" s="196"/>
      <c r="F327" s="222"/>
      <c r="G327" s="186" t="s">
        <v>788</v>
      </c>
      <c r="H327" s="499" t="s">
        <v>1203</v>
      </c>
      <c r="I327" s="260" t="s">
        <v>789</v>
      </c>
      <c r="J327" s="499" t="s">
        <v>1204</v>
      </c>
      <c r="K327" s="500" t="s">
        <v>790</v>
      </c>
      <c r="L327" s="261" t="s">
        <v>42</v>
      </c>
      <c r="M327" s="261">
        <v>1</v>
      </c>
      <c r="N327" s="724" t="s">
        <v>1372</v>
      </c>
      <c r="O327" s="260" t="s">
        <v>1205</v>
      </c>
      <c r="P327" s="233" t="s">
        <v>1206</v>
      </c>
      <c r="Q327" s="264"/>
      <c r="R327" s="264"/>
      <c r="S327" s="264"/>
      <c r="T327" s="264"/>
      <c r="U327" s="264"/>
      <c r="V327" s="458"/>
      <c r="W327" s="264"/>
      <c r="X327" s="264"/>
      <c r="Y327" s="459"/>
      <c r="Z327" s="264"/>
      <c r="AA327" s="332">
        <v>50000000</v>
      </c>
      <c r="AB327" s="264"/>
      <c r="AC327" s="264"/>
      <c r="AD327" s="411">
        <f t="shared" ref="AD327:AD328" si="133">+Q327+R327+S327+T327+U327+V327+W327+X327+Y327+Z327+AA327+AB327+AC327</f>
        <v>50000000</v>
      </c>
      <c r="AE327" s="411" t="s">
        <v>677</v>
      </c>
      <c r="AF327" s="412" t="s">
        <v>678</v>
      </c>
    </row>
    <row r="328" spans="1:72" s="4" customFormat="1" ht="237" customHeight="1" x14ac:dyDescent="0.2">
      <c r="A328" s="140"/>
      <c r="B328" s="223"/>
      <c r="C328" s="223"/>
      <c r="D328" s="223"/>
      <c r="E328" s="196"/>
      <c r="F328" s="222"/>
      <c r="G328" s="186" t="s">
        <v>784</v>
      </c>
      <c r="H328" s="685" t="s">
        <v>1203</v>
      </c>
      <c r="I328" s="679" t="s">
        <v>1346</v>
      </c>
      <c r="J328" s="685" t="s">
        <v>1204</v>
      </c>
      <c r="K328" s="206" t="s">
        <v>1342</v>
      </c>
      <c r="L328" s="261" t="s">
        <v>42</v>
      </c>
      <c r="M328" s="261">
        <v>1</v>
      </c>
      <c r="N328" s="724" t="s">
        <v>1373</v>
      </c>
      <c r="O328" s="186" t="s">
        <v>1223</v>
      </c>
      <c r="P328" s="186" t="s">
        <v>787</v>
      </c>
      <c r="Q328" s="264"/>
      <c r="R328" s="264"/>
      <c r="S328" s="264"/>
      <c r="T328" s="264"/>
      <c r="U328" s="264"/>
      <c r="V328" s="458"/>
      <c r="W328" s="264"/>
      <c r="X328" s="264"/>
      <c r="Y328" s="459"/>
      <c r="Z328" s="264"/>
      <c r="AA328" s="332">
        <f>95000000-36000000-41000000</f>
        <v>18000000</v>
      </c>
      <c r="AB328" s="264"/>
      <c r="AC328" s="264"/>
      <c r="AD328" s="411">
        <f t="shared" si="133"/>
        <v>18000000</v>
      </c>
      <c r="AE328" s="411" t="s">
        <v>677</v>
      </c>
      <c r="AF328" s="412" t="s">
        <v>678</v>
      </c>
    </row>
    <row r="329" spans="1:72" s="4" customFormat="1" ht="189" customHeight="1" x14ac:dyDescent="0.2">
      <c r="A329" s="140"/>
      <c r="B329" s="223"/>
      <c r="C329" s="223"/>
      <c r="D329" s="223"/>
      <c r="E329" s="196"/>
      <c r="F329" s="222"/>
      <c r="G329" s="186" t="s">
        <v>800</v>
      </c>
      <c r="H329" s="686" t="s">
        <v>1203</v>
      </c>
      <c r="I329" s="687" t="s">
        <v>1347</v>
      </c>
      <c r="J329" s="688" t="s">
        <v>1204</v>
      </c>
      <c r="K329" s="206" t="s">
        <v>1348</v>
      </c>
      <c r="L329" s="222" t="s">
        <v>42</v>
      </c>
      <c r="M329" s="261">
        <v>1</v>
      </c>
      <c r="N329" s="222" t="s">
        <v>801</v>
      </c>
      <c r="O329" s="186" t="s">
        <v>1207</v>
      </c>
      <c r="P329" s="186" t="s">
        <v>802</v>
      </c>
      <c r="Q329" s="264"/>
      <c r="R329" s="264"/>
      <c r="S329" s="264"/>
      <c r="T329" s="264"/>
      <c r="U329" s="264"/>
      <c r="V329" s="458"/>
      <c r="W329" s="264"/>
      <c r="X329" s="264"/>
      <c r="Y329" s="459"/>
      <c r="Z329" s="264"/>
      <c r="AA329" s="332">
        <v>36000000</v>
      </c>
      <c r="AB329" s="264"/>
      <c r="AC329" s="264"/>
      <c r="AD329" s="411">
        <f>+Q329+R329+S329+T329+U329+V329+W329+X329+Y329+Z329+AA329+AB329+AC329</f>
        <v>36000000</v>
      </c>
      <c r="AE329" s="411" t="s">
        <v>677</v>
      </c>
      <c r="AF329" s="412" t="s">
        <v>678</v>
      </c>
    </row>
    <row r="331" spans="1:72" s="117" customFormat="1" ht="28.5" customHeight="1" x14ac:dyDescent="0.2">
      <c r="A331" s="420"/>
      <c r="B331" s="501"/>
      <c r="C331" s="501"/>
      <c r="D331" s="501"/>
      <c r="E331" s="502"/>
      <c r="F331" s="430"/>
      <c r="G331" s="503"/>
      <c r="H331" s="502"/>
      <c r="I331" s="503"/>
      <c r="J331" s="231"/>
      <c r="K331" s="504"/>
      <c r="L331" s="430"/>
      <c r="M331" s="231"/>
      <c r="N331" s="430"/>
      <c r="O331" s="504"/>
      <c r="P331" s="504"/>
      <c r="Q331" s="420"/>
      <c r="R331" s="420"/>
      <c r="S331" s="420"/>
      <c r="T331" s="420"/>
      <c r="U331" s="505"/>
      <c r="V331" s="505"/>
      <c r="W331" s="420"/>
      <c r="X331" s="420"/>
      <c r="Y331" s="420"/>
      <c r="Z331" s="420"/>
      <c r="AA331" s="506"/>
      <c r="AB331" s="420"/>
      <c r="AC331" s="420"/>
      <c r="AD331" s="420"/>
      <c r="AE331" s="420"/>
      <c r="AF331" s="430"/>
    </row>
    <row r="332" spans="1:72" s="658" customFormat="1" ht="21.75" customHeight="1" x14ac:dyDescent="0.2">
      <c r="A332" s="56" t="s">
        <v>830</v>
      </c>
      <c r="B332" s="56"/>
      <c r="C332" s="56"/>
      <c r="D332" s="56"/>
      <c r="E332" s="57"/>
      <c r="F332" s="58"/>
      <c r="G332" s="650"/>
      <c r="H332" s="653"/>
      <c r="I332" s="650"/>
      <c r="J332" s="654"/>
      <c r="K332" s="655"/>
      <c r="L332" s="656"/>
      <c r="M332" s="654"/>
      <c r="N332" s="58"/>
      <c r="O332" s="655"/>
      <c r="P332" s="655"/>
      <c r="Q332" s="651">
        <f>+Q333</f>
        <v>0</v>
      </c>
      <c r="R332" s="651">
        <f t="shared" ref="R332:AD332" si="134">+R333</f>
        <v>0</v>
      </c>
      <c r="S332" s="651">
        <f t="shared" si="134"/>
        <v>0</v>
      </c>
      <c r="T332" s="651">
        <f t="shared" si="134"/>
        <v>400000000</v>
      </c>
      <c r="U332" s="651">
        <f t="shared" si="134"/>
        <v>6460193577</v>
      </c>
      <c r="V332" s="651">
        <f t="shared" si="134"/>
        <v>35242837560</v>
      </c>
      <c r="W332" s="651">
        <f t="shared" si="134"/>
        <v>0</v>
      </c>
      <c r="X332" s="651">
        <f t="shared" si="134"/>
        <v>0</v>
      </c>
      <c r="Y332" s="651">
        <f t="shared" si="134"/>
        <v>0</v>
      </c>
      <c r="Z332" s="651">
        <f t="shared" si="134"/>
        <v>0</v>
      </c>
      <c r="AA332" s="651">
        <f t="shared" si="134"/>
        <v>1321980000</v>
      </c>
      <c r="AB332" s="651">
        <f t="shared" si="134"/>
        <v>0</v>
      </c>
      <c r="AC332" s="651">
        <f t="shared" si="134"/>
        <v>2599166997</v>
      </c>
      <c r="AD332" s="651">
        <f t="shared" si="134"/>
        <v>46024178134</v>
      </c>
      <c r="AE332" s="651"/>
      <c r="AF332" s="652"/>
      <c r="AG332" s="657"/>
      <c r="AH332" s="657"/>
      <c r="AI332" s="657"/>
      <c r="AJ332" s="657"/>
      <c r="AK332" s="657"/>
      <c r="AL332" s="657"/>
      <c r="AM332" s="657"/>
      <c r="AN332" s="657"/>
      <c r="AO332" s="657"/>
      <c r="AP332" s="657"/>
      <c r="AQ332" s="657"/>
      <c r="AR332" s="657"/>
      <c r="AS332" s="657"/>
      <c r="AT332" s="657"/>
      <c r="AU332" s="657"/>
      <c r="AV332" s="657"/>
      <c r="AW332" s="657"/>
      <c r="AX332" s="657"/>
      <c r="AY332" s="657"/>
      <c r="AZ332" s="657"/>
      <c r="BA332" s="657"/>
      <c r="BB332" s="657"/>
      <c r="BC332" s="657"/>
      <c r="BD332" s="657"/>
      <c r="BE332" s="657"/>
      <c r="BF332" s="657"/>
      <c r="BG332" s="657"/>
      <c r="BH332" s="657"/>
      <c r="BI332" s="657"/>
      <c r="BJ332" s="657"/>
      <c r="BK332" s="657"/>
      <c r="BL332" s="657"/>
      <c r="BM332" s="657"/>
      <c r="BN332" s="657"/>
      <c r="BO332" s="657"/>
      <c r="BP332" s="657"/>
      <c r="BQ332" s="657"/>
      <c r="BR332" s="657"/>
      <c r="BS332" s="657"/>
      <c r="BT332" s="657"/>
    </row>
    <row r="333" spans="1:72" ht="26.25" customHeight="1" x14ac:dyDescent="0.2">
      <c r="A333" s="297"/>
      <c r="B333" s="280">
        <v>1</v>
      </c>
      <c r="C333" s="158" t="s">
        <v>120</v>
      </c>
      <c r="D333" s="348"/>
      <c r="E333" s="155"/>
      <c r="F333" s="155"/>
      <c r="G333" s="155"/>
      <c r="H333" s="281"/>
      <c r="I333" s="282"/>
      <c r="J333" s="280"/>
      <c r="K333" s="283"/>
      <c r="L333" s="284"/>
      <c r="M333" s="280"/>
      <c r="N333" s="285"/>
      <c r="O333" s="283"/>
      <c r="P333" s="283"/>
      <c r="Q333" s="286">
        <f>Q334</f>
        <v>0</v>
      </c>
      <c r="R333" s="286">
        <f t="shared" ref="R333:AC333" si="135">R334</f>
        <v>0</v>
      </c>
      <c r="S333" s="286">
        <f t="shared" si="135"/>
        <v>0</v>
      </c>
      <c r="T333" s="286">
        <f t="shared" si="135"/>
        <v>400000000</v>
      </c>
      <c r="U333" s="286">
        <f t="shared" si="135"/>
        <v>6460193577</v>
      </c>
      <c r="V333" s="286">
        <f t="shared" si="135"/>
        <v>35242837560</v>
      </c>
      <c r="W333" s="286">
        <f t="shared" si="135"/>
        <v>0</v>
      </c>
      <c r="X333" s="286">
        <f t="shared" si="135"/>
        <v>0</v>
      </c>
      <c r="Y333" s="286">
        <f t="shared" si="135"/>
        <v>0</v>
      </c>
      <c r="Z333" s="286">
        <f t="shared" si="135"/>
        <v>0</v>
      </c>
      <c r="AA333" s="286">
        <f t="shared" si="135"/>
        <v>1321980000</v>
      </c>
      <c r="AB333" s="286">
        <f t="shared" si="135"/>
        <v>0</v>
      </c>
      <c r="AC333" s="286">
        <f t="shared" si="135"/>
        <v>2599166997</v>
      </c>
      <c r="AD333" s="286">
        <f>AD334</f>
        <v>46024178134</v>
      </c>
      <c r="AE333" s="286"/>
      <c r="AF333" s="340"/>
    </row>
    <row r="334" spans="1:72" s="9" customFormat="1" ht="27.75" customHeight="1" x14ac:dyDescent="0.25">
      <c r="A334" s="279"/>
      <c r="B334" s="194"/>
      <c r="C334" s="159">
        <v>19</v>
      </c>
      <c r="D334" s="156" t="s">
        <v>1183</v>
      </c>
      <c r="E334" s="156"/>
      <c r="F334" s="287"/>
      <c r="G334" s="288"/>
      <c r="H334" s="289"/>
      <c r="I334" s="290"/>
      <c r="J334" s="291"/>
      <c r="K334" s="292"/>
      <c r="L334" s="293"/>
      <c r="M334" s="291"/>
      <c r="N334" s="392"/>
      <c r="O334" s="295"/>
      <c r="P334" s="295"/>
      <c r="Q334" s="296">
        <f>Q335+Q358+Q388</f>
        <v>0</v>
      </c>
      <c r="R334" s="296">
        <f t="shared" ref="R334:AD334" si="136">R335+R358+R388</f>
        <v>0</v>
      </c>
      <c r="S334" s="296">
        <f t="shared" si="136"/>
        <v>0</v>
      </c>
      <c r="T334" s="296">
        <f t="shared" si="136"/>
        <v>400000000</v>
      </c>
      <c r="U334" s="296">
        <f t="shared" si="136"/>
        <v>6460193577</v>
      </c>
      <c r="V334" s="296">
        <f t="shared" si="136"/>
        <v>35242837560</v>
      </c>
      <c r="W334" s="296">
        <f t="shared" si="136"/>
        <v>0</v>
      </c>
      <c r="X334" s="296">
        <f t="shared" si="136"/>
        <v>0</v>
      </c>
      <c r="Y334" s="296">
        <f t="shared" si="136"/>
        <v>0</v>
      </c>
      <c r="Z334" s="296">
        <f t="shared" si="136"/>
        <v>0</v>
      </c>
      <c r="AA334" s="296">
        <f t="shared" si="136"/>
        <v>1321980000</v>
      </c>
      <c r="AB334" s="296">
        <f t="shared" si="136"/>
        <v>0</v>
      </c>
      <c r="AC334" s="296">
        <f t="shared" si="136"/>
        <v>2599166997</v>
      </c>
      <c r="AD334" s="296">
        <f t="shared" si="136"/>
        <v>46024178134</v>
      </c>
      <c r="AE334" s="296"/>
      <c r="AF334" s="341"/>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row>
    <row r="335" spans="1:72" ht="22.5" customHeight="1" x14ac:dyDescent="0.2">
      <c r="A335" s="297"/>
      <c r="B335" s="204"/>
      <c r="C335" s="204"/>
      <c r="D335" s="204"/>
      <c r="E335" s="309">
        <v>1903</v>
      </c>
      <c r="F335" s="188" t="s">
        <v>831</v>
      </c>
      <c r="G335" s="366"/>
      <c r="H335" s="307"/>
      <c r="I335" s="308"/>
      <c r="J335" s="309"/>
      <c r="K335" s="299"/>
      <c r="L335" s="310"/>
      <c r="M335" s="309"/>
      <c r="N335" s="311"/>
      <c r="O335" s="299"/>
      <c r="P335" s="299"/>
      <c r="Q335" s="300">
        <f>SUM(Q336:Q357)</f>
        <v>0</v>
      </c>
      <c r="R335" s="300">
        <f t="shared" ref="R335:AD335" si="137">SUM(R336:R357)</f>
        <v>0</v>
      </c>
      <c r="S335" s="300">
        <f t="shared" si="137"/>
        <v>0</v>
      </c>
      <c r="T335" s="300">
        <f t="shared" si="137"/>
        <v>0</v>
      </c>
      <c r="U335" s="300">
        <f t="shared" si="137"/>
        <v>1389901448</v>
      </c>
      <c r="V335" s="300">
        <f t="shared" si="137"/>
        <v>91081005</v>
      </c>
      <c r="W335" s="300">
        <f t="shared" si="137"/>
        <v>0</v>
      </c>
      <c r="X335" s="300">
        <f t="shared" si="137"/>
        <v>0</v>
      </c>
      <c r="Y335" s="300">
        <f t="shared" si="137"/>
        <v>0</v>
      </c>
      <c r="Z335" s="300">
        <f t="shared" si="137"/>
        <v>0</v>
      </c>
      <c r="AA335" s="300">
        <f t="shared" si="137"/>
        <v>161590000</v>
      </c>
      <c r="AB335" s="300">
        <f t="shared" si="137"/>
        <v>0</v>
      </c>
      <c r="AC335" s="300">
        <f t="shared" si="137"/>
        <v>844700000</v>
      </c>
      <c r="AD335" s="300">
        <f t="shared" si="137"/>
        <v>2487272453</v>
      </c>
      <c r="AE335" s="300"/>
      <c r="AF335" s="312"/>
    </row>
    <row r="336" spans="1:72" ht="66" customHeight="1" x14ac:dyDescent="0.2">
      <c r="A336" s="297"/>
      <c r="B336" s="204"/>
      <c r="C336" s="204"/>
      <c r="D336" s="204"/>
      <c r="E336" s="200"/>
      <c r="F336" s="381"/>
      <c r="G336" s="195" t="s">
        <v>832</v>
      </c>
      <c r="H336" s="197">
        <v>1903009</v>
      </c>
      <c r="I336" s="186" t="s">
        <v>833</v>
      </c>
      <c r="J336" s="227">
        <v>190300900</v>
      </c>
      <c r="K336" s="410" t="s">
        <v>834</v>
      </c>
      <c r="L336" s="445" t="s">
        <v>54</v>
      </c>
      <c r="M336" s="445">
        <v>600</v>
      </c>
      <c r="N336" s="748" t="s">
        <v>835</v>
      </c>
      <c r="O336" s="749" t="s">
        <v>836</v>
      </c>
      <c r="P336" s="749" t="s">
        <v>837</v>
      </c>
      <c r="Q336" s="303"/>
      <c r="R336" s="303"/>
      <c r="S336" s="303"/>
      <c r="T336" s="303"/>
      <c r="U336" s="264">
        <v>38000000</v>
      </c>
      <c r="V336" s="460"/>
      <c r="W336" s="303"/>
      <c r="X336" s="303"/>
      <c r="Y336" s="461"/>
      <c r="Z336" s="303"/>
      <c r="AA336" s="329">
        <f>40000000-40000000</f>
        <v>0</v>
      </c>
      <c r="AB336" s="303"/>
      <c r="AC336" s="303"/>
      <c r="AD336" s="305">
        <f t="shared" ref="AD336:AD394" si="138">+Q336+R336+S336+T336+U336+V336+W336+X336+Y336+Z336+AA336+AB336+AC336</f>
        <v>38000000</v>
      </c>
      <c r="AE336" s="305" t="s">
        <v>838</v>
      </c>
      <c r="AF336" s="149" t="s">
        <v>839</v>
      </c>
    </row>
    <row r="337" spans="1:32" s="4" customFormat="1" ht="47.25" customHeight="1" x14ac:dyDescent="0.2">
      <c r="A337" s="140"/>
      <c r="B337" s="223"/>
      <c r="C337" s="223"/>
      <c r="D337" s="223"/>
      <c r="E337" s="226"/>
      <c r="F337" s="207"/>
      <c r="G337" s="186" t="s">
        <v>840</v>
      </c>
      <c r="H337" s="196">
        <v>1903031</v>
      </c>
      <c r="I337" s="186" t="s">
        <v>841</v>
      </c>
      <c r="J337" s="227">
        <v>190303100</v>
      </c>
      <c r="K337" s="410" t="s">
        <v>842</v>
      </c>
      <c r="L337" s="445" t="s">
        <v>42</v>
      </c>
      <c r="M337" s="445">
        <v>12</v>
      </c>
      <c r="N337" s="748"/>
      <c r="O337" s="749"/>
      <c r="P337" s="749"/>
      <c r="Q337" s="264"/>
      <c r="R337" s="264"/>
      <c r="S337" s="264"/>
      <c r="T337" s="264"/>
      <c r="U337" s="428">
        <v>74000000</v>
      </c>
      <c r="V337" s="458"/>
      <c r="W337" s="264"/>
      <c r="X337" s="264"/>
      <c r="Y337" s="459"/>
      <c r="Z337" s="264"/>
      <c r="AA337" s="332"/>
      <c r="AB337" s="264"/>
      <c r="AC337" s="264"/>
      <c r="AD337" s="411">
        <f>+Q337+R337+S337+T337+U337+V337+W337+X337+Y337+Z337+AA337+AB337+AC337</f>
        <v>74000000</v>
      </c>
      <c r="AE337" s="305" t="s">
        <v>838</v>
      </c>
      <c r="AF337" s="149" t="s">
        <v>839</v>
      </c>
    </row>
    <row r="338" spans="1:32" ht="83.25" customHeight="1" x14ac:dyDescent="0.2">
      <c r="A338" s="297"/>
      <c r="B338" s="204"/>
      <c r="C338" s="204"/>
      <c r="D338" s="204"/>
      <c r="E338" s="200"/>
      <c r="F338" s="381"/>
      <c r="G338" s="195" t="s">
        <v>843</v>
      </c>
      <c r="H338" s="197">
        <v>1903023</v>
      </c>
      <c r="I338" s="186" t="s">
        <v>844</v>
      </c>
      <c r="J338" s="227">
        <v>190302300</v>
      </c>
      <c r="K338" s="410" t="s">
        <v>845</v>
      </c>
      <c r="L338" s="378" t="s">
        <v>42</v>
      </c>
      <c r="M338" s="261">
        <v>12</v>
      </c>
      <c r="N338" s="748"/>
      <c r="O338" s="749"/>
      <c r="P338" s="749"/>
      <c r="Q338" s="303"/>
      <c r="R338" s="303"/>
      <c r="S338" s="303"/>
      <c r="T338" s="303"/>
      <c r="U338" s="264">
        <v>28000000</v>
      </c>
      <c r="V338" s="460"/>
      <c r="W338" s="303"/>
      <c r="X338" s="303"/>
      <c r="Y338" s="461"/>
      <c r="Z338" s="303"/>
      <c r="AA338" s="146"/>
      <c r="AB338" s="303"/>
      <c r="AC338" s="303"/>
      <c r="AD338" s="305">
        <f t="shared" si="138"/>
        <v>28000000</v>
      </c>
      <c r="AE338" s="305" t="s">
        <v>838</v>
      </c>
      <c r="AF338" s="149" t="s">
        <v>839</v>
      </c>
    </row>
    <row r="339" spans="1:32" ht="175.5" customHeight="1" x14ac:dyDescent="0.2">
      <c r="A339" s="297"/>
      <c r="B339" s="204"/>
      <c r="C339" s="204"/>
      <c r="D339" s="204"/>
      <c r="E339" s="200"/>
      <c r="F339" s="381"/>
      <c r="G339" s="195" t="s">
        <v>846</v>
      </c>
      <c r="H339" s="196">
        <v>1903050</v>
      </c>
      <c r="I339" s="186" t="s">
        <v>847</v>
      </c>
      <c r="J339" s="227">
        <v>190305000</v>
      </c>
      <c r="K339" s="410" t="s">
        <v>848</v>
      </c>
      <c r="L339" s="378" t="s">
        <v>42</v>
      </c>
      <c r="M339" s="261">
        <v>12</v>
      </c>
      <c r="N339" s="748"/>
      <c r="O339" s="749"/>
      <c r="P339" s="749"/>
      <c r="Q339" s="303"/>
      <c r="R339" s="303"/>
      <c r="S339" s="303"/>
      <c r="T339" s="303"/>
      <c r="U339" s="264">
        <v>28000000</v>
      </c>
      <c r="V339" s="507"/>
      <c r="W339" s="303"/>
      <c r="X339" s="303"/>
      <c r="Y339" s="461"/>
      <c r="Z339" s="303"/>
      <c r="AA339" s="146"/>
      <c r="AB339" s="303"/>
      <c r="AC339" s="303"/>
      <c r="AD339" s="305">
        <f t="shared" si="138"/>
        <v>28000000</v>
      </c>
      <c r="AE339" s="305" t="s">
        <v>838</v>
      </c>
      <c r="AF339" s="149" t="s">
        <v>839</v>
      </c>
    </row>
    <row r="340" spans="1:32" ht="113.25" customHeight="1" x14ac:dyDescent="0.2">
      <c r="A340" s="297"/>
      <c r="B340" s="204"/>
      <c r="C340" s="204"/>
      <c r="D340" s="204"/>
      <c r="E340" s="200"/>
      <c r="F340" s="381"/>
      <c r="G340" s="195" t="s">
        <v>832</v>
      </c>
      <c r="H340" s="196">
        <v>1903038</v>
      </c>
      <c r="I340" s="186" t="s">
        <v>849</v>
      </c>
      <c r="J340" s="196">
        <v>190303801</v>
      </c>
      <c r="K340" s="267" t="s">
        <v>850</v>
      </c>
      <c r="L340" s="378" t="s">
        <v>42</v>
      </c>
      <c r="M340" s="196">
        <v>1</v>
      </c>
      <c r="N340" s="748"/>
      <c r="O340" s="749"/>
      <c r="P340" s="749"/>
      <c r="Q340" s="303"/>
      <c r="R340" s="303"/>
      <c r="S340" s="303"/>
      <c r="T340" s="303"/>
      <c r="U340" s="264">
        <v>48000000</v>
      </c>
      <c r="V340" s="460"/>
      <c r="W340" s="303"/>
      <c r="X340" s="303"/>
      <c r="Y340" s="461"/>
      <c r="Z340" s="303"/>
      <c r="AA340" s="146"/>
      <c r="AB340" s="303"/>
      <c r="AC340" s="508">
        <f>842700000+2000000</f>
        <v>844700000</v>
      </c>
      <c r="AD340" s="305">
        <f t="shared" si="138"/>
        <v>892700000</v>
      </c>
      <c r="AE340" s="305" t="s">
        <v>838</v>
      </c>
      <c r="AF340" s="149" t="s">
        <v>839</v>
      </c>
    </row>
    <row r="341" spans="1:32" ht="120.75" customHeight="1" x14ac:dyDescent="0.2">
      <c r="A341" s="297"/>
      <c r="B341" s="204"/>
      <c r="C341" s="204"/>
      <c r="D341" s="204"/>
      <c r="E341" s="200"/>
      <c r="F341" s="381"/>
      <c r="G341" s="195" t="s">
        <v>851</v>
      </c>
      <c r="H341" s="197">
        <v>1903038</v>
      </c>
      <c r="I341" s="186" t="s">
        <v>852</v>
      </c>
      <c r="J341" s="227">
        <v>190303801</v>
      </c>
      <c r="K341" s="267" t="s">
        <v>853</v>
      </c>
      <c r="L341" s="378" t="s">
        <v>42</v>
      </c>
      <c r="M341" s="261">
        <v>11</v>
      </c>
      <c r="N341" s="748"/>
      <c r="O341" s="749"/>
      <c r="P341" s="749"/>
      <c r="Q341" s="303"/>
      <c r="R341" s="303"/>
      <c r="S341" s="303"/>
      <c r="T341" s="303"/>
      <c r="U341" s="509">
        <v>19000000</v>
      </c>
      <c r="V341" s="460"/>
      <c r="W341" s="303"/>
      <c r="X341" s="303"/>
      <c r="Y341" s="461"/>
      <c r="Z341" s="303"/>
      <c r="AA341" s="146"/>
      <c r="AB341" s="303"/>
      <c r="AC341" s="303"/>
      <c r="AD341" s="305">
        <f t="shared" si="138"/>
        <v>19000000</v>
      </c>
      <c r="AE341" s="305" t="s">
        <v>838</v>
      </c>
      <c r="AF341" s="149" t="s">
        <v>839</v>
      </c>
    </row>
    <row r="342" spans="1:32" ht="51" customHeight="1" x14ac:dyDescent="0.2">
      <c r="A342" s="297"/>
      <c r="B342" s="204"/>
      <c r="C342" s="204"/>
      <c r="D342" s="204"/>
      <c r="E342" s="200"/>
      <c r="F342" s="381"/>
      <c r="G342" s="195" t="s">
        <v>840</v>
      </c>
      <c r="H342" s="197">
        <v>1903027</v>
      </c>
      <c r="I342" s="186" t="s">
        <v>854</v>
      </c>
      <c r="J342" s="227">
        <v>190302700</v>
      </c>
      <c r="K342" s="410" t="s">
        <v>855</v>
      </c>
      <c r="L342" s="378" t="s">
        <v>42</v>
      </c>
      <c r="M342" s="261">
        <v>5</v>
      </c>
      <c r="N342" s="748"/>
      <c r="O342" s="749"/>
      <c r="P342" s="749"/>
      <c r="Q342" s="303"/>
      <c r="R342" s="303"/>
      <c r="S342" s="303"/>
      <c r="T342" s="303"/>
      <c r="U342" s="509">
        <v>19000000</v>
      </c>
      <c r="V342" s="460"/>
      <c r="W342" s="303"/>
      <c r="X342" s="303"/>
      <c r="Y342" s="461"/>
      <c r="Z342" s="303"/>
      <c r="AA342" s="146"/>
      <c r="AB342" s="303"/>
      <c r="AC342" s="303"/>
      <c r="AD342" s="305">
        <f t="shared" si="138"/>
        <v>19000000</v>
      </c>
      <c r="AE342" s="305" t="s">
        <v>838</v>
      </c>
      <c r="AF342" s="149" t="s">
        <v>839</v>
      </c>
    </row>
    <row r="343" spans="1:32" ht="69" customHeight="1" x14ac:dyDescent="0.2">
      <c r="A343" s="297"/>
      <c r="B343" s="204"/>
      <c r="C343" s="204"/>
      <c r="D343" s="204"/>
      <c r="E343" s="200"/>
      <c r="F343" s="381"/>
      <c r="G343" s="195" t="s">
        <v>856</v>
      </c>
      <c r="H343" s="197">
        <v>1903011</v>
      </c>
      <c r="I343" s="186" t="s">
        <v>857</v>
      </c>
      <c r="J343" s="227">
        <v>190301100</v>
      </c>
      <c r="K343" s="410" t="s">
        <v>858</v>
      </c>
      <c r="L343" s="378" t="s">
        <v>42</v>
      </c>
      <c r="M343" s="261">
        <v>140</v>
      </c>
      <c r="N343" s="748"/>
      <c r="O343" s="749"/>
      <c r="P343" s="749"/>
      <c r="Q343" s="303"/>
      <c r="R343" s="303"/>
      <c r="S343" s="303"/>
      <c r="T343" s="303"/>
      <c r="U343" s="264">
        <v>19000000</v>
      </c>
      <c r="V343" s="460"/>
      <c r="W343" s="303"/>
      <c r="X343" s="303"/>
      <c r="Y343" s="461"/>
      <c r="Z343" s="303"/>
      <c r="AA343" s="146"/>
      <c r="AB343" s="303"/>
      <c r="AC343" s="303"/>
      <c r="AD343" s="305">
        <f t="shared" si="138"/>
        <v>19000000</v>
      </c>
      <c r="AE343" s="305" t="s">
        <v>838</v>
      </c>
      <c r="AF343" s="149" t="s">
        <v>839</v>
      </c>
    </row>
    <row r="344" spans="1:32" ht="110.25" customHeight="1" x14ac:dyDescent="0.2">
      <c r="A344" s="297"/>
      <c r="B344" s="204"/>
      <c r="C344" s="204"/>
      <c r="D344" s="204"/>
      <c r="E344" s="200"/>
      <c r="F344" s="209"/>
      <c r="G344" s="195" t="s">
        <v>859</v>
      </c>
      <c r="H344" s="197">
        <v>1903001</v>
      </c>
      <c r="I344" s="195" t="s">
        <v>79</v>
      </c>
      <c r="J344" s="219">
        <v>190300100</v>
      </c>
      <c r="K344" s="246" t="s">
        <v>860</v>
      </c>
      <c r="L344" s="445" t="s">
        <v>42</v>
      </c>
      <c r="M344" s="445">
        <v>1</v>
      </c>
      <c r="N344" s="748" t="s">
        <v>861</v>
      </c>
      <c r="O344" s="746" t="s">
        <v>862</v>
      </c>
      <c r="P344" s="746" t="s">
        <v>863</v>
      </c>
      <c r="Q344" s="303"/>
      <c r="R344" s="303"/>
      <c r="S344" s="303"/>
      <c r="T344" s="303"/>
      <c r="U344" s="264">
        <v>81470000</v>
      </c>
      <c r="V344" s="460"/>
      <c r="W344" s="303"/>
      <c r="X344" s="303"/>
      <c r="Y344" s="461"/>
      <c r="Z344" s="303"/>
      <c r="AA344" s="329"/>
      <c r="AB344" s="303"/>
      <c r="AC344" s="303"/>
      <c r="AD344" s="305">
        <f t="shared" si="138"/>
        <v>81470000</v>
      </c>
      <c r="AE344" s="305" t="s">
        <v>838</v>
      </c>
      <c r="AF344" s="149" t="s">
        <v>839</v>
      </c>
    </row>
    <row r="345" spans="1:32" ht="81.75" customHeight="1" x14ac:dyDescent="0.2">
      <c r="A345" s="297"/>
      <c r="B345" s="204"/>
      <c r="C345" s="204"/>
      <c r="D345" s="204"/>
      <c r="E345" s="200"/>
      <c r="F345" s="209"/>
      <c r="G345" s="195" t="s">
        <v>864</v>
      </c>
      <c r="H345" s="197">
        <v>1903015</v>
      </c>
      <c r="I345" s="195" t="s">
        <v>865</v>
      </c>
      <c r="J345" s="219">
        <v>190301500</v>
      </c>
      <c r="K345" s="187" t="s">
        <v>866</v>
      </c>
      <c r="L345" s="445" t="s">
        <v>42</v>
      </c>
      <c r="M345" s="445">
        <v>12</v>
      </c>
      <c r="N345" s="748"/>
      <c r="O345" s="746"/>
      <c r="P345" s="746"/>
      <c r="Q345" s="303"/>
      <c r="R345" s="303"/>
      <c r="S345" s="303"/>
      <c r="T345" s="303"/>
      <c r="U345" s="264">
        <v>211530000</v>
      </c>
      <c r="V345" s="460"/>
      <c r="W345" s="303"/>
      <c r="X345" s="303"/>
      <c r="Y345" s="461"/>
      <c r="Z345" s="303"/>
      <c r="AA345" s="329"/>
      <c r="AB345" s="303"/>
      <c r="AC345" s="303"/>
      <c r="AD345" s="305">
        <f t="shared" si="138"/>
        <v>211530000</v>
      </c>
      <c r="AE345" s="305" t="s">
        <v>838</v>
      </c>
      <c r="AF345" s="149" t="s">
        <v>839</v>
      </c>
    </row>
    <row r="346" spans="1:32" ht="134.25" customHeight="1" x14ac:dyDescent="0.2">
      <c r="A346" s="297"/>
      <c r="B346" s="204"/>
      <c r="C346" s="204"/>
      <c r="D346" s="204"/>
      <c r="E346" s="200"/>
      <c r="F346" s="209"/>
      <c r="G346" s="195" t="s">
        <v>867</v>
      </c>
      <c r="H346" s="197">
        <v>1903012</v>
      </c>
      <c r="I346" s="195" t="s">
        <v>868</v>
      </c>
      <c r="J346" s="219">
        <v>190301200</v>
      </c>
      <c r="K346" s="187" t="s">
        <v>869</v>
      </c>
      <c r="L346" s="445" t="s">
        <v>42</v>
      </c>
      <c r="M346" s="445">
        <v>4000</v>
      </c>
      <c r="N346" s="748" t="s">
        <v>870</v>
      </c>
      <c r="O346" s="746" t="s">
        <v>871</v>
      </c>
      <c r="P346" s="746" t="s">
        <v>872</v>
      </c>
      <c r="Q346" s="303"/>
      <c r="R346" s="303"/>
      <c r="S346" s="303"/>
      <c r="T346" s="264">
        <f>100000000-100000000</f>
        <v>0</v>
      </c>
      <c r="U346" s="428">
        <f>610901448+25000000</f>
        <v>635901448</v>
      </c>
      <c r="V346" s="510"/>
      <c r="W346" s="303"/>
      <c r="X346" s="303"/>
      <c r="Y346" s="461"/>
      <c r="Z346" s="303"/>
      <c r="AA346" s="329">
        <f>243062000-243062000</f>
        <v>0</v>
      </c>
      <c r="AB346" s="303"/>
      <c r="AC346" s="303"/>
      <c r="AD346" s="305">
        <f t="shared" si="138"/>
        <v>635901448</v>
      </c>
      <c r="AE346" s="305" t="s">
        <v>838</v>
      </c>
      <c r="AF346" s="149" t="s">
        <v>839</v>
      </c>
    </row>
    <row r="347" spans="1:32" ht="77.25" customHeight="1" x14ac:dyDescent="0.2">
      <c r="A347" s="297"/>
      <c r="B347" s="204"/>
      <c r="C347" s="204"/>
      <c r="D347" s="204"/>
      <c r="E347" s="200"/>
      <c r="F347" s="209"/>
      <c r="G347" s="195" t="s">
        <v>873</v>
      </c>
      <c r="H347" s="197">
        <v>1903016</v>
      </c>
      <c r="I347" s="195" t="s">
        <v>874</v>
      </c>
      <c r="J347" s="219">
        <v>190301600</v>
      </c>
      <c r="K347" s="246" t="s">
        <v>875</v>
      </c>
      <c r="L347" s="445" t="s">
        <v>42</v>
      </c>
      <c r="M347" s="445">
        <v>240</v>
      </c>
      <c r="N347" s="748"/>
      <c r="O347" s="746"/>
      <c r="P347" s="746"/>
      <c r="Q347" s="303"/>
      <c r="R347" s="303"/>
      <c r="S347" s="303"/>
      <c r="T347" s="303"/>
      <c r="U347" s="428">
        <v>94000000</v>
      </c>
      <c r="V347" s="460"/>
      <c r="W347" s="303"/>
      <c r="X347" s="303"/>
      <c r="Y347" s="461"/>
      <c r="Z347" s="303"/>
      <c r="AA347" s="329"/>
      <c r="AB347" s="303"/>
      <c r="AC347" s="303"/>
      <c r="AD347" s="305">
        <f t="shared" si="138"/>
        <v>94000000</v>
      </c>
      <c r="AE347" s="305" t="s">
        <v>838</v>
      </c>
      <c r="AF347" s="149" t="s">
        <v>839</v>
      </c>
    </row>
    <row r="348" spans="1:32" ht="75" customHeight="1" x14ac:dyDescent="0.2">
      <c r="A348" s="297"/>
      <c r="B348" s="204"/>
      <c r="C348" s="204"/>
      <c r="D348" s="204"/>
      <c r="E348" s="200"/>
      <c r="F348" s="209"/>
      <c r="G348" s="195" t="s">
        <v>856</v>
      </c>
      <c r="H348" s="197">
        <v>1903011</v>
      </c>
      <c r="I348" s="195" t="s">
        <v>857</v>
      </c>
      <c r="J348" s="219">
        <v>190301101</v>
      </c>
      <c r="K348" s="187" t="s">
        <v>876</v>
      </c>
      <c r="L348" s="445" t="s">
        <v>42</v>
      </c>
      <c r="M348" s="445">
        <v>12</v>
      </c>
      <c r="N348" s="748"/>
      <c r="O348" s="746"/>
      <c r="P348" s="746"/>
      <c r="Q348" s="303"/>
      <c r="R348" s="303"/>
      <c r="S348" s="303"/>
      <c r="T348" s="303"/>
      <c r="U348" s="428">
        <v>94000000</v>
      </c>
      <c r="V348" s="460"/>
      <c r="W348" s="303"/>
      <c r="X348" s="303"/>
      <c r="Y348" s="461"/>
      <c r="Z348" s="303"/>
      <c r="AA348" s="329"/>
      <c r="AB348" s="303"/>
      <c r="AC348" s="303"/>
      <c r="AD348" s="305">
        <f t="shared" si="138"/>
        <v>94000000</v>
      </c>
      <c r="AE348" s="305" t="s">
        <v>838</v>
      </c>
      <c r="AF348" s="149" t="s">
        <v>839</v>
      </c>
    </row>
    <row r="349" spans="1:32" ht="86.25" customHeight="1" x14ac:dyDescent="0.2">
      <c r="A349" s="297"/>
      <c r="B349" s="204"/>
      <c r="C349" s="204"/>
      <c r="D349" s="204"/>
      <c r="E349" s="197"/>
      <c r="F349" s="209"/>
      <c r="G349" s="195" t="s">
        <v>856</v>
      </c>
      <c r="H349" s="197">
        <v>1903034</v>
      </c>
      <c r="I349" s="195" t="s">
        <v>92</v>
      </c>
      <c r="J349" s="219">
        <v>190303400</v>
      </c>
      <c r="K349" s="187" t="s">
        <v>877</v>
      </c>
      <c r="L349" s="378" t="s">
        <v>42</v>
      </c>
      <c r="M349" s="261">
        <v>12</v>
      </c>
      <c r="N349" s="266" t="s">
        <v>878</v>
      </c>
      <c r="O349" s="187" t="s">
        <v>879</v>
      </c>
      <c r="P349" s="187" t="s">
        <v>880</v>
      </c>
      <c r="Q349" s="303"/>
      <c r="R349" s="303"/>
      <c r="S349" s="303"/>
      <c r="T349" s="303"/>
      <c r="U349" s="303"/>
      <c r="V349" s="510"/>
      <c r="W349" s="303"/>
      <c r="X349" s="303"/>
      <c r="Y349" s="461"/>
      <c r="Z349" s="303"/>
      <c r="AA349" s="332">
        <v>96954000</v>
      </c>
      <c r="AB349" s="303"/>
      <c r="AC349" s="303"/>
      <c r="AD349" s="305">
        <f t="shared" si="138"/>
        <v>96954000</v>
      </c>
      <c r="AE349" s="305" t="s">
        <v>838</v>
      </c>
      <c r="AF349" s="149" t="s">
        <v>839</v>
      </c>
    </row>
    <row r="350" spans="1:32" ht="75" customHeight="1" x14ac:dyDescent="0.2">
      <c r="A350" s="297"/>
      <c r="B350" s="204"/>
      <c r="C350" s="204"/>
      <c r="D350" s="204"/>
      <c r="E350" s="197"/>
      <c r="F350" s="209"/>
      <c r="G350" s="195" t="s">
        <v>881</v>
      </c>
      <c r="H350" s="197">
        <v>1903045</v>
      </c>
      <c r="I350" s="195" t="s">
        <v>882</v>
      </c>
      <c r="J350" s="219">
        <v>190304500</v>
      </c>
      <c r="K350" s="246" t="s">
        <v>883</v>
      </c>
      <c r="L350" s="378" t="s">
        <v>54</v>
      </c>
      <c r="M350" s="261">
        <v>725</v>
      </c>
      <c r="N350" s="748" t="s">
        <v>884</v>
      </c>
      <c r="O350" s="746" t="s">
        <v>885</v>
      </c>
      <c r="P350" s="746" t="s">
        <v>886</v>
      </c>
      <c r="Q350" s="303"/>
      <c r="R350" s="303"/>
      <c r="S350" s="303"/>
      <c r="T350" s="303"/>
      <c r="U350" s="303"/>
      <c r="V350" s="510"/>
      <c r="W350" s="303"/>
      <c r="X350" s="303"/>
      <c r="Y350" s="461"/>
      <c r="Z350" s="303"/>
      <c r="AA350" s="332">
        <v>19636000</v>
      </c>
      <c r="AB350" s="303"/>
      <c r="AC350" s="303"/>
      <c r="AD350" s="305">
        <f t="shared" si="138"/>
        <v>19636000</v>
      </c>
      <c r="AE350" s="305" t="s">
        <v>838</v>
      </c>
      <c r="AF350" s="149" t="s">
        <v>839</v>
      </c>
    </row>
    <row r="351" spans="1:32" ht="95.25" customHeight="1" x14ac:dyDescent="0.2">
      <c r="A351" s="297"/>
      <c r="B351" s="204"/>
      <c r="C351" s="204"/>
      <c r="D351" s="204"/>
      <c r="E351" s="197"/>
      <c r="F351" s="209"/>
      <c r="G351" s="195" t="s">
        <v>859</v>
      </c>
      <c r="H351" s="197">
        <v>1903001</v>
      </c>
      <c r="I351" s="195" t="s">
        <v>79</v>
      </c>
      <c r="J351" s="219">
        <v>190300100</v>
      </c>
      <c r="K351" s="246" t="s">
        <v>860</v>
      </c>
      <c r="L351" s="445" t="s">
        <v>42</v>
      </c>
      <c r="M351" s="190">
        <v>1</v>
      </c>
      <c r="N351" s="748"/>
      <c r="O351" s="746"/>
      <c r="P351" s="746"/>
      <c r="Q351" s="303"/>
      <c r="R351" s="303"/>
      <c r="S351" s="303"/>
      <c r="T351" s="303"/>
      <c r="U351" s="303"/>
      <c r="V351" s="510"/>
      <c r="W351" s="303"/>
      <c r="X351" s="303"/>
      <c r="Y351" s="461"/>
      <c r="Z351" s="303"/>
      <c r="AA351" s="332">
        <v>15000000</v>
      </c>
      <c r="AB351" s="303"/>
      <c r="AC351" s="303"/>
      <c r="AD351" s="305">
        <f t="shared" si="138"/>
        <v>15000000</v>
      </c>
      <c r="AE351" s="305" t="s">
        <v>838</v>
      </c>
      <c r="AF351" s="149" t="s">
        <v>839</v>
      </c>
    </row>
    <row r="352" spans="1:32" ht="71.25" customHeight="1" x14ac:dyDescent="0.2">
      <c r="A352" s="297"/>
      <c r="B352" s="204"/>
      <c r="C352" s="204"/>
      <c r="D352" s="204"/>
      <c r="E352" s="197"/>
      <c r="F352" s="209"/>
      <c r="G352" s="246" t="s">
        <v>887</v>
      </c>
      <c r="H352" s="219">
        <v>1903010</v>
      </c>
      <c r="I352" s="511" t="s">
        <v>888</v>
      </c>
      <c r="J352" s="219">
        <v>190301000</v>
      </c>
      <c r="K352" s="246" t="s">
        <v>889</v>
      </c>
      <c r="L352" s="378" t="s">
        <v>42</v>
      </c>
      <c r="M352" s="261">
        <v>12</v>
      </c>
      <c r="N352" s="748"/>
      <c r="O352" s="746"/>
      <c r="P352" s="746"/>
      <c r="Q352" s="303"/>
      <c r="R352" s="303"/>
      <c r="S352" s="303"/>
      <c r="T352" s="303"/>
      <c r="U352" s="303"/>
      <c r="V352" s="510"/>
      <c r="W352" s="303"/>
      <c r="X352" s="303"/>
      <c r="Y352" s="461"/>
      <c r="Z352" s="303"/>
      <c r="AA352" s="332">
        <v>15000000</v>
      </c>
      <c r="AB352" s="303"/>
      <c r="AC352" s="303"/>
      <c r="AD352" s="305">
        <f t="shared" si="138"/>
        <v>15000000</v>
      </c>
      <c r="AE352" s="305" t="s">
        <v>838</v>
      </c>
      <c r="AF352" s="149" t="s">
        <v>839</v>
      </c>
    </row>
    <row r="353" spans="1:32" ht="76.5" customHeight="1" x14ac:dyDescent="0.2">
      <c r="A353" s="297"/>
      <c r="B353" s="204"/>
      <c r="C353" s="204"/>
      <c r="D353" s="194"/>
      <c r="E353" s="197"/>
      <c r="F353" s="209"/>
      <c r="G353" s="195" t="s">
        <v>890</v>
      </c>
      <c r="H353" s="197">
        <v>1903011</v>
      </c>
      <c r="I353" s="195" t="s">
        <v>857</v>
      </c>
      <c r="J353" s="219">
        <v>190301101</v>
      </c>
      <c r="K353" s="187" t="s">
        <v>876</v>
      </c>
      <c r="L353" s="378" t="s">
        <v>42</v>
      </c>
      <c r="M353" s="631">
        <v>12</v>
      </c>
      <c r="N353" s="748"/>
      <c r="O353" s="746"/>
      <c r="P353" s="746"/>
      <c r="Q353" s="303"/>
      <c r="R353" s="303"/>
      <c r="S353" s="303"/>
      <c r="T353" s="303"/>
      <c r="U353" s="303"/>
      <c r="V353" s="510"/>
      <c r="W353" s="303"/>
      <c r="X353" s="303"/>
      <c r="Y353" s="461"/>
      <c r="Z353" s="303"/>
      <c r="AA353" s="332">
        <v>15000000</v>
      </c>
      <c r="AB353" s="303"/>
      <c r="AC353" s="303"/>
      <c r="AD353" s="305">
        <f t="shared" si="138"/>
        <v>15000000</v>
      </c>
      <c r="AE353" s="305" t="s">
        <v>838</v>
      </c>
      <c r="AF353" s="149" t="s">
        <v>839</v>
      </c>
    </row>
    <row r="354" spans="1:32" ht="58.5" customHeight="1" x14ac:dyDescent="0.2">
      <c r="A354" s="297"/>
      <c r="B354" s="204"/>
      <c r="C354" s="204"/>
      <c r="D354" s="204"/>
      <c r="E354" s="197"/>
      <c r="F354" s="209"/>
      <c r="G354" s="195" t="s">
        <v>891</v>
      </c>
      <c r="H354" s="197">
        <v>1903047</v>
      </c>
      <c r="I354" s="195" t="s">
        <v>892</v>
      </c>
      <c r="J354" s="219">
        <v>190304701</v>
      </c>
      <c r="K354" s="246" t="s">
        <v>893</v>
      </c>
      <c r="L354" s="378" t="s">
        <v>42</v>
      </c>
      <c r="M354" s="261">
        <v>1</v>
      </c>
      <c r="N354" s="748" t="s">
        <v>894</v>
      </c>
      <c r="O354" s="746" t="s">
        <v>895</v>
      </c>
      <c r="P354" s="746" t="s">
        <v>896</v>
      </c>
      <c r="Q354" s="303"/>
      <c r="R354" s="303"/>
      <c r="S354" s="303"/>
      <c r="T354" s="303"/>
      <c r="U354" s="303"/>
      <c r="V354" s="727">
        <f>15000000-5000000</f>
        <v>10000000</v>
      </c>
      <c r="W354" s="303"/>
      <c r="X354" s="303"/>
      <c r="Y354" s="461"/>
      <c r="Z354" s="303"/>
      <c r="AA354" s="329"/>
      <c r="AB354" s="303"/>
      <c r="AC354" s="303"/>
      <c r="AD354" s="305">
        <f t="shared" si="138"/>
        <v>10000000</v>
      </c>
      <c r="AE354" s="305" t="s">
        <v>838</v>
      </c>
      <c r="AF354" s="149" t="s">
        <v>839</v>
      </c>
    </row>
    <row r="355" spans="1:32" ht="90.75" customHeight="1" x14ac:dyDescent="0.2">
      <c r="A355" s="297"/>
      <c r="B355" s="204"/>
      <c r="C355" s="204"/>
      <c r="D355" s="204"/>
      <c r="E355" s="197"/>
      <c r="F355" s="209"/>
      <c r="G355" s="195" t="s">
        <v>897</v>
      </c>
      <c r="H355" s="197">
        <v>1903019</v>
      </c>
      <c r="I355" s="195" t="s">
        <v>898</v>
      </c>
      <c r="J355" s="219">
        <v>190301900</v>
      </c>
      <c r="K355" s="246" t="s">
        <v>899</v>
      </c>
      <c r="L355" s="378" t="s">
        <v>42</v>
      </c>
      <c r="M355" s="261">
        <v>75</v>
      </c>
      <c r="N355" s="748"/>
      <c r="O355" s="746"/>
      <c r="P355" s="746"/>
      <c r="Q355" s="303"/>
      <c r="R355" s="303"/>
      <c r="S355" s="303"/>
      <c r="T355" s="303"/>
      <c r="U355" s="303"/>
      <c r="V355" s="727">
        <f>55000000-27918995</f>
        <v>27081005</v>
      </c>
      <c r="W355" s="728"/>
      <c r="X355" s="303"/>
      <c r="Y355" s="461"/>
      <c r="Z355" s="303"/>
      <c r="AA355" s="329"/>
      <c r="AB355" s="303"/>
      <c r="AC355" s="303"/>
      <c r="AD355" s="305">
        <f t="shared" si="138"/>
        <v>27081005</v>
      </c>
      <c r="AE355" s="305" t="s">
        <v>838</v>
      </c>
      <c r="AF355" s="149" t="s">
        <v>839</v>
      </c>
    </row>
    <row r="356" spans="1:32" ht="88.5" customHeight="1" x14ac:dyDescent="0.2">
      <c r="A356" s="297"/>
      <c r="B356" s="204"/>
      <c r="C356" s="204"/>
      <c r="D356" s="204"/>
      <c r="E356" s="197"/>
      <c r="F356" s="209"/>
      <c r="G356" s="195" t="s">
        <v>900</v>
      </c>
      <c r="H356" s="197">
        <v>1903028</v>
      </c>
      <c r="I356" s="195" t="s">
        <v>901</v>
      </c>
      <c r="J356" s="219">
        <v>190302800</v>
      </c>
      <c r="K356" s="187" t="s">
        <v>902</v>
      </c>
      <c r="L356" s="378" t="s">
        <v>42</v>
      </c>
      <c r="M356" s="261">
        <v>250</v>
      </c>
      <c r="N356" s="748"/>
      <c r="O356" s="746"/>
      <c r="P356" s="746"/>
      <c r="Q356" s="303"/>
      <c r="R356" s="303"/>
      <c r="S356" s="303"/>
      <c r="T356" s="303"/>
      <c r="U356" s="303"/>
      <c r="V356" s="727">
        <f>40000000-26000000</f>
        <v>14000000</v>
      </c>
      <c r="W356" s="303"/>
      <c r="X356" s="303"/>
      <c r="Y356" s="461"/>
      <c r="Z356" s="303"/>
      <c r="AA356" s="329"/>
      <c r="AB356" s="303"/>
      <c r="AC356" s="303"/>
      <c r="AD356" s="305">
        <f t="shared" si="138"/>
        <v>14000000</v>
      </c>
      <c r="AE356" s="305" t="s">
        <v>838</v>
      </c>
      <c r="AF356" s="149" t="s">
        <v>839</v>
      </c>
    </row>
    <row r="357" spans="1:32" ht="85.5" customHeight="1" x14ac:dyDescent="0.2">
      <c r="A357" s="297"/>
      <c r="B357" s="204"/>
      <c r="C357" s="204"/>
      <c r="D357" s="204"/>
      <c r="E357" s="197"/>
      <c r="F357" s="209"/>
      <c r="G357" s="195" t="s">
        <v>864</v>
      </c>
      <c r="H357" s="197">
        <v>1903025</v>
      </c>
      <c r="I357" s="195" t="s">
        <v>903</v>
      </c>
      <c r="J357" s="219">
        <v>190302500</v>
      </c>
      <c r="K357" s="246" t="s">
        <v>904</v>
      </c>
      <c r="L357" s="398" t="s">
        <v>42</v>
      </c>
      <c r="M357" s="261">
        <v>12</v>
      </c>
      <c r="N357" s="748"/>
      <c r="O357" s="746"/>
      <c r="P357" s="746"/>
      <c r="Q357" s="303"/>
      <c r="R357" s="303"/>
      <c r="S357" s="303"/>
      <c r="T357" s="303"/>
      <c r="U357" s="303"/>
      <c r="V357" s="727">
        <v>40000000</v>
      </c>
      <c r="W357" s="303"/>
      <c r="X357" s="303"/>
      <c r="Y357" s="461"/>
      <c r="Z357" s="303"/>
      <c r="AA357" s="329"/>
      <c r="AB357" s="303"/>
      <c r="AC357" s="303"/>
      <c r="AD357" s="305">
        <f t="shared" si="138"/>
        <v>40000000</v>
      </c>
      <c r="AE357" s="305" t="s">
        <v>838</v>
      </c>
      <c r="AF357" s="149" t="s">
        <v>839</v>
      </c>
    </row>
    <row r="358" spans="1:32" ht="31.5" customHeight="1" x14ac:dyDescent="0.2">
      <c r="A358" s="297"/>
      <c r="B358" s="204"/>
      <c r="C358" s="204"/>
      <c r="D358" s="204"/>
      <c r="E358" s="309">
        <v>1905</v>
      </c>
      <c r="F358" s="188" t="s">
        <v>671</v>
      </c>
      <c r="G358" s="366"/>
      <c r="H358" s="307"/>
      <c r="I358" s="308"/>
      <c r="J358" s="309"/>
      <c r="K358" s="299"/>
      <c r="L358" s="310"/>
      <c r="M358" s="309"/>
      <c r="N358" s="311"/>
      <c r="O358" s="299"/>
      <c r="P358" s="299"/>
      <c r="Q358" s="512">
        <f>SUM(Q359:Q387)</f>
        <v>0</v>
      </c>
      <c r="R358" s="512">
        <f t="shared" ref="R358:AC358" si="139">SUM(R359:R387)</f>
        <v>0</v>
      </c>
      <c r="S358" s="512">
        <f t="shared" si="139"/>
        <v>0</v>
      </c>
      <c r="T358" s="512">
        <f t="shared" si="139"/>
        <v>0</v>
      </c>
      <c r="U358" s="512">
        <f t="shared" si="139"/>
        <v>2846264100</v>
      </c>
      <c r="V358" s="513">
        <f t="shared" si="139"/>
        <v>0</v>
      </c>
      <c r="W358" s="512">
        <f t="shared" si="139"/>
        <v>0</v>
      </c>
      <c r="X358" s="512">
        <f t="shared" si="139"/>
        <v>0</v>
      </c>
      <c r="Y358" s="514">
        <f t="shared" si="139"/>
        <v>0</v>
      </c>
      <c r="Z358" s="512">
        <f t="shared" si="139"/>
        <v>0</v>
      </c>
      <c r="AA358" s="512">
        <f>SUM(AA359:AA387)</f>
        <v>930000000</v>
      </c>
      <c r="AB358" s="512">
        <f t="shared" si="139"/>
        <v>0</v>
      </c>
      <c r="AC358" s="512">
        <f t="shared" si="139"/>
        <v>392854357</v>
      </c>
      <c r="AD358" s="512">
        <f>SUM(AD359:AD387)</f>
        <v>4169118457</v>
      </c>
      <c r="AE358" s="512"/>
      <c r="AF358" s="515"/>
    </row>
    <row r="359" spans="1:32" ht="159.75" customHeight="1" x14ac:dyDescent="0.2">
      <c r="A359" s="297"/>
      <c r="B359" s="204"/>
      <c r="C359" s="204"/>
      <c r="D359" s="204"/>
      <c r="E359" s="200"/>
      <c r="F359" s="209"/>
      <c r="G359" s="195" t="s">
        <v>843</v>
      </c>
      <c r="H359" s="197">
        <v>1905028</v>
      </c>
      <c r="I359" s="195" t="s">
        <v>905</v>
      </c>
      <c r="J359" s="219">
        <v>190502800</v>
      </c>
      <c r="K359" s="238" t="s">
        <v>906</v>
      </c>
      <c r="L359" s="209" t="s">
        <v>42</v>
      </c>
      <c r="M359" s="261">
        <v>12</v>
      </c>
      <c r="N359" s="748" t="s">
        <v>907</v>
      </c>
      <c r="O359" s="746" t="s">
        <v>908</v>
      </c>
      <c r="P359" s="746" t="s">
        <v>909</v>
      </c>
      <c r="Q359" s="303"/>
      <c r="R359" s="303"/>
      <c r="S359" s="303"/>
      <c r="T359" s="303"/>
      <c r="U359" s="264">
        <v>38000000</v>
      </c>
      <c r="V359" s="460"/>
      <c r="W359" s="303"/>
      <c r="X359" s="303"/>
      <c r="Y359" s="461"/>
      <c r="Z359" s="303"/>
      <c r="AA359" s="329"/>
      <c r="AB359" s="303"/>
      <c r="AC359" s="303"/>
      <c r="AD359" s="305">
        <f t="shared" si="138"/>
        <v>38000000</v>
      </c>
      <c r="AE359" s="305" t="s">
        <v>838</v>
      </c>
      <c r="AF359" s="149" t="s">
        <v>839</v>
      </c>
    </row>
    <row r="360" spans="1:32" ht="114.75" customHeight="1" x14ac:dyDescent="0.2">
      <c r="A360" s="297"/>
      <c r="B360" s="204"/>
      <c r="C360" s="204"/>
      <c r="D360" s="194"/>
      <c r="E360" s="200"/>
      <c r="F360" s="209"/>
      <c r="G360" s="195" t="s">
        <v>843</v>
      </c>
      <c r="H360" s="197">
        <v>1905031</v>
      </c>
      <c r="I360" s="195" t="s">
        <v>910</v>
      </c>
      <c r="J360" s="197">
        <v>190503100</v>
      </c>
      <c r="K360" s="238" t="s">
        <v>911</v>
      </c>
      <c r="L360" s="378" t="s">
        <v>42</v>
      </c>
      <c r="M360" s="261">
        <v>12</v>
      </c>
      <c r="N360" s="748"/>
      <c r="O360" s="746"/>
      <c r="P360" s="746"/>
      <c r="Q360" s="303"/>
      <c r="R360" s="303"/>
      <c r="S360" s="303"/>
      <c r="T360" s="303"/>
      <c r="U360" s="264">
        <v>38000000</v>
      </c>
      <c r="V360" s="460"/>
      <c r="W360" s="303"/>
      <c r="X360" s="303"/>
      <c r="Y360" s="461"/>
      <c r="Z360" s="303"/>
      <c r="AA360" s="329"/>
      <c r="AB360" s="303"/>
      <c r="AC360" s="303"/>
      <c r="AD360" s="305">
        <f t="shared" si="138"/>
        <v>38000000</v>
      </c>
      <c r="AE360" s="305" t="s">
        <v>838</v>
      </c>
      <c r="AF360" s="149" t="s">
        <v>839</v>
      </c>
    </row>
    <row r="361" spans="1:32" ht="56.25" customHeight="1" x14ac:dyDescent="0.2">
      <c r="A361" s="297"/>
      <c r="B361" s="204"/>
      <c r="C361" s="204"/>
      <c r="D361" s="204"/>
      <c r="E361" s="200"/>
      <c r="F361" s="209"/>
      <c r="G361" s="195" t="s">
        <v>912</v>
      </c>
      <c r="H361" s="197">
        <v>1905019</v>
      </c>
      <c r="I361" s="195" t="s">
        <v>913</v>
      </c>
      <c r="J361" s="197">
        <v>190501900</v>
      </c>
      <c r="K361" s="187" t="s">
        <v>276</v>
      </c>
      <c r="L361" s="378" t="s">
        <v>42</v>
      </c>
      <c r="M361" s="261">
        <v>60</v>
      </c>
      <c r="N361" s="748" t="s">
        <v>914</v>
      </c>
      <c r="O361" s="746" t="s">
        <v>915</v>
      </c>
      <c r="P361" s="746" t="s">
        <v>916</v>
      </c>
      <c r="Q361" s="303"/>
      <c r="R361" s="303"/>
      <c r="S361" s="303"/>
      <c r="T361" s="303"/>
      <c r="U361" s="516">
        <v>20000000</v>
      </c>
      <c r="V361" s="460"/>
      <c r="W361" s="303"/>
      <c r="X361" s="303"/>
      <c r="Y361" s="461"/>
      <c r="Z361" s="303"/>
      <c r="AA361" s="329"/>
      <c r="AB361" s="303"/>
      <c r="AC361" s="303"/>
      <c r="AD361" s="305">
        <f t="shared" si="138"/>
        <v>20000000</v>
      </c>
      <c r="AE361" s="305" t="s">
        <v>838</v>
      </c>
      <c r="AF361" s="149" t="s">
        <v>839</v>
      </c>
    </row>
    <row r="362" spans="1:32" ht="152.25" customHeight="1" x14ac:dyDescent="0.2">
      <c r="A362" s="297"/>
      <c r="B362" s="204"/>
      <c r="C362" s="204"/>
      <c r="D362" s="204"/>
      <c r="E362" s="200"/>
      <c r="F362" s="209"/>
      <c r="G362" s="195" t="s">
        <v>917</v>
      </c>
      <c r="H362" s="190">
        <v>1905031</v>
      </c>
      <c r="I362" s="720" t="s">
        <v>918</v>
      </c>
      <c r="J362" s="190">
        <v>190503100</v>
      </c>
      <c r="K362" s="722" t="s">
        <v>919</v>
      </c>
      <c r="L362" s="721" t="s">
        <v>42</v>
      </c>
      <c r="M362" s="445">
        <v>11</v>
      </c>
      <c r="N362" s="748"/>
      <c r="O362" s="746"/>
      <c r="P362" s="746"/>
      <c r="Q362" s="303"/>
      <c r="R362" s="303"/>
      <c r="S362" s="303"/>
      <c r="T362" s="303"/>
      <c r="U362" s="516">
        <v>20000000</v>
      </c>
      <c r="V362" s="460"/>
      <c r="W362" s="303"/>
      <c r="X362" s="303"/>
      <c r="Y362" s="461"/>
      <c r="Z362" s="303"/>
      <c r="AA362" s="329"/>
      <c r="AB362" s="303"/>
      <c r="AC362" s="303"/>
      <c r="AD362" s="305">
        <f t="shared" si="138"/>
        <v>20000000</v>
      </c>
      <c r="AE362" s="305" t="s">
        <v>838</v>
      </c>
      <c r="AF362" s="149" t="s">
        <v>839</v>
      </c>
    </row>
    <row r="363" spans="1:32" ht="96" customHeight="1" x14ac:dyDescent="0.2">
      <c r="A363" s="297"/>
      <c r="B363" s="204"/>
      <c r="C363" s="204"/>
      <c r="D363" s="204"/>
      <c r="E363" s="200"/>
      <c r="F363" s="209"/>
      <c r="G363" s="195" t="s">
        <v>920</v>
      </c>
      <c r="H363" s="190">
        <v>1905015</v>
      </c>
      <c r="I363" s="720" t="s">
        <v>921</v>
      </c>
      <c r="J363" s="190">
        <v>190501501</v>
      </c>
      <c r="K363" s="206" t="s">
        <v>922</v>
      </c>
      <c r="L363" s="378" t="s">
        <v>42</v>
      </c>
      <c r="M363" s="261">
        <v>1</v>
      </c>
      <c r="N363" s="748"/>
      <c r="O363" s="746"/>
      <c r="P363" s="746"/>
      <c r="Q363" s="303"/>
      <c r="R363" s="303"/>
      <c r="S363" s="303"/>
      <c r="T363" s="303"/>
      <c r="U363" s="516">
        <v>20000000</v>
      </c>
      <c r="V363" s="460"/>
      <c r="W363" s="303"/>
      <c r="X363" s="303"/>
      <c r="Y363" s="461"/>
      <c r="Z363" s="303"/>
      <c r="AA363" s="329"/>
      <c r="AB363" s="303"/>
      <c r="AC363" s="303"/>
      <c r="AD363" s="305">
        <f t="shared" si="138"/>
        <v>20000000</v>
      </c>
      <c r="AE363" s="305" t="s">
        <v>838</v>
      </c>
      <c r="AF363" s="149" t="s">
        <v>839</v>
      </c>
    </row>
    <row r="364" spans="1:32" ht="109.5" customHeight="1" x14ac:dyDescent="0.2">
      <c r="A364" s="297"/>
      <c r="B364" s="204"/>
      <c r="C364" s="204"/>
      <c r="D364" s="204"/>
      <c r="E364" s="200"/>
      <c r="F364" s="209"/>
      <c r="G364" s="195" t="s">
        <v>846</v>
      </c>
      <c r="H364" s="190">
        <v>1905024</v>
      </c>
      <c r="I364" s="720" t="s">
        <v>1349</v>
      </c>
      <c r="J364" s="190">
        <v>190502400</v>
      </c>
      <c r="K364" s="206" t="s">
        <v>923</v>
      </c>
      <c r="L364" s="378" t="s">
        <v>54</v>
      </c>
      <c r="M364" s="261">
        <v>3</v>
      </c>
      <c r="N364" s="748"/>
      <c r="O364" s="746"/>
      <c r="P364" s="746"/>
      <c r="Q364" s="303"/>
      <c r="R364" s="303"/>
      <c r="S364" s="303"/>
      <c r="T364" s="303"/>
      <c r="U364" s="516">
        <v>64000000</v>
      </c>
      <c r="V364" s="460"/>
      <c r="W364" s="303"/>
      <c r="X364" s="303"/>
      <c r="Y364" s="461"/>
      <c r="Z364" s="303"/>
      <c r="AA364" s="329"/>
      <c r="AB364" s="303"/>
      <c r="AC364" s="303"/>
      <c r="AD364" s="305">
        <f t="shared" si="138"/>
        <v>64000000</v>
      </c>
      <c r="AE364" s="305" t="s">
        <v>838</v>
      </c>
      <c r="AF364" s="149" t="s">
        <v>839</v>
      </c>
    </row>
    <row r="365" spans="1:32" ht="75.75" customHeight="1" x14ac:dyDescent="0.2">
      <c r="A365" s="297"/>
      <c r="B365" s="204"/>
      <c r="C365" s="204"/>
      <c r="D365" s="204"/>
      <c r="E365" s="200"/>
      <c r="F365" s="209"/>
      <c r="G365" s="195" t="s">
        <v>924</v>
      </c>
      <c r="H365" s="190">
        <v>1905015</v>
      </c>
      <c r="I365" s="720" t="s">
        <v>925</v>
      </c>
      <c r="J365" s="190">
        <v>190501500</v>
      </c>
      <c r="K365" s="206" t="s">
        <v>926</v>
      </c>
      <c r="L365" s="209" t="s">
        <v>54</v>
      </c>
      <c r="M365" s="261">
        <v>4</v>
      </c>
      <c r="N365" s="748"/>
      <c r="O365" s="746"/>
      <c r="P365" s="746"/>
      <c r="Q365" s="303"/>
      <c r="R365" s="303"/>
      <c r="S365" s="303"/>
      <c r="T365" s="303"/>
      <c r="U365" s="516">
        <v>20000000</v>
      </c>
      <c r="V365" s="460"/>
      <c r="W365" s="303"/>
      <c r="X365" s="303"/>
      <c r="Y365" s="461"/>
      <c r="Z365" s="303"/>
      <c r="AA365" s="332"/>
      <c r="AB365" s="303"/>
      <c r="AC365" s="303"/>
      <c r="AD365" s="305">
        <f t="shared" si="138"/>
        <v>20000000</v>
      </c>
      <c r="AE365" s="305" t="s">
        <v>838</v>
      </c>
      <c r="AF365" s="149" t="s">
        <v>839</v>
      </c>
    </row>
    <row r="366" spans="1:32" ht="72" customHeight="1" x14ac:dyDescent="0.2">
      <c r="A366" s="297"/>
      <c r="B366" s="204"/>
      <c r="C366" s="204"/>
      <c r="D366" s="204"/>
      <c r="E366" s="200"/>
      <c r="F366" s="209"/>
      <c r="G366" s="195" t="s">
        <v>846</v>
      </c>
      <c r="H366" s="190">
        <v>1905024</v>
      </c>
      <c r="I366" s="720" t="s">
        <v>927</v>
      </c>
      <c r="J366" s="689">
        <v>190502400</v>
      </c>
      <c r="K366" s="206" t="s">
        <v>928</v>
      </c>
      <c r="L366" s="445" t="s">
        <v>54</v>
      </c>
      <c r="M366" s="445">
        <v>4</v>
      </c>
      <c r="N366" s="748"/>
      <c r="O366" s="746"/>
      <c r="P366" s="746"/>
      <c r="Q366" s="303"/>
      <c r="R366" s="303"/>
      <c r="S366" s="303"/>
      <c r="T366" s="303"/>
      <c r="U366" s="516">
        <v>28000000</v>
      </c>
      <c r="V366" s="460"/>
      <c r="W366" s="303"/>
      <c r="X366" s="303"/>
      <c r="Y366" s="461"/>
      <c r="Z366" s="303"/>
      <c r="AA366" s="329"/>
      <c r="AB366" s="303"/>
      <c r="AC366" s="303"/>
      <c r="AD366" s="305">
        <f t="shared" si="138"/>
        <v>28000000</v>
      </c>
      <c r="AE366" s="305" t="s">
        <v>838</v>
      </c>
      <c r="AF366" s="149" t="s">
        <v>839</v>
      </c>
    </row>
    <row r="367" spans="1:32" ht="55.5" customHeight="1" x14ac:dyDescent="0.2">
      <c r="A367" s="297"/>
      <c r="B367" s="204"/>
      <c r="C367" s="204"/>
      <c r="D367" s="204"/>
      <c r="E367" s="200"/>
      <c r="F367" s="209"/>
      <c r="G367" s="195" t="s">
        <v>881</v>
      </c>
      <c r="H367" s="190">
        <v>1905024</v>
      </c>
      <c r="I367" s="720" t="s">
        <v>929</v>
      </c>
      <c r="J367" s="689">
        <v>190502401</v>
      </c>
      <c r="K367" s="206" t="s">
        <v>930</v>
      </c>
      <c r="L367" s="445" t="s">
        <v>42</v>
      </c>
      <c r="M367" s="445">
        <v>12</v>
      </c>
      <c r="N367" s="748"/>
      <c r="O367" s="746"/>
      <c r="P367" s="746"/>
      <c r="Q367" s="303"/>
      <c r="R367" s="303"/>
      <c r="S367" s="303"/>
      <c r="T367" s="303"/>
      <c r="U367" s="516">
        <v>28000000</v>
      </c>
      <c r="V367" s="460"/>
      <c r="W367" s="303"/>
      <c r="X367" s="303"/>
      <c r="Y367" s="461"/>
      <c r="Z367" s="303"/>
      <c r="AA367" s="329"/>
      <c r="AB367" s="303"/>
      <c r="AC367" s="303"/>
      <c r="AD367" s="305">
        <f t="shared" si="138"/>
        <v>28000000</v>
      </c>
      <c r="AE367" s="305" t="s">
        <v>838</v>
      </c>
      <c r="AF367" s="149" t="s">
        <v>839</v>
      </c>
    </row>
    <row r="368" spans="1:32" ht="74.25" customHeight="1" x14ac:dyDescent="0.2">
      <c r="A368" s="297"/>
      <c r="B368" s="204"/>
      <c r="C368" s="204"/>
      <c r="D368" s="204"/>
      <c r="E368" s="200"/>
      <c r="F368" s="405"/>
      <c r="G368" s="195" t="s">
        <v>672</v>
      </c>
      <c r="H368" s="190">
        <v>1905021</v>
      </c>
      <c r="I368" s="720" t="s">
        <v>673</v>
      </c>
      <c r="J368" s="689">
        <v>190502100</v>
      </c>
      <c r="K368" s="206" t="s">
        <v>674</v>
      </c>
      <c r="L368" s="674" t="s">
        <v>42</v>
      </c>
      <c r="M368" s="445">
        <v>12</v>
      </c>
      <c r="N368" s="748" t="s">
        <v>931</v>
      </c>
      <c r="O368" s="746" t="s">
        <v>932</v>
      </c>
      <c r="P368" s="746" t="s">
        <v>933</v>
      </c>
      <c r="Q368" s="303"/>
      <c r="R368" s="303"/>
      <c r="S368" s="303"/>
      <c r="T368" s="303"/>
      <c r="U368" s="516">
        <v>105000000</v>
      </c>
      <c r="V368" s="460"/>
      <c r="W368" s="303"/>
      <c r="X368" s="303"/>
      <c r="Y368" s="461"/>
      <c r="Z368" s="303"/>
      <c r="AA368" s="329"/>
      <c r="AB368" s="303"/>
      <c r="AC368" s="303"/>
      <c r="AD368" s="305">
        <f t="shared" si="138"/>
        <v>105000000</v>
      </c>
      <c r="AE368" s="305" t="s">
        <v>838</v>
      </c>
      <c r="AF368" s="149" t="s">
        <v>839</v>
      </c>
    </row>
    <row r="369" spans="1:32" ht="156" customHeight="1" x14ac:dyDescent="0.2">
      <c r="A369" s="297"/>
      <c r="B369" s="204"/>
      <c r="C369" s="204"/>
      <c r="D369" s="204"/>
      <c r="E369" s="200"/>
      <c r="F369" s="209"/>
      <c r="G369" s="195" t="s">
        <v>917</v>
      </c>
      <c r="H369" s="190">
        <v>1905021</v>
      </c>
      <c r="I369" s="720" t="s">
        <v>934</v>
      </c>
      <c r="J369" s="190">
        <v>1905021</v>
      </c>
      <c r="K369" s="722" t="s">
        <v>919</v>
      </c>
      <c r="L369" s="674" t="s">
        <v>42</v>
      </c>
      <c r="M369" s="445">
        <v>11</v>
      </c>
      <c r="N369" s="748"/>
      <c r="O369" s="746"/>
      <c r="P369" s="746"/>
      <c r="Q369" s="303"/>
      <c r="R369" s="303"/>
      <c r="S369" s="303"/>
      <c r="T369" s="303"/>
      <c r="U369" s="516">
        <v>56000000</v>
      </c>
      <c r="V369" s="460"/>
      <c r="W369" s="303"/>
      <c r="X369" s="303"/>
      <c r="Y369" s="461"/>
      <c r="Z369" s="303"/>
      <c r="AA369" s="329"/>
      <c r="AB369" s="303"/>
      <c r="AC369" s="303"/>
      <c r="AD369" s="305">
        <f t="shared" si="138"/>
        <v>56000000</v>
      </c>
      <c r="AE369" s="305" t="s">
        <v>838</v>
      </c>
      <c r="AF369" s="149" t="s">
        <v>839</v>
      </c>
    </row>
    <row r="370" spans="1:32" ht="129.75" customHeight="1" x14ac:dyDescent="0.2">
      <c r="A370" s="297"/>
      <c r="B370" s="204"/>
      <c r="C370" s="204"/>
      <c r="D370" s="204"/>
      <c r="E370" s="200"/>
      <c r="F370" s="209"/>
      <c r="G370" s="195" t="s">
        <v>864</v>
      </c>
      <c r="H370" s="578">
        <v>1905020</v>
      </c>
      <c r="I370" s="720" t="s">
        <v>935</v>
      </c>
      <c r="J370" s="689">
        <v>190502000</v>
      </c>
      <c r="K370" s="206" t="s">
        <v>936</v>
      </c>
      <c r="L370" s="378" t="s">
        <v>42</v>
      </c>
      <c r="M370" s="261">
        <v>12</v>
      </c>
      <c r="N370" s="748" t="s">
        <v>937</v>
      </c>
      <c r="O370" s="746" t="s">
        <v>938</v>
      </c>
      <c r="P370" s="746" t="s">
        <v>939</v>
      </c>
      <c r="Q370" s="303"/>
      <c r="R370" s="303"/>
      <c r="S370" s="303"/>
      <c r="T370" s="303"/>
      <c r="U370" s="517">
        <v>38000000</v>
      </c>
      <c r="V370" s="460"/>
      <c r="W370" s="303"/>
      <c r="X370" s="303"/>
      <c r="Y370" s="461"/>
      <c r="Z370" s="303"/>
      <c r="AA370" s="329"/>
      <c r="AB370" s="303"/>
      <c r="AC370" s="303"/>
      <c r="AD370" s="305">
        <f t="shared" si="138"/>
        <v>38000000</v>
      </c>
      <c r="AE370" s="305" t="s">
        <v>838</v>
      </c>
      <c r="AF370" s="149" t="s">
        <v>839</v>
      </c>
    </row>
    <row r="371" spans="1:32" ht="183" customHeight="1" x14ac:dyDescent="0.2">
      <c r="A371" s="297"/>
      <c r="B371" s="204"/>
      <c r="C371" s="204"/>
      <c r="D371" s="204"/>
      <c r="E371" s="200"/>
      <c r="F371" s="405"/>
      <c r="G371" s="195" t="s">
        <v>679</v>
      </c>
      <c r="H371" s="578">
        <v>1905022</v>
      </c>
      <c r="I371" s="720" t="s">
        <v>680</v>
      </c>
      <c r="J371" s="689">
        <v>190502200</v>
      </c>
      <c r="K371" s="206" t="s">
        <v>681</v>
      </c>
      <c r="L371" s="378" t="s">
        <v>42</v>
      </c>
      <c r="M371" s="261">
        <v>12</v>
      </c>
      <c r="N371" s="748"/>
      <c r="O371" s="746"/>
      <c r="P371" s="746"/>
      <c r="Q371" s="303"/>
      <c r="R371" s="303"/>
      <c r="S371" s="303"/>
      <c r="T371" s="303"/>
      <c r="U371" s="517">
        <v>57000000</v>
      </c>
      <c r="V371" s="460"/>
      <c r="W371" s="303"/>
      <c r="X371" s="303"/>
      <c r="Y371" s="461"/>
      <c r="Z371" s="303"/>
      <c r="AA371" s="329"/>
      <c r="AB371" s="303"/>
      <c r="AC371" s="303"/>
      <c r="AD371" s="305">
        <f t="shared" si="138"/>
        <v>57000000</v>
      </c>
      <c r="AE371" s="305" t="s">
        <v>838</v>
      </c>
      <c r="AF371" s="149" t="s">
        <v>839</v>
      </c>
    </row>
    <row r="372" spans="1:32" ht="96" customHeight="1" x14ac:dyDescent="0.2">
      <c r="A372" s="297"/>
      <c r="B372" s="204"/>
      <c r="C372" s="194"/>
      <c r="D372" s="194"/>
      <c r="E372" s="574"/>
      <c r="F372" s="675"/>
      <c r="G372" s="679" t="s">
        <v>864</v>
      </c>
      <c r="H372" s="190">
        <v>1905015</v>
      </c>
      <c r="I372" s="679" t="s">
        <v>1288</v>
      </c>
      <c r="J372" s="190" t="s">
        <v>1354</v>
      </c>
      <c r="K372" s="206" t="s">
        <v>940</v>
      </c>
      <c r="L372" s="445" t="s">
        <v>42</v>
      </c>
      <c r="M372" s="445">
        <v>1</v>
      </c>
      <c r="N372" s="748"/>
      <c r="O372" s="746"/>
      <c r="P372" s="746"/>
      <c r="Q372" s="303"/>
      <c r="R372" s="303"/>
      <c r="S372" s="303"/>
      <c r="T372" s="264">
        <f>100000000-100000000</f>
        <v>0</v>
      </c>
      <c r="U372" s="517">
        <v>58000000</v>
      </c>
      <c r="V372" s="460"/>
      <c r="W372" s="303"/>
      <c r="X372" s="303"/>
      <c r="Y372" s="461"/>
      <c r="Z372" s="303"/>
      <c r="AA372" s="329"/>
      <c r="AB372" s="303"/>
      <c r="AC372" s="303"/>
      <c r="AD372" s="305">
        <f t="shared" si="138"/>
        <v>58000000</v>
      </c>
      <c r="AE372" s="305" t="s">
        <v>838</v>
      </c>
      <c r="AF372" s="149" t="s">
        <v>839</v>
      </c>
    </row>
    <row r="373" spans="1:32" ht="120" customHeight="1" x14ac:dyDescent="0.2">
      <c r="A373" s="297"/>
      <c r="B373" s="204"/>
      <c r="C373" s="194"/>
      <c r="D373" s="194"/>
      <c r="E373" s="574"/>
      <c r="F373" s="675"/>
      <c r="G373" s="679" t="s">
        <v>941</v>
      </c>
      <c r="H373" s="190">
        <v>1905023</v>
      </c>
      <c r="I373" s="679" t="s">
        <v>942</v>
      </c>
      <c r="J373" s="689">
        <v>190502300</v>
      </c>
      <c r="K373" s="206" t="s">
        <v>943</v>
      </c>
      <c r="L373" s="445" t="s">
        <v>42</v>
      </c>
      <c r="M373" s="445">
        <v>12</v>
      </c>
      <c r="N373" s="748" t="s">
        <v>944</v>
      </c>
      <c r="O373" s="746" t="s">
        <v>1259</v>
      </c>
      <c r="P373" s="746" t="s">
        <v>945</v>
      </c>
      <c r="Q373" s="303"/>
      <c r="R373" s="303"/>
      <c r="S373" s="303"/>
      <c r="T373" s="303"/>
      <c r="U373" s="517">
        <v>105000000</v>
      </c>
      <c r="V373" s="460"/>
      <c r="W373" s="303"/>
      <c r="X373" s="303"/>
      <c r="Y373" s="461"/>
      <c r="Z373" s="303"/>
      <c r="AA373" s="329"/>
      <c r="AB373" s="303"/>
      <c r="AC373" s="303"/>
      <c r="AD373" s="305">
        <f t="shared" si="138"/>
        <v>105000000</v>
      </c>
      <c r="AE373" s="305" t="s">
        <v>838</v>
      </c>
      <c r="AF373" s="149" t="s">
        <v>839</v>
      </c>
    </row>
    <row r="374" spans="1:32" ht="134.25" customHeight="1" x14ac:dyDescent="0.2">
      <c r="A374" s="297"/>
      <c r="B374" s="204"/>
      <c r="C374" s="194"/>
      <c r="D374" s="194"/>
      <c r="E374" s="574"/>
      <c r="F374" s="208"/>
      <c r="G374" s="679" t="s">
        <v>843</v>
      </c>
      <c r="H374" s="190">
        <v>1905031</v>
      </c>
      <c r="I374" s="679" t="s">
        <v>910</v>
      </c>
      <c r="J374" s="190">
        <v>190503100</v>
      </c>
      <c r="K374" s="676" t="s">
        <v>911</v>
      </c>
      <c r="L374" s="445" t="s">
        <v>42</v>
      </c>
      <c r="M374" s="445">
        <v>12</v>
      </c>
      <c r="N374" s="748"/>
      <c r="O374" s="746"/>
      <c r="P374" s="746"/>
      <c r="Q374" s="303"/>
      <c r="R374" s="303"/>
      <c r="S374" s="303"/>
      <c r="T374" s="303"/>
      <c r="U374" s="517">
        <v>76000000</v>
      </c>
      <c r="V374" s="460"/>
      <c r="W374" s="303"/>
      <c r="X374" s="303"/>
      <c r="Y374" s="461"/>
      <c r="Z374" s="303"/>
      <c r="AA374" s="329"/>
      <c r="AB374" s="303"/>
      <c r="AC374" s="303"/>
      <c r="AD374" s="305">
        <f t="shared" si="138"/>
        <v>76000000</v>
      </c>
      <c r="AE374" s="305" t="s">
        <v>838</v>
      </c>
      <c r="AF374" s="149" t="s">
        <v>839</v>
      </c>
    </row>
    <row r="375" spans="1:32" ht="122.25" customHeight="1" x14ac:dyDescent="0.2">
      <c r="A375" s="297"/>
      <c r="B375" s="204"/>
      <c r="C375" s="194"/>
      <c r="D375" s="194"/>
      <c r="E375" s="574"/>
      <c r="F375" s="675"/>
      <c r="G375" s="679" t="s">
        <v>946</v>
      </c>
      <c r="H375" s="190">
        <v>1905012</v>
      </c>
      <c r="I375" s="679" t="s">
        <v>947</v>
      </c>
      <c r="J375" s="689">
        <v>190501200</v>
      </c>
      <c r="K375" s="206" t="s">
        <v>947</v>
      </c>
      <c r="L375" s="445" t="s">
        <v>42</v>
      </c>
      <c r="M375" s="445">
        <v>1</v>
      </c>
      <c r="N375" s="748" t="s">
        <v>948</v>
      </c>
      <c r="O375" s="746" t="s">
        <v>949</v>
      </c>
      <c r="P375" s="746" t="s">
        <v>950</v>
      </c>
      <c r="Q375" s="303"/>
      <c r="R375" s="303"/>
      <c r="S375" s="303"/>
      <c r="T375" s="303"/>
      <c r="U375" s="264">
        <v>20000000</v>
      </c>
      <c r="V375" s="460"/>
      <c r="W375" s="303"/>
      <c r="X375" s="303"/>
      <c r="Y375" s="461"/>
      <c r="Z375" s="303"/>
      <c r="AA375" s="329"/>
      <c r="AB375" s="303"/>
      <c r="AC375" s="399"/>
      <c r="AD375" s="305">
        <f t="shared" si="138"/>
        <v>20000000</v>
      </c>
      <c r="AE375" s="305" t="s">
        <v>838</v>
      </c>
      <c r="AF375" s="149" t="s">
        <v>839</v>
      </c>
    </row>
    <row r="376" spans="1:32" ht="180" customHeight="1" x14ac:dyDescent="0.2">
      <c r="A376" s="297"/>
      <c r="B376" s="204"/>
      <c r="C376" s="194"/>
      <c r="D376" s="194"/>
      <c r="E376" s="574"/>
      <c r="F376" s="675"/>
      <c r="G376" s="679" t="s">
        <v>951</v>
      </c>
      <c r="H376" s="190">
        <v>1905026</v>
      </c>
      <c r="I376" s="679" t="s">
        <v>952</v>
      </c>
      <c r="J376" s="689">
        <v>190502600</v>
      </c>
      <c r="K376" s="206" t="s">
        <v>953</v>
      </c>
      <c r="L376" s="674" t="s">
        <v>42</v>
      </c>
      <c r="M376" s="445">
        <v>12</v>
      </c>
      <c r="N376" s="748"/>
      <c r="O376" s="746"/>
      <c r="P376" s="746"/>
      <c r="Q376" s="303"/>
      <c r="R376" s="303"/>
      <c r="S376" s="303"/>
      <c r="T376" s="303"/>
      <c r="U376" s="264">
        <v>58000000</v>
      </c>
      <c r="V376" s="460"/>
      <c r="W376" s="303"/>
      <c r="X376" s="303"/>
      <c r="Y376" s="461"/>
      <c r="Z376" s="303"/>
      <c r="AA376" s="332"/>
      <c r="AB376" s="303"/>
      <c r="AC376" s="399"/>
      <c r="AD376" s="305">
        <f t="shared" si="138"/>
        <v>58000000</v>
      </c>
      <c r="AE376" s="305" t="s">
        <v>838</v>
      </c>
      <c r="AF376" s="149" t="s">
        <v>839</v>
      </c>
    </row>
    <row r="377" spans="1:32" ht="150" customHeight="1" x14ac:dyDescent="0.2">
      <c r="A377" s="297"/>
      <c r="B377" s="204"/>
      <c r="C377" s="194"/>
      <c r="D377" s="194"/>
      <c r="E377" s="574"/>
      <c r="F377" s="674"/>
      <c r="G377" s="679" t="s">
        <v>946</v>
      </c>
      <c r="H377" s="190">
        <v>1905027</v>
      </c>
      <c r="I377" s="679" t="s">
        <v>954</v>
      </c>
      <c r="J377" s="689">
        <v>190502700</v>
      </c>
      <c r="K377" s="676" t="s">
        <v>955</v>
      </c>
      <c r="L377" s="445" t="s">
        <v>42</v>
      </c>
      <c r="M377" s="445">
        <v>12</v>
      </c>
      <c r="N377" s="748"/>
      <c r="O377" s="746"/>
      <c r="P377" s="746"/>
      <c r="Q377" s="303"/>
      <c r="R377" s="303"/>
      <c r="S377" s="303"/>
      <c r="T377" s="303"/>
      <c r="U377" s="264">
        <v>75000000</v>
      </c>
      <c r="V377" s="518"/>
      <c r="W377" s="303"/>
      <c r="X377" s="303"/>
      <c r="Y377" s="461"/>
      <c r="Z377" s="303"/>
      <c r="AA377" s="332">
        <f>20000000-13438000-6562000</f>
        <v>0</v>
      </c>
      <c r="AB377" s="303"/>
      <c r="AC377" s="303"/>
      <c r="AD377" s="305">
        <f t="shared" si="138"/>
        <v>75000000</v>
      </c>
      <c r="AE377" s="305" t="s">
        <v>838</v>
      </c>
      <c r="AF377" s="149" t="s">
        <v>839</v>
      </c>
    </row>
    <row r="378" spans="1:32" ht="108.75" customHeight="1" x14ac:dyDescent="0.2">
      <c r="A378" s="297"/>
      <c r="B378" s="204"/>
      <c r="C378" s="194"/>
      <c r="D378" s="194"/>
      <c r="E378" s="574"/>
      <c r="F378" s="675"/>
      <c r="G378" s="679" t="s">
        <v>956</v>
      </c>
      <c r="H378" s="190" t="s">
        <v>1193</v>
      </c>
      <c r="I378" s="679" t="s">
        <v>957</v>
      </c>
      <c r="J378" s="689" t="s">
        <v>1350</v>
      </c>
      <c r="K378" s="206" t="s">
        <v>926</v>
      </c>
      <c r="L378" s="674" t="s">
        <v>54</v>
      </c>
      <c r="M378" s="445">
        <v>4</v>
      </c>
      <c r="N378" s="748" t="s">
        <v>958</v>
      </c>
      <c r="O378" s="746" t="s">
        <v>959</v>
      </c>
      <c r="P378" s="746" t="s">
        <v>960</v>
      </c>
      <c r="Q378" s="303"/>
      <c r="R378" s="303"/>
      <c r="S378" s="303"/>
      <c r="T378" s="303"/>
      <c r="U378" s="264">
        <v>95000000</v>
      </c>
      <c r="V378" s="460"/>
      <c r="W378" s="303"/>
      <c r="X378" s="303"/>
      <c r="Y378" s="461"/>
      <c r="Z378" s="303"/>
      <c r="AA378" s="332"/>
      <c r="AB378" s="303"/>
      <c r="AC378" s="303"/>
      <c r="AD378" s="305">
        <f t="shared" si="138"/>
        <v>95000000</v>
      </c>
      <c r="AE378" s="305" t="s">
        <v>838</v>
      </c>
      <c r="AF378" s="149" t="s">
        <v>839</v>
      </c>
    </row>
    <row r="379" spans="1:32" ht="187.5" customHeight="1" x14ac:dyDescent="0.2">
      <c r="A379" s="297"/>
      <c r="B379" s="204"/>
      <c r="C379" s="194"/>
      <c r="D379" s="194"/>
      <c r="E379" s="574"/>
      <c r="F379" s="674"/>
      <c r="G379" s="679" t="s">
        <v>951</v>
      </c>
      <c r="H379" s="190">
        <v>1905026</v>
      </c>
      <c r="I379" s="679" t="s">
        <v>952</v>
      </c>
      <c r="J379" s="689">
        <v>190502600</v>
      </c>
      <c r="K379" s="206" t="s">
        <v>953</v>
      </c>
      <c r="L379" s="674" t="s">
        <v>42</v>
      </c>
      <c r="M379" s="190">
        <v>12</v>
      </c>
      <c r="N379" s="748"/>
      <c r="O379" s="746"/>
      <c r="P379" s="746"/>
      <c r="Q379" s="303"/>
      <c r="R379" s="303"/>
      <c r="S379" s="303"/>
      <c r="T379" s="303"/>
      <c r="U379" s="264">
        <v>96000000</v>
      </c>
      <c r="V379" s="460"/>
      <c r="W379" s="297"/>
      <c r="X379" s="303"/>
      <c r="Y379" s="461"/>
      <c r="Z379" s="303"/>
      <c r="AA379" s="264">
        <v>130000000</v>
      </c>
      <c r="AB379" s="303"/>
      <c r="AC379" s="264">
        <v>210707393</v>
      </c>
      <c r="AD379" s="305">
        <f t="shared" si="138"/>
        <v>436707393</v>
      </c>
      <c r="AE379" s="305" t="s">
        <v>838</v>
      </c>
      <c r="AF379" s="519" t="s">
        <v>839</v>
      </c>
    </row>
    <row r="380" spans="1:32" ht="79.5" customHeight="1" x14ac:dyDescent="0.2">
      <c r="A380" s="297"/>
      <c r="B380" s="204"/>
      <c r="C380" s="194"/>
      <c r="D380" s="194"/>
      <c r="E380" s="574"/>
      <c r="F380" s="674"/>
      <c r="G380" s="679" t="s">
        <v>846</v>
      </c>
      <c r="H380" s="190">
        <v>1905014</v>
      </c>
      <c r="I380" s="679" t="s">
        <v>79</v>
      </c>
      <c r="J380" s="190">
        <v>190501400</v>
      </c>
      <c r="K380" s="676" t="s">
        <v>453</v>
      </c>
      <c r="L380" s="445" t="s">
        <v>42</v>
      </c>
      <c r="M380" s="445">
        <v>12</v>
      </c>
      <c r="N380" s="748" t="s">
        <v>961</v>
      </c>
      <c r="O380" s="746" t="s">
        <v>962</v>
      </c>
      <c r="P380" s="746" t="s">
        <v>963</v>
      </c>
      <c r="Q380" s="303"/>
      <c r="R380" s="303"/>
      <c r="S380" s="303"/>
      <c r="T380" s="303"/>
      <c r="U380" s="264">
        <v>43000000</v>
      </c>
      <c r="V380" s="460"/>
      <c r="W380" s="303"/>
      <c r="X380" s="303"/>
      <c r="Y380" s="461"/>
      <c r="Z380" s="303"/>
      <c r="AA380" s="329"/>
      <c r="AB380" s="303"/>
      <c r="AC380" s="303"/>
      <c r="AD380" s="305">
        <f t="shared" si="138"/>
        <v>43000000</v>
      </c>
      <c r="AE380" s="305" t="s">
        <v>838</v>
      </c>
      <c r="AF380" s="149" t="s">
        <v>839</v>
      </c>
    </row>
    <row r="381" spans="1:32" ht="166.5" customHeight="1" x14ac:dyDescent="0.2">
      <c r="A381" s="297"/>
      <c r="B381" s="204"/>
      <c r="C381" s="194"/>
      <c r="D381" s="194"/>
      <c r="E381" s="574"/>
      <c r="F381" s="674"/>
      <c r="G381" s="679" t="s">
        <v>951</v>
      </c>
      <c r="H381" s="190">
        <v>1905026</v>
      </c>
      <c r="I381" s="679" t="s">
        <v>964</v>
      </c>
      <c r="J381" s="689">
        <v>190502600</v>
      </c>
      <c r="K381" s="206" t="s">
        <v>953</v>
      </c>
      <c r="L381" s="674" t="s">
        <v>42</v>
      </c>
      <c r="M381" s="190">
        <v>12</v>
      </c>
      <c r="N381" s="748"/>
      <c r="O381" s="746"/>
      <c r="P381" s="746"/>
      <c r="Q381" s="303"/>
      <c r="R381" s="303"/>
      <c r="S381" s="303"/>
      <c r="T381" s="303"/>
      <c r="U381" s="303"/>
      <c r="V381" s="460"/>
      <c r="W381" s="303"/>
      <c r="X381" s="303"/>
      <c r="Y381" s="461"/>
      <c r="Z381" s="303"/>
      <c r="AA381" s="329"/>
      <c r="AB381" s="303"/>
      <c r="AC381" s="332">
        <v>182146964</v>
      </c>
      <c r="AD381" s="305">
        <f t="shared" si="138"/>
        <v>182146964</v>
      </c>
      <c r="AE381" s="305" t="s">
        <v>838</v>
      </c>
      <c r="AF381" s="149" t="s">
        <v>839</v>
      </c>
    </row>
    <row r="382" spans="1:32" ht="188.25" customHeight="1" x14ac:dyDescent="0.2">
      <c r="A382" s="297"/>
      <c r="B382" s="204"/>
      <c r="C382" s="194"/>
      <c r="D382" s="194"/>
      <c r="E382" s="574"/>
      <c r="F382" s="208"/>
      <c r="G382" s="679" t="s">
        <v>951</v>
      </c>
      <c r="H382" s="190">
        <v>1905026</v>
      </c>
      <c r="I382" s="679" t="s">
        <v>952</v>
      </c>
      <c r="J382" s="689">
        <v>190502600</v>
      </c>
      <c r="K382" s="206" t="s">
        <v>953</v>
      </c>
      <c r="L382" s="674" t="s">
        <v>42</v>
      </c>
      <c r="M382" s="190">
        <v>12</v>
      </c>
      <c r="N382" s="266" t="s">
        <v>965</v>
      </c>
      <c r="O382" s="187" t="s">
        <v>966</v>
      </c>
      <c r="P382" s="187" t="s">
        <v>967</v>
      </c>
      <c r="Q382" s="303"/>
      <c r="R382" s="303"/>
      <c r="S382" s="303"/>
      <c r="T382" s="303"/>
      <c r="U382" s="303"/>
      <c r="V382" s="520"/>
      <c r="W382" s="303"/>
      <c r="X382" s="303"/>
      <c r="Y382" s="461"/>
      <c r="Z382" s="303"/>
      <c r="AA382" s="332">
        <f>500000000-398675151+36000000+100000000+10000000+252675151</f>
        <v>500000000</v>
      </c>
      <c r="AB382" s="303"/>
      <c r="AC382" s="303">
        <v>0</v>
      </c>
      <c r="AD382" s="305">
        <f t="shared" si="138"/>
        <v>500000000</v>
      </c>
      <c r="AE382" s="305" t="s">
        <v>838</v>
      </c>
      <c r="AF382" s="149" t="s">
        <v>839</v>
      </c>
    </row>
    <row r="383" spans="1:32" ht="120" customHeight="1" x14ac:dyDescent="0.2">
      <c r="A383" s="297"/>
      <c r="B383" s="204"/>
      <c r="C383" s="194"/>
      <c r="D383" s="194"/>
      <c r="E383" s="574"/>
      <c r="F383" s="674"/>
      <c r="G383" s="679" t="s">
        <v>851</v>
      </c>
      <c r="H383" s="190">
        <v>1905030</v>
      </c>
      <c r="I383" s="679" t="s">
        <v>968</v>
      </c>
      <c r="J383" s="689">
        <v>190503000</v>
      </c>
      <c r="K383" s="206" t="s">
        <v>969</v>
      </c>
      <c r="L383" s="445" t="s">
        <v>42</v>
      </c>
      <c r="M383" s="445">
        <v>60</v>
      </c>
      <c r="N383" s="266" t="s">
        <v>970</v>
      </c>
      <c r="O383" s="187" t="s">
        <v>971</v>
      </c>
      <c r="P383" s="187" t="s">
        <v>972</v>
      </c>
      <c r="Q383" s="303"/>
      <c r="R383" s="303"/>
      <c r="S383" s="303"/>
      <c r="T383" s="303"/>
      <c r="U383" s="264">
        <v>20000000</v>
      </c>
      <c r="V383" s="460"/>
      <c r="W383" s="303"/>
      <c r="X383" s="303"/>
      <c r="Y383" s="461"/>
      <c r="Z383" s="303"/>
      <c r="AA383" s="329"/>
      <c r="AB383" s="303"/>
      <c r="AC383" s="303"/>
      <c r="AD383" s="305">
        <f t="shared" si="138"/>
        <v>20000000</v>
      </c>
      <c r="AE383" s="305" t="s">
        <v>838</v>
      </c>
      <c r="AF383" s="149" t="s">
        <v>839</v>
      </c>
    </row>
    <row r="384" spans="1:32" ht="93.75" customHeight="1" x14ac:dyDescent="0.2">
      <c r="A384" s="297"/>
      <c r="B384" s="204"/>
      <c r="C384" s="194"/>
      <c r="D384" s="194"/>
      <c r="E384" s="574"/>
      <c r="F384" s="674"/>
      <c r="G384" s="679" t="s">
        <v>891</v>
      </c>
      <c r="H384" s="190">
        <v>1905025</v>
      </c>
      <c r="I384" s="719" t="s">
        <v>973</v>
      </c>
      <c r="J384" s="689">
        <v>190502500</v>
      </c>
      <c r="K384" s="206" t="s">
        <v>974</v>
      </c>
      <c r="L384" s="445" t="s">
        <v>42</v>
      </c>
      <c r="M384" s="445">
        <v>12</v>
      </c>
      <c r="N384" s="266" t="s">
        <v>975</v>
      </c>
      <c r="O384" s="187" t="s">
        <v>976</v>
      </c>
      <c r="P384" s="187" t="s">
        <v>977</v>
      </c>
      <c r="Q384" s="303"/>
      <c r="R384" s="303"/>
      <c r="S384" s="303"/>
      <c r="T384" s="303"/>
      <c r="U384" s="264">
        <v>84414100</v>
      </c>
      <c r="V384" s="460"/>
      <c r="W384" s="303"/>
      <c r="X384" s="303"/>
      <c r="Y384" s="461"/>
      <c r="Z384" s="303"/>
      <c r="AA384" s="329"/>
      <c r="AB384" s="303"/>
      <c r="AC384" s="303"/>
      <c r="AD384" s="305">
        <f t="shared" si="138"/>
        <v>84414100</v>
      </c>
      <c r="AE384" s="305" t="s">
        <v>838</v>
      </c>
      <c r="AF384" s="149" t="s">
        <v>839</v>
      </c>
    </row>
    <row r="385" spans="1:72" s="82" customFormat="1" ht="86.25" customHeight="1" x14ac:dyDescent="0.2">
      <c r="A385" s="573"/>
      <c r="B385" s="194"/>
      <c r="C385" s="194"/>
      <c r="D385" s="194"/>
      <c r="E385" s="574"/>
      <c r="F385" s="208"/>
      <c r="G385" s="679" t="s">
        <v>856</v>
      </c>
      <c r="H385" s="190">
        <v>1905015</v>
      </c>
      <c r="I385" s="679" t="s">
        <v>59</v>
      </c>
      <c r="J385" s="190">
        <v>190501503</v>
      </c>
      <c r="K385" s="676" t="s">
        <v>978</v>
      </c>
      <c r="L385" s="445" t="s">
        <v>42</v>
      </c>
      <c r="M385" s="445">
        <v>15</v>
      </c>
      <c r="N385" s="266" t="s">
        <v>979</v>
      </c>
      <c r="O385" s="191" t="s">
        <v>980</v>
      </c>
      <c r="P385" s="191" t="s">
        <v>981</v>
      </c>
      <c r="Q385" s="303"/>
      <c r="R385" s="303"/>
      <c r="S385" s="303"/>
      <c r="T385" s="303">
        <f>100000000-100000000</f>
        <v>0</v>
      </c>
      <c r="U385" s="396">
        <v>320000000</v>
      </c>
      <c r="V385" s="460"/>
      <c r="W385" s="303"/>
      <c r="X385" s="303"/>
      <c r="Y385" s="461"/>
      <c r="Z385" s="303"/>
      <c r="AA385" s="329"/>
      <c r="AB385" s="303"/>
      <c r="AC385" s="303"/>
      <c r="AD385" s="575">
        <f t="shared" si="138"/>
        <v>320000000</v>
      </c>
      <c r="AE385" s="575" t="s">
        <v>838</v>
      </c>
      <c r="AF385" s="577" t="s">
        <v>839</v>
      </c>
    </row>
    <row r="386" spans="1:72" ht="63.75" customHeight="1" x14ac:dyDescent="0.2">
      <c r="A386" s="297"/>
      <c r="B386" s="204"/>
      <c r="C386" s="194"/>
      <c r="D386" s="194"/>
      <c r="E386" s="190"/>
      <c r="F386" s="674"/>
      <c r="G386" s="679" t="s">
        <v>982</v>
      </c>
      <c r="H386" s="190" t="s">
        <v>983</v>
      </c>
      <c r="I386" s="679" t="s">
        <v>984</v>
      </c>
      <c r="J386" s="190" t="s">
        <v>985</v>
      </c>
      <c r="K386" s="676" t="s">
        <v>986</v>
      </c>
      <c r="L386" s="445" t="s">
        <v>42</v>
      </c>
      <c r="M386" s="445">
        <v>1</v>
      </c>
      <c r="N386" s="266" t="s">
        <v>987</v>
      </c>
      <c r="O386" s="187" t="s">
        <v>988</v>
      </c>
      <c r="P386" s="187" t="s">
        <v>989</v>
      </c>
      <c r="Q386" s="303"/>
      <c r="R386" s="303"/>
      <c r="S386" s="303"/>
      <c r="T386" s="303"/>
      <c r="U386" s="264"/>
      <c r="V386" s="521"/>
      <c r="W386" s="303"/>
      <c r="X386" s="303"/>
      <c r="Y386" s="461"/>
      <c r="Z386" s="303"/>
      <c r="AA386" s="332">
        <v>300000000</v>
      </c>
      <c r="AB386" s="303"/>
      <c r="AC386" s="303"/>
      <c r="AD386" s="305">
        <f t="shared" si="138"/>
        <v>300000000</v>
      </c>
      <c r="AE386" s="305" t="s">
        <v>838</v>
      </c>
      <c r="AF386" s="149" t="s">
        <v>839</v>
      </c>
    </row>
    <row r="387" spans="1:72" ht="88.5" customHeight="1" x14ac:dyDescent="0.2">
      <c r="A387" s="297"/>
      <c r="B387" s="204"/>
      <c r="C387" s="194"/>
      <c r="D387" s="194"/>
      <c r="E387" s="574"/>
      <c r="F387" s="674"/>
      <c r="G387" s="679" t="s">
        <v>840</v>
      </c>
      <c r="H387" s="578">
        <v>1905031</v>
      </c>
      <c r="I387" s="679" t="s">
        <v>910</v>
      </c>
      <c r="J387" s="190">
        <v>190503100</v>
      </c>
      <c r="K387" s="676" t="s">
        <v>911</v>
      </c>
      <c r="L387" s="445" t="s">
        <v>42</v>
      </c>
      <c r="M387" s="445">
        <v>12</v>
      </c>
      <c r="N387" s="266" t="s">
        <v>990</v>
      </c>
      <c r="O387" s="187" t="s">
        <v>991</v>
      </c>
      <c r="P387" s="187" t="s">
        <v>992</v>
      </c>
      <c r="Q387" s="303"/>
      <c r="R387" s="303"/>
      <c r="S387" s="303"/>
      <c r="T387" s="303"/>
      <c r="U387" s="264">
        <v>1263850000</v>
      </c>
      <c r="V387" s="460"/>
      <c r="W387" s="303"/>
      <c r="X387" s="303"/>
      <c r="Y387" s="461"/>
      <c r="Z387" s="303"/>
      <c r="AA387" s="329"/>
      <c r="AB387" s="303"/>
      <c r="AC387" s="303"/>
      <c r="AD387" s="305">
        <f t="shared" si="138"/>
        <v>1263850000</v>
      </c>
      <c r="AE387" s="305" t="s">
        <v>838</v>
      </c>
      <c r="AF387" s="149" t="s">
        <v>839</v>
      </c>
    </row>
    <row r="388" spans="1:72" ht="33.75" customHeight="1" x14ac:dyDescent="0.2">
      <c r="A388" s="297"/>
      <c r="B388" s="204"/>
      <c r="C388" s="204"/>
      <c r="D388" s="204"/>
      <c r="E388" s="309">
        <v>1906</v>
      </c>
      <c r="F388" s="188" t="s">
        <v>1325</v>
      </c>
      <c r="G388" s="366"/>
      <c r="H388" s="307"/>
      <c r="I388" s="308"/>
      <c r="J388" s="309"/>
      <c r="K388" s="299"/>
      <c r="L388" s="310"/>
      <c r="M388" s="309"/>
      <c r="N388" s="311"/>
      <c r="O388" s="299"/>
      <c r="P388" s="299"/>
      <c r="Q388" s="300">
        <f t="shared" ref="Q388:AB388" si="140">SUM(Q389:Q394)</f>
        <v>0</v>
      </c>
      <c r="R388" s="300">
        <f t="shared" si="140"/>
        <v>0</v>
      </c>
      <c r="S388" s="300">
        <f t="shared" si="140"/>
        <v>0</v>
      </c>
      <c r="T388" s="300">
        <f t="shared" si="140"/>
        <v>400000000</v>
      </c>
      <c r="U388" s="300">
        <f>SUM(U389:U398)</f>
        <v>2224028029</v>
      </c>
      <c r="V388" s="522">
        <f>SUM(V389:V398)</f>
        <v>35151756555</v>
      </c>
      <c r="W388" s="300">
        <f t="shared" si="140"/>
        <v>0</v>
      </c>
      <c r="X388" s="300">
        <f t="shared" si="140"/>
        <v>0</v>
      </c>
      <c r="Y388" s="523">
        <f t="shared" si="140"/>
        <v>0</v>
      </c>
      <c r="Z388" s="300">
        <f t="shared" si="140"/>
        <v>0</v>
      </c>
      <c r="AA388" s="300">
        <f>SUM(AA389:AA398)</f>
        <v>230390000</v>
      </c>
      <c r="AB388" s="300">
        <f t="shared" si="140"/>
        <v>0</v>
      </c>
      <c r="AC388" s="300">
        <f>SUM(AC389:AC398)</f>
        <v>1361612640</v>
      </c>
      <c r="AD388" s="300">
        <f>SUM(AD389:AD398)</f>
        <v>39367787224</v>
      </c>
      <c r="AE388" s="300"/>
      <c r="AF388" s="312"/>
    </row>
    <row r="389" spans="1:72" ht="93" customHeight="1" x14ac:dyDescent="0.2">
      <c r="A389" s="297"/>
      <c r="B389" s="204"/>
      <c r="C389" s="204"/>
      <c r="D389" s="204"/>
      <c r="E389" s="200"/>
      <c r="F389" s="209"/>
      <c r="G389" s="195" t="s">
        <v>891</v>
      </c>
      <c r="H389" s="197">
        <v>1906032</v>
      </c>
      <c r="I389" s="195" t="s">
        <v>993</v>
      </c>
      <c r="J389" s="219">
        <v>190603200</v>
      </c>
      <c r="K389" s="187" t="s">
        <v>994</v>
      </c>
      <c r="L389" s="378" t="s">
        <v>54</v>
      </c>
      <c r="M389" s="261">
        <v>1500</v>
      </c>
      <c r="N389" s="748" t="s">
        <v>995</v>
      </c>
      <c r="O389" s="746" t="s">
        <v>996</v>
      </c>
      <c r="P389" s="746" t="s">
        <v>997</v>
      </c>
      <c r="Q389" s="303"/>
      <c r="R389" s="303"/>
      <c r="S389" s="303"/>
      <c r="T389" s="303"/>
      <c r="U389" s="303"/>
      <c r="V389" s="524">
        <v>0</v>
      </c>
      <c r="W389" s="303"/>
      <c r="X389" s="303"/>
      <c r="Y389" s="461"/>
      <c r="Z389" s="303"/>
      <c r="AA389" s="329"/>
      <c r="AB389" s="303"/>
      <c r="AC389" s="303"/>
      <c r="AD389" s="305">
        <f t="shared" si="138"/>
        <v>0</v>
      </c>
      <c r="AE389" s="305" t="s">
        <v>838</v>
      </c>
      <c r="AF389" s="149" t="s">
        <v>839</v>
      </c>
    </row>
    <row r="390" spans="1:72" ht="87.75" customHeight="1" x14ac:dyDescent="0.2">
      <c r="A390" s="297"/>
      <c r="B390" s="204"/>
      <c r="C390" s="204"/>
      <c r="D390" s="204"/>
      <c r="E390" s="200"/>
      <c r="F390" s="209"/>
      <c r="G390" s="195" t="s">
        <v>998</v>
      </c>
      <c r="H390" s="196">
        <v>1906023</v>
      </c>
      <c r="I390" s="186" t="s">
        <v>1196</v>
      </c>
      <c r="J390" s="196">
        <v>190602300</v>
      </c>
      <c r="K390" s="191" t="s">
        <v>999</v>
      </c>
      <c r="L390" s="445" t="s">
        <v>42</v>
      </c>
      <c r="M390" s="261">
        <v>19899</v>
      </c>
      <c r="N390" s="748"/>
      <c r="O390" s="746"/>
      <c r="P390" s="746"/>
      <c r="Q390" s="303"/>
      <c r="R390" s="303"/>
      <c r="S390" s="303"/>
      <c r="T390" s="303"/>
      <c r="U390" s="303"/>
      <c r="V390" s="510">
        <f>31408028135-56769013</f>
        <v>31351259122</v>
      </c>
      <c r="W390" s="303"/>
      <c r="X390" s="303"/>
      <c r="Y390" s="461"/>
      <c r="Z390" s="303"/>
      <c r="AA390" s="329">
        <v>0</v>
      </c>
      <c r="AB390" s="303"/>
      <c r="AC390" s="303"/>
      <c r="AD390" s="305">
        <f>+Q390+R390+S390+T390+U390+V390+W390+X390+Y390+Z390+AA390+AB390+AC390</f>
        <v>31351259122</v>
      </c>
      <c r="AE390" s="305" t="s">
        <v>838</v>
      </c>
      <c r="AF390" s="149" t="s">
        <v>839</v>
      </c>
    </row>
    <row r="391" spans="1:72" ht="60" customHeight="1" x14ac:dyDescent="0.2">
      <c r="A391" s="297"/>
      <c r="B391" s="204"/>
      <c r="C391" s="204"/>
      <c r="D391" s="204"/>
      <c r="E391" s="197"/>
      <c r="F391" s="209"/>
      <c r="G391" s="195" t="s">
        <v>998</v>
      </c>
      <c r="H391" s="228">
        <v>1906023</v>
      </c>
      <c r="I391" s="186" t="s">
        <v>1000</v>
      </c>
      <c r="J391" s="227">
        <v>190602301</v>
      </c>
      <c r="K391" s="246" t="s">
        <v>1001</v>
      </c>
      <c r="L391" s="378" t="s">
        <v>42</v>
      </c>
      <c r="M391" s="261">
        <v>60</v>
      </c>
      <c r="N391" s="748" t="s">
        <v>1002</v>
      </c>
      <c r="O391" s="746" t="s">
        <v>1260</v>
      </c>
      <c r="P391" s="746" t="s">
        <v>1003</v>
      </c>
      <c r="Q391" s="303"/>
      <c r="R391" s="303"/>
      <c r="S391" s="303"/>
      <c r="T391" s="303"/>
      <c r="U391" s="303"/>
      <c r="V391" s="510">
        <v>115688008</v>
      </c>
      <c r="W391" s="303"/>
      <c r="X391" s="303"/>
      <c r="Y391" s="461"/>
      <c r="Z391" s="303"/>
      <c r="AA391" s="329"/>
      <c r="AB391" s="303"/>
      <c r="AC391" s="264">
        <v>1361612640</v>
      </c>
      <c r="AD391" s="305">
        <f t="shared" si="138"/>
        <v>1477300648</v>
      </c>
      <c r="AE391" s="305" t="s">
        <v>838</v>
      </c>
      <c r="AF391" s="149" t="s">
        <v>839</v>
      </c>
    </row>
    <row r="392" spans="1:72" ht="84" customHeight="1" x14ac:dyDescent="0.2">
      <c r="A392" s="297"/>
      <c r="B392" s="204"/>
      <c r="C392" s="204"/>
      <c r="D392" s="204"/>
      <c r="E392" s="197"/>
      <c r="F392" s="209"/>
      <c r="G392" s="195" t="s">
        <v>998</v>
      </c>
      <c r="H392" s="723">
        <v>1906025</v>
      </c>
      <c r="I392" s="720" t="s">
        <v>1198</v>
      </c>
      <c r="J392" s="228">
        <v>190602500</v>
      </c>
      <c r="K392" s="246" t="s">
        <v>1004</v>
      </c>
      <c r="L392" s="378" t="s">
        <v>42</v>
      </c>
      <c r="M392" s="261">
        <v>100</v>
      </c>
      <c r="N392" s="748"/>
      <c r="O392" s="746"/>
      <c r="P392" s="746"/>
      <c r="Q392" s="303"/>
      <c r="R392" s="303"/>
      <c r="S392" s="303"/>
      <c r="T392" s="264">
        <f>100000000+300000000</f>
        <v>400000000</v>
      </c>
      <c r="U392" s="264">
        <v>2224028029</v>
      </c>
      <c r="V392" s="525"/>
      <c r="W392" s="303"/>
      <c r="X392" s="303"/>
      <c r="Y392" s="461"/>
      <c r="Z392" s="303"/>
      <c r="AA392" s="329"/>
      <c r="AB392" s="303"/>
      <c r="AC392" s="303"/>
      <c r="AD392" s="305">
        <f t="shared" si="138"/>
        <v>2624028029</v>
      </c>
      <c r="AE392" s="305" t="s">
        <v>838</v>
      </c>
      <c r="AF392" s="149" t="s">
        <v>839</v>
      </c>
    </row>
    <row r="393" spans="1:72" ht="53.25" customHeight="1" x14ac:dyDescent="0.2">
      <c r="A393" s="297"/>
      <c r="B393" s="204"/>
      <c r="C393" s="204"/>
      <c r="D393" s="204"/>
      <c r="E393" s="197"/>
      <c r="F393" s="209"/>
      <c r="G393" s="195" t="s">
        <v>998</v>
      </c>
      <c r="H393" s="723">
        <v>1906025</v>
      </c>
      <c r="I393" s="720" t="s">
        <v>1005</v>
      </c>
      <c r="J393" s="228">
        <v>190602500</v>
      </c>
      <c r="K393" s="246" t="s">
        <v>1006</v>
      </c>
      <c r="L393" s="378" t="s">
        <v>42</v>
      </c>
      <c r="M393" s="261">
        <v>100</v>
      </c>
      <c r="N393" s="748"/>
      <c r="O393" s="746"/>
      <c r="P393" s="746"/>
      <c r="Q393" s="303"/>
      <c r="R393" s="303"/>
      <c r="S393" s="303"/>
      <c r="T393" s="264"/>
      <c r="U393" s="264"/>
      <c r="V393" s="458">
        <v>3684809425</v>
      </c>
      <c r="W393" s="303"/>
      <c r="X393" s="303"/>
      <c r="Y393" s="461"/>
      <c r="Z393" s="303"/>
      <c r="AA393" s="329"/>
      <c r="AB393" s="303"/>
      <c r="AC393" s="303"/>
      <c r="AD393" s="305">
        <f t="shared" si="138"/>
        <v>3684809425</v>
      </c>
      <c r="AE393" s="305" t="s">
        <v>838</v>
      </c>
      <c r="AF393" s="149" t="s">
        <v>839</v>
      </c>
    </row>
    <row r="394" spans="1:72" ht="95.25" customHeight="1" x14ac:dyDescent="0.2">
      <c r="A394" s="297"/>
      <c r="B394" s="204"/>
      <c r="C394" s="204"/>
      <c r="D394" s="204"/>
      <c r="E394" s="197"/>
      <c r="F394" s="209"/>
      <c r="G394" s="195" t="s">
        <v>1007</v>
      </c>
      <c r="H394" s="197">
        <v>1906029</v>
      </c>
      <c r="I394" s="195" t="s">
        <v>1008</v>
      </c>
      <c r="J394" s="219">
        <v>190602900</v>
      </c>
      <c r="K394" s="246" t="s">
        <v>1009</v>
      </c>
      <c r="L394" s="378" t="s">
        <v>42</v>
      </c>
      <c r="M394" s="261">
        <v>40</v>
      </c>
      <c r="N394" s="748" t="s">
        <v>1010</v>
      </c>
      <c r="O394" s="746" t="s">
        <v>1011</v>
      </c>
      <c r="P394" s="746" t="s">
        <v>1012</v>
      </c>
      <c r="Q394" s="303"/>
      <c r="R394" s="303"/>
      <c r="S394" s="303"/>
      <c r="T394" s="303"/>
      <c r="U394" s="303"/>
      <c r="V394" s="510"/>
      <c r="W394" s="303"/>
      <c r="X394" s="303"/>
      <c r="Y394" s="461"/>
      <c r="Z394" s="303"/>
      <c r="AA394" s="332">
        <v>150390000</v>
      </c>
      <c r="AB394" s="303"/>
      <c r="AC394" s="303"/>
      <c r="AD394" s="305">
        <f t="shared" si="138"/>
        <v>150390000</v>
      </c>
      <c r="AE394" s="305" t="s">
        <v>838</v>
      </c>
      <c r="AF394" s="149" t="s">
        <v>839</v>
      </c>
    </row>
    <row r="395" spans="1:72" s="4" customFormat="1" ht="87.75" customHeight="1" x14ac:dyDescent="0.2">
      <c r="A395" s="140"/>
      <c r="B395" s="223"/>
      <c r="C395" s="223"/>
      <c r="D395" s="223"/>
      <c r="E395" s="226"/>
      <c r="F395" s="222"/>
      <c r="G395" s="186" t="s">
        <v>891</v>
      </c>
      <c r="H395" s="196">
        <v>1906032</v>
      </c>
      <c r="I395" s="186" t="s">
        <v>993</v>
      </c>
      <c r="J395" s="227">
        <v>190603200</v>
      </c>
      <c r="K395" s="267" t="s">
        <v>994</v>
      </c>
      <c r="L395" s="261" t="s">
        <v>54</v>
      </c>
      <c r="M395" s="261">
        <v>1500</v>
      </c>
      <c r="N395" s="748"/>
      <c r="O395" s="746"/>
      <c r="P395" s="746"/>
      <c r="Q395" s="264"/>
      <c r="R395" s="264"/>
      <c r="S395" s="264"/>
      <c r="T395" s="264"/>
      <c r="U395" s="264"/>
      <c r="V395" s="524"/>
      <c r="W395" s="264"/>
      <c r="X395" s="264"/>
      <c r="Y395" s="459"/>
      <c r="Z395" s="264"/>
      <c r="AA395" s="332">
        <v>20000000</v>
      </c>
      <c r="AB395" s="264"/>
      <c r="AC395" s="264"/>
      <c r="AD395" s="411">
        <f>+Q395+R395+S395+T395+U395+V395+W395+X395+Y395+Z395+AA395+AB395+AC395</f>
        <v>20000000</v>
      </c>
      <c r="AE395" s="305" t="s">
        <v>838</v>
      </c>
      <c r="AF395" s="149" t="s">
        <v>839</v>
      </c>
    </row>
    <row r="396" spans="1:72" ht="119.25" customHeight="1" x14ac:dyDescent="0.2">
      <c r="A396" s="297"/>
      <c r="B396" s="204"/>
      <c r="C396" s="204"/>
      <c r="D396" s="204"/>
      <c r="E396" s="197"/>
      <c r="F396" s="209"/>
      <c r="G396" s="195" t="s">
        <v>1013</v>
      </c>
      <c r="H396" s="197">
        <v>1906005</v>
      </c>
      <c r="I396" s="195" t="s">
        <v>1014</v>
      </c>
      <c r="J396" s="219">
        <v>190600500</v>
      </c>
      <c r="K396" s="246" t="s">
        <v>1014</v>
      </c>
      <c r="L396" s="378" t="s">
        <v>54</v>
      </c>
      <c r="M396" s="261">
        <v>2</v>
      </c>
      <c r="N396" s="748"/>
      <c r="O396" s="746"/>
      <c r="P396" s="746"/>
      <c r="Q396" s="303"/>
      <c r="R396" s="303"/>
      <c r="S396" s="303"/>
      <c r="T396" s="303"/>
      <c r="U396" s="303"/>
      <c r="V396" s="510"/>
      <c r="W396" s="303"/>
      <c r="X396" s="303"/>
      <c r="Y396" s="461"/>
      <c r="Z396" s="303"/>
      <c r="AA396" s="329">
        <v>20000000</v>
      </c>
      <c r="AB396" s="303"/>
      <c r="AC396" s="303"/>
      <c r="AD396" s="411">
        <f>+Q396+R396+S396+T396+U396+V396+W396+X396+Y396+Z396+AA396+AB396+AC396</f>
        <v>20000000</v>
      </c>
      <c r="AE396" s="305" t="s">
        <v>838</v>
      </c>
      <c r="AF396" s="149" t="s">
        <v>839</v>
      </c>
    </row>
    <row r="397" spans="1:72" ht="96.75" customHeight="1" x14ac:dyDescent="0.2">
      <c r="A397" s="297"/>
      <c r="B397" s="204"/>
      <c r="C397" s="204"/>
      <c r="D397" s="204"/>
      <c r="E397" s="197"/>
      <c r="F397" s="209"/>
      <c r="G397" s="195" t="s">
        <v>840</v>
      </c>
      <c r="H397" s="197">
        <v>1906022</v>
      </c>
      <c r="I397" s="195" t="s">
        <v>1015</v>
      </c>
      <c r="J397" s="219">
        <v>190602200</v>
      </c>
      <c r="K397" s="246" t="s">
        <v>1016</v>
      </c>
      <c r="L397" s="378" t="s">
        <v>54</v>
      </c>
      <c r="M397" s="261">
        <v>1</v>
      </c>
      <c r="N397" s="748"/>
      <c r="O397" s="746"/>
      <c r="P397" s="746"/>
      <c r="Q397" s="303"/>
      <c r="R397" s="303"/>
      <c r="S397" s="303"/>
      <c r="T397" s="303"/>
      <c r="U397" s="303"/>
      <c r="V397" s="510"/>
      <c r="W397" s="303"/>
      <c r="X397" s="303"/>
      <c r="Y397" s="461"/>
      <c r="Z397" s="303"/>
      <c r="AA397" s="329">
        <v>20000000</v>
      </c>
      <c r="AB397" s="303"/>
      <c r="AC397" s="303"/>
      <c r="AD397" s="411">
        <f>+Q397+R397+S397+T397+U397+V397+W397+X397+Y397+Z397+AA397+AB397+AC397</f>
        <v>20000000</v>
      </c>
      <c r="AE397" s="305" t="s">
        <v>838</v>
      </c>
      <c r="AF397" s="149" t="s">
        <v>839</v>
      </c>
    </row>
    <row r="398" spans="1:72" ht="94.5" customHeight="1" x14ac:dyDescent="0.2">
      <c r="A398" s="297"/>
      <c r="B398" s="204"/>
      <c r="C398" s="204"/>
      <c r="D398" s="204"/>
      <c r="E398" s="197"/>
      <c r="F398" s="209"/>
      <c r="G398" s="195" t="s">
        <v>998</v>
      </c>
      <c r="H398" s="228">
        <v>1906023</v>
      </c>
      <c r="I398" s="186" t="s">
        <v>1000</v>
      </c>
      <c r="J398" s="227">
        <v>190602301</v>
      </c>
      <c r="K398" s="246" t="s">
        <v>1017</v>
      </c>
      <c r="L398" s="378" t="s">
        <v>42</v>
      </c>
      <c r="M398" s="261">
        <v>40</v>
      </c>
      <c r="N398" s="748"/>
      <c r="O398" s="746"/>
      <c r="P398" s="746"/>
      <c r="Q398" s="303"/>
      <c r="R398" s="303"/>
      <c r="S398" s="303"/>
      <c r="T398" s="303"/>
      <c r="U398" s="303"/>
      <c r="V398" s="510"/>
      <c r="W398" s="303"/>
      <c r="X398" s="303"/>
      <c r="Y398" s="461"/>
      <c r="Z398" s="303"/>
      <c r="AA398" s="329">
        <v>20000000</v>
      </c>
      <c r="AB398" s="303"/>
      <c r="AC398" s="303"/>
      <c r="AD398" s="411">
        <f>+Q398+R398+S398+T398+U398+V398+W398+X398+Y398+Z398+AA398+AB398+AC398</f>
        <v>20000000</v>
      </c>
      <c r="AE398" s="305" t="s">
        <v>838</v>
      </c>
      <c r="AF398" s="149" t="s">
        <v>839</v>
      </c>
    </row>
    <row r="399" spans="1:72" s="122" customFormat="1" ht="28.5" customHeight="1" x14ac:dyDescent="0.2">
      <c r="A399" s="315"/>
      <c r="B399" s="336"/>
      <c r="C399" s="336"/>
      <c r="D399" s="336"/>
      <c r="E399" s="337"/>
      <c r="F399" s="338"/>
      <c r="G399" s="319"/>
      <c r="H399" s="337"/>
      <c r="I399" s="319"/>
      <c r="J399" s="320"/>
      <c r="K399" s="318"/>
      <c r="L399" s="338"/>
      <c r="M399" s="320"/>
      <c r="N399" s="338"/>
      <c r="O399" s="318"/>
      <c r="P399" s="318"/>
      <c r="Q399" s="315"/>
      <c r="R399" s="315"/>
      <c r="S399" s="315"/>
      <c r="T399" s="315"/>
      <c r="U399" s="315"/>
      <c r="V399" s="315"/>
      <c r="W399" s="526"/>
      <c r="X399" s="420"/>
      <c r="Y399" s="315"/>
      <c r="Z399" s="315"/>
      <c r="AA399" s="421"/>
      <c r="AB399" s="315"/>
      <c r="AC399" s="315"/>
      <c r="AD399" s="420"/>
      <c r="AE399" s="420"/>
      <c r="AF399" s="430"/>
      <c r="AG399" s="117"/>
      <c r="AH399" s="117"/>
      <c r="AI399" s="117"/>
      <c r="AJ399" s="117"/>
      <c r="AK399" s="117"/>
      <c r="AL399" s="117"/>
      <c r="AM399" s="117"/>
      <c r="AN399" s="117"/>
      <c r="AO399" s="117"/>
      <c r="AP399" s="117"/>
      <c r="AQ399" s="117"/>
      <c r="AR399" s="117"/>
      <c r="AS399" s="117"/>
      <c r="AT399" s="117"/>
      <c r="AU399" s="117"/>
      <c r="AV399" s="117"/>
      <c r="AW399" s="117"/>
      <c r="AX399" s="117"/>
      <c r="AY399" s="117"/>
      <c r="AZ399" s="117"/>
      <c r="BA399" s="117"/>
      <c r="BB399" s="117"/>
      <c r="BC399" s="117"/>
      <c r="BD399" s="117"/>
      <c r="BE399" s="117"/>
      <c r="BF399" s="117"/>
      <c r="BG399" s="117"/>
      <c r="BH399" s="117"/>
      <c r="BI399" s="117"/>
      <c r="BJ399" s="117"/>
      <c r="BK399" s="117"/>
      <c r="BL399" s="117"/>
      <c r="BM399" s="117"/>
      <c r="BN399" s="117"/>
      <c r="BO399" s="117"/>
      <c r="BP399" s="117"/>
      <c r="BQ399" s="117"/>
      <c r="BR399" s="117"/>
      <c r="BS399" s="117"/>
      <c r="BT399" s="117"/>
    </row>
    <row r="400" spans="1:72" s="672" customFormat="1" ht="29.25" customHeight="1" x14ac:dyDescent="0.25">
      <c r="A400" s="56" t="s">
        <v>1018</v>
      </c>
      <c r="B400" s="56"/>
      <c r="C400" s="56"/>
      <c r="D400" s="56"/>
      <c r="E400" s="57"/>
      <c r="F400" s="58"/>
      <c r="G400" s="650"/>
      <c r="H400" s="653"/>
      <c r="I400" s="650"/>
      <c r="J400" s="654"/>
      <c r="K400" s="655"/>
      <c r="L400" s="656"/>
      <c r="M400" s="654"/>
      <c r="N400" s="58"/>
      <c r="O400" s="655"/>
      <c r="P400" s="655"/>
      <c r="Q400" s="651">
        <f t="shared" ref="Q400:AD400" si="141">+Q401+Q419+Q427</f>
        <v>0</v>
      </c>
      <c r="R400" s="651">
        <f t="shared" si="141"/>
        <v>0</v>
      </c>
      <c r="S400" s="651">
        <f t="shared" si="141"/>
        <v>0</v>
      </c>
      <c r="T400" s="651">
        <f t="shared" si="141"/>
        <v>0</v>
      </c>
      <c r="U400" s="651">
        <f t="shared" si="141"/>
        <v>0</v>
      </c>
      <c r="V400" s="651">
        <f t="shared" si="141"/>
        <v>0</v>
      </c>
      <c r="W400" s="651">
        <f t="shared" si="141"/>
        <v>0</v>
      </c>
      <c r="X400" s="651">
        <f t="shared" si="141"/>
        <v>0</v>
      </c>
      <c r="Y400" s="651">
        <f t="shared" si="141"/>
        <v>0</v>
      </c>
      <c r="Z400" s="651">
        <f t="shared" si="141"/>
        <v>0</v>
      </c>
      <c r="AA400" s="651">
        <f t="shared" si="141"/>
        <v>896000000</v>
      </c>
      <c r="AB400" s="651">
        <f t="shared" si="141"/>
        <v>0</v>
      </c>
      <c r="AC400" s="651">
        <f t="shared" si="141"/>
        <v>0</v>
      </c>
      <c r="AD400" s="651">
        <f t="shared" si="141"/>
        <v>896000000</v>
      </c>
      <c r="AE400" s="651"/>
      <c r="AF400" s="652"/>
      <c r="AG400" s="671"/>
      <c r="AH400" s="671"/>
      <c r="AI400" s="671"/>
      <c r="AJ400" s="671"/>
      <c r="AK400" s="671"/>
      <c r="AL400" s="671"/>
      <c r="AM400" s="671"/>
      <c r="AN400" s="671"/>
      <c r="AO400" s="671"/>
      <c r="AP400" s="671"/>
      <c r="AQ400" s="671"/>
      <c r="AR400" s="671"/>
      <c r="AS400" s="671"/>
      <c r="AT400" s="671"/>
      <c r="AU400" s="671"/>
      <c r="AV400" s="671"/>
      <c r="AW400" s="671"/>
      <c r="AX400" s="671"/>
      <c r="AY400" s="671"/>
      <c r="AZ400" s="671"/>
      <c r="BA400" s="671"/>
      <c r="BB400" s="671"/>
      <c r="BC400" s="671"/>
      <c r="BD400" s="671"/>
      <c r="BE400" s="671"/>
      <c r="BF400" s="671"/>
      <c r="BG400" s="671"/>
      <c r="BH400" s="671"/>
      <c r="BI400" s="671"/>
      <c r="BJ400" s="671"/>
      <c r="BK400" s="671"/>
      <c r="BL400" s="671"/>
      <c r="BM400" s="671"/>
      <c r="BN400" s="671"/>
      <c r="BO400" s="671"/>
      <c r="BP400" s="671"/>
      <c r="BQ400" s="671"/>
      <c r="BR400" s="671"/>
      <c r="BS400" s="671"/>
      <c r="BT400" s="671"/>
    </row>
    <row r="401" spans="1:72" s="9" customFormat="1" ht="21.75" customHeight="1" x14ac:dyDescent="0.25">
      <c r="A401" s="279"/>
      <c r="B401" s="280">
        <v>1</v>
      </c>
      <c r="C401" s="155" t="s">
        <v>120</v>
      </c>
      <c r="D401" s="348"/>
      <c r="E401" s="155"/>
      <c r="F401" s="155"/>
      <c r="G401" s="155"/>
      <c r="H401" s="281"/>
      <c r="I401" s="282"/>
      <c r="J401" s="280"/>
      <c r="K401" s="283"/>
      <c r="L401" s="284"/>
      <c r="M401" s="280"/>
      <c r="N401" s="285"/>
      <c r="O401" s="283"/>
      <c r="P401" s="283"/>
      <c r="Q401" s="527">
        <f>Q402</f>
        <v>0</v>
      </c>
      <c r="R401" s="527">
        <f t="shared" ref="R401:AC401" si="142">R402</f>
        <v>0</v>
      </c>
      <c r="S401" s="527">
        <f t="shared" si="142"/>
        <v>0</v>
      </c>
      <c r="T401" s="527">
        <f t="shared" si="142"/>
        <v>0</v>
      </c>
      <c r="U401" s="527">
        <f t="shared" si="142"/>
        <v>0</v>
      </c>
      <c r="V401" s="527">
        <f t="shared" si="142"/>
        <v>0</v>
      </c>
      <c r="W401" s="527">
        <f t="shared" si="142"/>
        <v>0</v>
      </c>
      <c r="X401" s="527">
        <f t="shared" si="142"/>
        <v>0</v>
      </c>
      <c r="Y401" s="527">
        <f t="shared" si="142"/>
        <v>0</v>
      </c>
      <c r="Z401" s="527">
        <f t="shared" si="142"/>
        <v>0</v>
      </c>
      <c r="AA401" s="527">
        <f t="shared" si="142"/>
        <v>520000000</v>
      </c>
      <c r="AB401" s="527">
        <f t="shared" si="142"/>
        <v>0</v>
      </c>
      <c r="AC401" s="527">
        <f t="shared" si="142"/>
        <v>0</v>
      </c>
      <c r="AD401" s="527">
        <f>AD402</f>
        <v>520000000</v>
      </c>
      <c r="AE401" s="527"/>
      <c r="AF401" s="52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row>
    <row r="402" spans="1:72" s="9" customFormat="1" ht="27.75" customHeight="1" x14ac:dyDescent="0.25">
      <c r="A402" s="279"/>
      <c r="B402" s="194"/>
      <c r="C402" s="159">
        <v>23</v>
      </c>
      <c r="D402" s="156" t="s">
        <v>1191</v>
      </c>
      <c r="E402" s="156"/>
      <c r="F402" s="287"/>
      <c r="G402" s="288"/>
      <c r="H402" s="289"/>
      <c r="I402" s="290"/>
      <c r="J402" s="291"/>
      <c r="K402" s="292"/>
      <c r="L402" s="293"/>
      <c r="M402" s="291"/>
      <c r="N402" s="392"/>
      <c r="O402" s="295"/>
      <c r="P402" s="295"/>
      <c r="Q402" s="296">
        <f>Q403+Q413</f>
        <v>0</v>
      </c>
      <c r="R402" s="296">
        <f t="shared" ref="R402:AD402" si="143">R403+R413</f>
        <v>0</v>
      </c>
      <c r="S402" s="296">
        <f t="shared" si="143"/>
        <v>0</v>
      </c>
      <c r="T402" s="296">
        <f t="shared" si="143"/>
        <v>0</v>
      </c>
      <c r="U402" s="296">
        <f t="shared" si="143"/>
        <v>0</v>
      </c>
      <c r="V402" s="296">
        <f t="shared" si="143"/>
        <v>0</v>
      </c>
      <c r="W402" s="296">
        <f t="shared" si="143"/>
        <v>0</v>
      </c>
      <c r="X402" s="296">
        <f t="shared" si="143"/>
        <v>0</v>
      </c>
      <c r="Y402" s="296">
        <f t="shared" si="143"/>
        <v>0</v>
      </c>
      <c r="Z402" s="296">
        <f t="shared" si="143"/>
        <v>0</v>
      </c>
      <c r="AA402" s="296">
        <f t="shared" si="143"/>
        <v>520000000</v>
      </c>
      <c r="AB402" s="296">
        <f t="shared" si="143"/>
        <v>0</v>
      </c>
      <c r="AC402" s="296">
        <f t="shared" si="143"/>
        <v>0</v>
      </c>
      <c r="AD402" s="296">
        <f t="shared" si="143"/>
        <v>520000000</v>
      </c>
      <c r="AE402" s="296"/>
      <c r="AF402" s="341"/>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row>
    <row r="403" spans="1:72" s="9" customFormat="1" ht="35.25" customHeight="1" x14ac:dyDescent="0.25">
      <c r="A403" s="279"/>
      <c r="B403" s="204"/>
      <c r="C403" s="204"/>
      <c r="D403" s="204"/>
      <c r="E403" s="298">
        <v>2301</v>
      </c>
      <c r="F403" s="188" t="s">
        <v>1352</v>
      </c>
      <c r="G403" s="377"/>
      <c r="H403" s="377"/>
      <c r="I403" s="366"/>
      <c r="J403" s="298"/>
      <c r="K403" s="529"/>
      <c r="L403" s="310"/>
      <c r="M403" s="298"/>
      <c r="N403" s="311"/>
      <c r="O403" s="529"/>
      <c r="P403" s="529"/>
      <c r="Q403" s="300">
        <f>SUM(Q404:Q412)</f>
        <v>0</v>
      </c>
      <c r="R403" s="300">
        <f t="shared" ref="R403:AD403" si="144">SUM(R404:R412)</f>
        <v>0</v>
      </c>
      <c r="S403" s="300">
        <f t="shared" si="144"/>
        <v>0</v>
      </c>
      <c r="T403" s="300">
        <f t="shared" si="144"/>
        <v>0</v>
      </c>
      <c r="U403" s="300">
        <f t="shared" si="144"/>
        <v>0</v>
      </c>
      <c r="V403" s="300">
        <f t="shared" si="144"/>
        <v>0</v>
      </c>
      <c r="W403" s="300">
        <f t="shared" si="144"/>
        <v>0</v>
      </c>
      <c r="X403" s="300">
        <f t="shared" si="144"/>
        <v>0</v>
      </c>
      <c r="Y403" s="300">
        <f t="shared" si="144"/>
        <v>0</v>
      </c>
      <c r="Z403" s="300">
        <f t="shared" si="144"/>
        <v>0</v>
      </c>
      <c r="AA403" s="300">
        <f t="shared" si="144"/>
        <v>374000000</v>
      </c>
      <c r="AB403" s="300">
        <f t="shared" si="144"/>
        <v>0</v>
      </c>
      <c r="AC403" s="300">
        <f t="shared" si="144"/>
        <v>0</v>
      </c>
      <c r="AD403" s="300">
        <f t="shared" si="144"/>
        <v>374000000</v>
      </c>
      <c r="AE403" s="300">
        <f>SUM(AE404:AE412)</f>
        <v>0</v>
      </c>
      <c r="AF403" s="312">
        <f>SUM(AF404:AF412)</f>
        <v>0</v>
      </c>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row>
    <row r="404" spans="1:72" ht="75" customHeight="1" x14ac:dyDescent="0.2">
      <c r="A404" s="297"/>
      <c r="B404" s="204"/>
      <c r="C404" s="204"/>
      <c r="D404" s="204"/>
      <c r="E404" s="200"/>
      <c r="F404" s="209"/>
      <c r="G404" s="729" t="s">
        <v>1019</v>
      </c>
      <c r="H404" s="735">
        <v>2301024</v>
      </c>
      <c r="I404" s="734" t="s">
        <v>1020</v>
      </c>
      <c r="J404" s="219">
        <v>230102401</v>
      </c>
      <c r="K404" s="187" t="s">
        <v>1021</v>
      </c>
      <c r="L404" s="209" t="s">
        <v>42</v>
      </c>
      <c r="M404" s="261">
        <v>15</v>
      </c>
      <c r="N404" s="768" t="s">
        <v>1022</v>
      </c>
      <c r="O404" s="753" t="s">
        <v>1023</v>
      </c>
      <c r="P404" s="753" t="s">
        <v>1024</v>
      </c>
      <c r="Q404" s="303"/>
      <c r="R404" s="303"/>
      <c r="S404" s="303"/>
      <c r="T404" s="305"/>
      <c r="U404" s="305"/>
      <c r="V404" s="530"/>
      <c r="W404" s="305"/>
      <c r="X404" s="305"/>
      <c r="Y404" s="531"/>
      <c r="Z404" s="305"/>
      <c r="AA404" s="305">
        <v>18000000</v>
      </c>
      <c r="AB404" s="305"/>
      <c r="AC404" s="305"/>
      <c r="AD404" s="305">
        <f>+Q404+R404+S404+T404+U404+V404+W404+X404+Y404+Z404+AA404+AB404+AC404</f>
        <v>18000000</v>
      </c>
      <c r="AE404" s="305" t="s">
        <v>1025</v>
      </c>
      <c r="AF404" s="149" t="s">
        <v>1026</v>
      </c>
    </row>
    <row r="405" spans="1:72" ht="75" customHeight="1" x14ac:dyDescent="0.2">
      <c r="A405" s="297"/>
      <c r="B405" s="204"/>
      <c r="C405" s="204"/>
      <c r="D405" s="204"/>
      <c r="E405" s="200"/>
      <c r="F405" s="209"/>
      <c r="G405" s="730"/>
      <c r="H405" s="735"/>
      <c r="I405" s="734"/>
      <c r="J405" s="219">
        <v>230102404</v>
      </c>
      <c r="K405" s="187" t="s">
        <v>1027</v>
      </c>
      <c r="L405" s="222" t="s">
        <v>54</v>
      </c>
      <c r="M405" s="261">
        <v>3</v>
      </c>
      <c r="N405" s="768"/>
      <c r="O405" s="753"/>
      <c r="P405" s="753"/>
      <c r="Q405" s="303"/>
      <c r="R405" s="303"/>
      <c r="S405" s="303"/>
      <c r="T405" s="305"/>
      <c r="U405" s="305"/>
      <c r="V405" s="530"/>
      <c r="W405" s="305"/>
      <c r="X405" s="305"/>
      <c r="Y405" s="531"/>
      <c r="Z405" s="305"/>
      <c r="AA405" s="305">
        <v>100000000</v>
      </c>
      <c r="AB405" s="305"/>
      <c r="AC405" s="305"/>
      <c r="AD405" s="305">
        <f t="shared" ref="AD405:AD412" si="145">+Q405+R405+S405+T405+U405+V405+W405+X405+Y405+Z405+AA405+AB405+AC405</f>
        <v>100000000</v>
      </c>
      <c r="AE405" s="305" t="s">
        <v>1025</v>
      </c>
      <c r="AF405" s="149" t="s">
        <v>1026</v>
      </c>
    </row>
    <row r="406" spans="1:72" ht="103.5" customHeight="1" x14ac:dyDescent="0.2">
      <c r="A406" s="297"/>
      <c r="B406" s="204"/>
      <c r="C406" s="204"/>
      <c r="D406" s="204"/>
      <c r="E406" s="200"/>
      <c r="F406" s="209"/>
      <c r="G406" s="195" t="s">
        <v>1019</v>
      </c>
      <c r="H406" s="197">
        <v>2301079</v>
      </c>
      <c r="I406" s="195" t="s">
        <v>1028</v>
      </c>
      <c r="J406" s="219">
        <v>230107902</v>
      </c>
      <c r="K406" s="187" t="s">
        <v>1029</v>
      </c>
      <c r="L406" s="209" t="s">
        <v>54</v>
      </c>
      <c r="M406" s="261">
        <v>13</v>
      </c>
      <c r="N406" s="768"/>
      <c r="O406" s="753"/>
      <c r="P406" s="753"/>
      <c r="Q406" s="303"/>
      <c r="R406" s="303"/>
      <c r="S406" s="303"/>
      <c r="T406" s="305"/>
      <c r="U406" s="305"/>
      <c r="V406" s="530"/>
      <c r="W406" s="305"/>
      <c r="X406" s="305"/>
      <c r="Y406" s="531"/>
      <c r="Z406" s="305"/>
      <c r="AA406" s="305">
        <v>80000000</v>
      </c>
      <c r="AB406" s="305"/>
      <c r="AC406" s="305"/>
      <c r="AD406" s="305">
        <f t="shared" si="145"/>
        <v>80000000</v>
      </c>
      <c r="AE406" s="305" t="s">
        <v>1025</v>
      </c>
      <c r="AF406" s="149" t="s">
        <v>1026</v>
      </c>
    </row>
    <row r="407" spans="1:72" ht="96.75" customHeight="1" x14ac:dyDescent="0.2">
      <c r="A407" s="297"/>
      <c r="B407" s="204"/>
      <c r="C407" s="204"/>
      <c r="D407" s="204"/>
      <c r="E407" s="200"/>
      <c r="F407" s="209"/>
      <c r="G407" s="195" t="s">
        <v>1019</v>
      </c>
      <c r="H407" s="197">
        <v>2301062</v>
      </c>
      <c r="I407" s="195" t="s">
        <v>1030</v>
      </c>
      <c r="J407" s="219">
        <v>230106201</v>
      </c>
      <c r="K407" s="187" t="s">
        <v>1031</v>
      </c>
      <c r="L407" s="674" t="s">
        <v>1032</v>
      </c>
      <c r="M407" s="445">
        <v>9</v>
      </c>
      <c r="N407" s="768"/>
      <c r="O407" s="753"/>
      <c r="P407" s="753"/>
      <c r="Q407" s="303"/>
      <c r="R407" s="303"/>
      <c r="S407" s="303"/>
      <c r="T407" s="305"/>
      <c r="U407" s="305"/>
      <c r="V407" s="530"/>
      <c r="W407" s="305"/>
      <c r="X407" s="305"/>
      <c r="Y407" s="531"/>
      <c r="Z407" s="305"/>
      <c r="AA407" s="305">
        <v>50000000</v>
      </c>
      <c r="AB407" s="305"/>
      <c r="AC407" s="305"/>
      <c r="AD407" s="305">
        <f t="shared" si="145"/>
        <v>50000000</v>
      </c>
      <c r="AE407" s="305" t="s">
        <v>1025</v>
      </c>
      <c r="AF407" s="149" t="s">
        <v>1026</v>
      </c>
    </row>
    <row r="408" spans="1:72" ht="102" customHeight="1" x14ac:dyDescent="0.2">
      <c r="A408" s="297"/>
      <c r="B408" s="204"/>
      <c r="C408" s="204"/>
      <c r="D408" s="204"/>
      <c r="E408" s="200"/>
      <c r="F408" s="209"/>
      <c r="G408" s="195" t="s">
        <v>1033</v>
      </c>
      <c r="H408" s="197">
        <v>2301030</v>
      </c>
      <c r="I408" s="195" t="s">
        <v>1034</v>
      </c>
      <c r="J408" s="219">
        <v>230103000</v>
      </c>
      <c r="K408" s="187" t="s">
        <v>1035</v>
      </c>
      <c r="L408" s="209" t="s">
        <v>54</v>
      </c>
      <c r="M408" s="261">
        <v>2500</v>
      </c>
      <c r="N408" s="765" t="s">
        <v>1036</v>
      </c>
      <c r="O408" s="760" t="s">
        <v>1037</v>
      </c>
      <c r="P408" s="744" t="s">
        <v>1038</v>
      </c>
      <c r="Q408" s="303"/>
      <c r="R408" s="303"/>
      <c r="S408" s="303"/>
      <c r="T408" s="305"/>
      <c r="U408" s="305"/>
      <c r="V408" s="530"/>
      <c r="W408" s="305"/>
      <c r="X408" s="305"/>
      <c r="Y408" s="531"/>
      <c r="Z408" s="305"/>
      <c r="AA408" s="305">
        <v>36000000</v>
      </c>
      <c r="AB408" s="305"/>
      <c r="AC408" s="305"/>
      <c r="AD408" s="305">
        <f t="shared" si="145"/>
        <v>36000000</v>
      </c>
      <c r="AE408" s="305" t="s">
        <v>1025</v>
      </c>
      <c r="AF408" s="149" t="s">
        <v>1026</v>
      </c>
    </row>
    <row r="409" spans="1:72" ht="91.5" customHeight="1" x14ac:dyDescent="0.2">
      <c r="A409" s="297"/>
      <c r="B409" s="204"/>
      <c r="C409" s="204"/>
      <c r="D409" s="204"/>
      <c r="E409" s="200"/>
      <c r="F409" s="209"/>
      <c r="G409" s="195" t="s">
        <v>1033</v>
      </c>
      <c r="H409" s="197">
        <v>2301015</v>
      </c>
      <c r="I409" s="195" t="s">
        <v>1039</v>
      </c>
      <c r="J409" s="219">
        <v>230101500</v>
      </c>
      <c r="K409" s="187" t="s">
        <v>1040</v>
      </c>
      <c r="L409" s="209" t="s">
        <v>42</v>
      </c>
      <c r="M409" s="261">
        <v>3</v>
      </c>
      <c r="N409" s="765"/>
      <c r="O409" s="760"/>
      <c r="P409" s="744"/>
      <c r="Q409" s="303"/>
      <c r="R409" s="303"/>
      <c r="S409" s="303"/>
      <c r="T409" s="305"/>
      <c r="U409" s="305"/>
      <c r="V409" s="530"/>
      <c r="W409" s="305"/>
      <c r="X409" s="305"/>
      <c r="Y409" s="531"/>
      <c r="Z409" s="305"/>
      <c r="AA409" s="305">
        <v>18000000</v>
      </c>
      <c r="AB409" s="305"/>
      <c r="AC409" s="305"/>
      <c r="AD409" s="305">
        <f t="shared" si="145"/>
        <v>18000000</v>
      </c>
      <c r="AE409" s="305" t="s">
        <v>1025</v>
      </c>
      <c r="AF409" s="149" t="s">
        <v>1026</v>
      </c>
    </row>
    <row r="410" spans="1:72" ht="99.75" customHeight="1" x14ac:dyDescent="0.2">
      <c r="A410" s="297"/>
      <c r="B410" s="204"/>
      <c r="C410" s="204"/>
      <c r="D410" s="204"/>
      <c r="E410" s="200"/>
      <c r="F410" s="209"/>
      <c r="G410" s="195" t="s">
        <v>1033</v>
      </c>
      <c r="H410" s="197">
        <v>2301004</v>
      </c>
      <c r="I410" s="195" t="s">
        <v>59</v>
      </c>
      <c r="J410" s="219">
        <v>230100400</v>
      </c>
      <c r="K410" s="187" t="s">
        <v>187</v>
      </c>
      <c r="L410" s="209" t="s">
        <v>42</v>
      </c>
      <c r="M410" s="261">
        <v>1</v>
      </c>
      <c r="N410" s="765"/>
      <c r="O410" s="760"/>
      <c r="P410" s="744"/>
      <c r="Q410" s="303"/>
      <c r="R410" s="303"/>
      <c r="S410" s="303"/>
      <c r="T410" s="305"/>
      <c r="U410" s="305"/>
      <c r="V410" s="530"/>
      <c r="W410" s="305"/>
      <c r="X410" s="305"/>
      <c r="Y410" s="531"/>
      <c r="Z410" s="305"/>
      <c r="AA410" s="305">
        <v>18000000</v>
      </c>
      <c r="AB410" s="305"/>
      <c r="AC410" s="305"/>
      <c r="AD410" s="305">
        <f t="shared" si="145"/>
        <v>18000000</v>
      </c>
      <c r="AE410" s="305" t="s">
        <v>1025</v>
      </c>
      <c r="AF410" s="149" t="s">
        <v>1026</v>
      </c>
    </row>
    <row r="411" spans="1:72" ht="103.5" customHeight="1" x14ac:dyDescent="0.2">
      <c r="A411" s="297"/>
      <c r="B411" s="204"/>
      <c r="C411" s="204"/>
      <c r="D411" s="204"/>
      <c r="E411" s="200"/>
      <c r="F411" s="209"/>
      <c r="G411" s="195" t="s">
        <v>1033</v>
      </c>
      <c r="H411" s="197">
        <v>2301035</v>
      </c>
      <c r="I411" s="195" t="s">
        <v>1194</v>
      </c>
      <c r="J411" s="219">
        <v>230103500</v>
      </c>
      <c r="K411" s="187" t="s">
        <v>1041</v>
      </c>
      <c r="L411" s="209" t="s">
        <v>54</v>
      </c>
      <c r="M411" s="261">
        <v>20</v>
      </c>
      <c r="N411" s="765"/>
      <c r="O411" s="760"/>
      <c r="P411" s="744"/>
      <c r="Q411" s="303"/>
      <c r="R411" s="303"/>
      <c r="S411" s="303"/>
      <c r="T411" s="305"/>
      <c r="U411" s="305"/>
      <c r="V411" s="530"/>
      <c r="W411" s="305"/>
      <c r="X411" s="305"/>
      <c r="Y411" s="531"/>
      <c r="Z411" s="305"/>
      <c r="AA411" s="305">
        <v>36000000</v>
      </c>
      <c r="AB411" s="305"/>
      <c r="AC411" s="305"/>
      <c r="AD411" s="305">
        <f t="shared" si="145"/>
        <v>36000000</v>
      </c>
      <c r="AE411" s="305" t="s">
        <v>1025</v>
      </c>
      <c r="AF411" s="149" t="s">
        <v>1026</v>
      </c>
    </row>
    <row r="412" spans="1:72" ht="103.5" customHeight="1" x14ac:dyDescent="0.2">
      <c r="A412" s="297"/>
      <c r="B412" s="204"/>
      <c r="C412" s="204"/>
      <c r="D412" s="204"/>
      <c r="E412" s="200"/>
      <c r="F412" s="209"/>
      <c r="G412" s="195" t="s">
        <v>1033</v>
      </c>
      <c r="H412" s="197">
        <v>2301042</v>
      </c>
      <c r="I412" s="195" t="s">
        <v>1042</v>
      </c>
      <c r="J412" s="219">
        <v>230104201</v>
      </c>
      <c r="K412" s="187" t="s">
        <v>1043</v>
      </c>
      <c r="L412" s="209" t="s">
        <v>42</v>
      </c>
      <c r="M412" s="261">
        <v>1</v>
      </c>
      <c r="N412" s="765"/>
      <c r="O412" s="760"/>
      <c r="P412" s="744"/>
      <c r="Q412" s="303"/>
      <c r="R412" s="303"/>
      <c r="S412" s="303"/>
      <c r="T412" s="305"/>
      <c r="U412" s="305"/>
      <c r="V412" s="530"/>
      <c r="W412" s="305"/>
      <c r="X412" s="305"/>
      <c r="Y412" s="531"/>
      <c r="Z412" s="305"/>
      <c r="AA412" s="305">
        <v>18000000</v>
      </c>
      <c r="AB412" s="305"/>
      <c r="AC412" s="305"/>
      <c r="AD412" s="305">
        <f t="shared" si="145"/>
        <v>18000000</v>
      </c>
      <c r="AE412" s="305" t="s">
        <v>1025</v>
      </c>
      <c r="AF412" s="149" t="s">
        <v>1026</v>
      </c>
    </row>
    <row r="413" spans="1:72" s="9" customFormat="1" ht="30" customHeight="1" x14ac:dyDescent="0.25">
      <c r="A413" s="279"/>
      <c r="B413" s="204"/>
      <c r="C413" s="204"/>
      <c r="D413" s="204"/>
      <c r="E413" s="298">
        <v>2302</v>
      </c>
      <c r="F413" s="188" t="s">
        <v>1044</v>
      </c>
      <c r="G413" s="188"/>
      <c r="H413" s="188"/>
      <c r="I413" s="188"/>
      <c r="J413" s="309"/>
      <c r="K413" s="299"/>
      <c r="L413" s="310"/>
      <c r="M413" s="309"/>
      <c r="N413" s="311"/>
      <c r="O413" s="299"/>
      <c r="P413" s="299"/>
      <c r="Q413" s="300">
        <f>SUM(Q414:Q418)</f>
        <v>0</v>
      </c>
      <c r="R413" s="300">
        <f t="shared" ref="R413:AD413" si="146">SUM(R414:R418)</f>
        <v>0</v>
      </c>
      <c r="S413" s="300">
        <f t="shared" si="146"/>
        <v>0</v>
      </c>
      <c r="T413" s="300">
        <f t="shared" si="146"/>
        <v>0</v>
      </c>
      <c r="U413" s="300">
        <f t="shared" si="146"/>
        <v>0</v>
      </c>
      <c r="V413" s="300">
        <f t="shared" si="146"/>
        <v>0</v>
      </c>
      <c r="W413" s="300">
        <f t="shared" si="146"/>
        <v>0</v>
      </c>
      <c r="X413" s="300">
        <f t="shared" si="146"/>
        <v>0</v>
      </c>
      <c r="Y413" s="300">
        <f t="shared" si="146"/>
        <v>0</v>
      </c>
      <c r="Z413" s="300">
        <f t="shared" si="146"/>
        <v>0</v>
      </c>
      <c r="AA413" s="300">
        <f t="shared" si="146"/>
        <v>146000000</v>
      </c>
      <c r="AB413" s="300">
        <f t="shared" si="146"/>
        <v>0</v>
      </c>
      <c r="AC413" s="300">
        <f t="shared" si="146"/>
        <v>0</v>
      </c>
      <c r="AD413" s="300">
        <f t="shared" si="146"/>
        <v>146000000</v>
      </c>
      <c r="AE413" s="300">
        <f>SUM(AE414:AE418)</f>
        <v>0</v>
      </c>
      <c r="AF413" s="312">
        <f>SUM(AF414:AF418)</f>
        <v>0</v>
      </c>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row>
    <row r="414" spans="1:72" ht="104.25" customHeight="1" x14ac:dyDescent="0.2">
      <c r="A414" s="297"/>
      <c r="B414" s="204"/>
      <c r="C414" s="204"/>
      <c r="D414" s="204"/>
      <c r="E414" s="200"/>
      <c r="F414" s="209"/>
      <c r="G414" s="195" t="s">
        <v>1019</v>
      </c>
      <c r="H414" s="197">
        <v>2302042</v>
      </c>
      <c r="I414" s="195" t="s">
        <v>1045</v>
      </c>
      <c r="J414" s="219">
        <v>230204200</v>
      </c>
      <c r="K414" s="187" t="s">
        <v>1046</v>
      </c>
      <c r="L414" s="209" t="s">
        <v>54</v>
      </c>
      <c r="M414" s="261">
        <v>1</v>
      </c>
      <c r="N414" s="761" t="s">
        <v>1047</v>
      </c>
      <c r="O414" s="734" t="s">
        <v>1048</v>
      </c>
      <c r="P414" s="734" t="s">
        <v>1049</v>
      </c>
      <c r="Q414" s="303"/>
      <c r="R414" s="303"/>
      <c r="S414" s="303"/>
      <c r="T414" s="305"/>
      <c r="U414" s="305"/>
      <c r="V414" s="530"/>
      <c r="W414" s="305"/>
      <c r="X414" s="305"/>
      <c r="Y414" s="531"/>
      <c r="Z414" s="305"/>
      <c r="AA414" s="305">
        <v>20000000</v>
      </c>
      <c r="AB414" s="305"/>
      <c r="AC414" s="305"/>
      <c r="AD414" s="305">
        <f>+Q414+R414+S414+T414+U414+V414+W414+X414+Y414+Z414+AA414+AB414+AC414</f>
        <v>20000000</v>
      </c>
      <c r="AE414" s="305" t="s">
        <v>1025</v>
      </c>
      <c r="AF414" s="149" t="s">
        <v>1026</v>
      </c>
    </row>
    <row r="415" spans="1:72" ht="103.5" customHeight="1" x14ac:dyDescent="0.2">
      <c r="A415" s="297"/>
      <c r="B415" s="204"/>
      <c r="C415" s="204"/>
      <c r="D415" s="204"/>
      <c r="E415" s="200"/>
      <c r="F415" s="209"/>
      <c r="G415" s="195" t="s">
        <v>1019</v>
      </c>
      <c r="H415" s="197">
        <v>2302022</v>
      </c>
      <c r="I415" s="195" t="s">
        <v>1050</v>
      </c>
      <c r="J415" s="219">
        <v>230202200</v>
      </c>
      <c r="K415" s="187" t="s">
        <v>1051</v>
      </c>
      <c r="L415" s="209" t="s">
        <v>54</v>
      </c>
      <c r="M415" s="261">
        <v>20</v>
      </c>
      <c r="N415" s="761"/>
      <c r="O415" s="734"/>
      <c r="P415" s="734"/>
      <c r="Q415" s="303"/>
      <c r="R415" s="303"/>
      <c r="S415" s="303"/>
      <c r="T415" s="305"/>
      <c r="U415" s="305"/>
      <c r="V415" s="530"/>
      <c r="W415" s="305"/>
      <c r="X415" s="305"/>
      <c r="Y415" s="531"/>
      <c r="Z415" s="305"/>
      <c r="AA415" s="305">
        <v>36000000</v>
      </c>
      <c r="AB415" s="305"/>
      <c r="AC415" s="305"/>
      <c r="AD415" s="305">
        <f>+Q415+R415+S415+T415+U415+V415+W415+X415+Y415+Z415+AA415+AB415+AC415</f>
        <v>36000000</v>
      </c>
      <c r="AE415" s="305" t="s">
        <v>1025</v>
      </c>
      <c r="AF415" s="149" t="s">
        <v>1026</v>
      </c>
    </row>
    <row r="416" spans="1:72" s="4" customFormat="1" ht="84" customHeight="1" x14ac:dyDescent="0.2">
      <c r="A416" s="140"/>
      <c r="B416" s="223"/>
      <c r="C416" s="223"/>
      <c r="D416" s="223"/>
      <c r="E416" s="226"/>
      <c r="F416" s="222"/>
      <c r="G416" s="186" t="s">
        <v>1033</v>
      </c>
      <c r="H416" s="196">
        <v>2302021</v>
      </c>
      <c r="I416" s="186" t="s">
        <v>1052</v>
      </c>
      <c r="J416" s="227">
        <v>230202100</v>
      </c>
      <c r="K416" s="267" t="s">
        <v>1053</v>
      </c>
      <c r="L416" s="222" t="s">
        <v>54</v>
      </c>
      <c r="M416" s="261">
        <v>8</v>
      </c>
      <c r="N416" s="761"/>
      <c r="O416" s="734"/>
      <c r="P416" s="734"/>
      <c r="Q416" s="264"/>
      <c r="R416" s="264"/>
      <c r="S416" s="264"/>
      <c r="T416" s="411"/>
      <c r="U416" s="411"/>
      <c r="V416" s="532"/>
      <c r="W416" s="411"/>
      <c r="X416" s="411"/>
      <c r="Y416" s="533"/>
      <c r="Z416" s="411"/>
      <c r="AA416" s="411">
        <v>50000000</v>
      </c>
      <c r="AB416" s="411"/>
      <c r="AC416" s="411"/>
      <c r="AD416" s="411">
        <f>+Q416+R416+S416+T416+U416+V416+W416+X416+Y416+Z416+AA416+AB416+AC416</f>
        <v>50000000</v>
      </c>
      <c r="AE416" s="305" t="s">
        <v>1025</v>
      </c>
      <c r="AF416" s="149" t="s">
        <v>1026</v>
      </c>
    </row>
    <row r="417" spans="1:72" ht="114" customHeight="1" x14ac:dyDescent="0.2">
      <c r="A417" s="297"/>
      <c r="B417" s="204"/>
      <c r="C417" s="204"/>
      <c r="D417" s="204"/>
      <c r="E417" s="200"/>
      <c r="F417" s="209"/>
      <c r="G417" s="195" t="s">
        <v>1054</v>
      </c>
      <c r="H417" s="197">
        <v>2302058</v>
      </c>
      <c r="I417" s="195" t="s">
        <v>1055</v>
      </c>
      <c r="J417" s="219">
        <v>230205800</v>
      </c>
      <c r="K417" s="187" t="s">
        <v>1056</v>
      </c>
      <c r="L417" s="209" t="s">
        <v>54</v>
      </c>
      <c r="M417" s="261">
        <v>300</v>
      </c>
      <c r="N417" s="761"/>
      <c r="O417" s="734"/>
      <c r="P417" s="734"/>
      <c r="Q417" s="303"/>
      <c r="R417" s="303"/>
      <c r="S417" s="303"/>
      <c r="T417" s="305"/>
      <c r="U417" s="305"/>
      <c r="V417" s="530"/>
      <c r="W417" s="305"/>
      <c r="X417" s="305"/>
      <c r="Y417" s="531"/>
      <c r="Z417" s="305"/>
      <c r="AA417" s="305">
        <v>20000000</v>
      </c>
      <c r="AB417" s="305"/>
      <c r="AC417" s="305"/>
      <c r="AD417" s="305">
        <f>+Q417+R417+S417+T417+U417+V417+W417+X417+Y417+Z417+AA417+AB417+AC417</f>
        <v>20000000</v>
      </c>
      <c r="AE417" s="305" t="s">
        <v>1025</v>
      </c>
      <c r="AF417" s="149" t="s">
        <v>1026</v>
      </c>
    </row>
    <row r="418" spans="1:72" ht="112.5" customHeight="1" x14ac:dyDescent="0.2">
      <c r="A418" s="297"/>
      <c r="B418" s="204"/>
      <c r="C418" s="204"/>
      <c r="D418" s="204"/>
      <c r="E418" s="200"/>
      <c r="F418" s="209"/>
      <c r="G418" s="195" t="s">
        <v>1054</v>
      </c>
      <c r="H418" s="197">
        <v>2302068</v>
      </c>
      <c r="I418" s="195" t="s">
        <v>1057</v>
      </c>
      <c r="J418" s="219">
        <v>230206800</v>
      </c>
      <c r="K418" s="187" t="s">
        <v>1058</v>
      </c>
      <c r="L418" s="209" t="s">
        <v>54</v>
      </c>
      <c r="M418" s="261">
        <v>60</v>
      </c>
      <c r="N418" s="761"/>
      <c r="O418" s="734"/>
      <c r="P418" s="734"/>
      <c r="Q418" s="303"/>
      <c r="R418" s="303"/>
      <c r="S418" s="303"/>
      <c r="T418" s="305"/>
      <c r="U418" s="305"/>
      <c r="V418" s="530"/>
      <c r="W418" s="305"/>
      <c r="X418" s="305"/>
      <c r="Y418" s="531"/>
      <c r="Z418" s="305"/>
      <c r="AA418" s="305">
        <v>20000000</v>
      </c>
      <c r="AB418" s="305"/>
      <c r="AC418" s="305"/>
      <c r="AD418" s="305">
        <f>+Q418+R418+S418+T418+U418+V418+W418+X418+Y418+Z418+AA418+AB418+AC418</f>
        <v>20000000</v>
      </c>
      <c r="AE418" s="305" t="s">
        <v>1025</v>
      </c>
      <c r="AF418" s="149" t="s">
        <v>1026</v>
      </c>
    </row>
    <row r="419" spans="1:72" s="9" customFormat="1" ht="26.25" customHeight="1" x14ac:dyDescent="0.25">
      <c r="A419" s="279"/>
      <c r="B419" s="280">
        <v>2</v>
      </c>
      <c r="C419" s="155" t="s">
        <v>332</v>
      </c>
      <c r="D419" s="348"/>
      <c r="E419" s="155"/>
      <c r="F419" s="155"/>
      <c r="G419" s="155"/>
      <c r="H419" s="281"/>
      <c r="I419" s="282"/>
      <c r="J419" s="280"/>
      <c r="K419" s="283"/>
      <c r="L419" s="284"/>
      <c r="M419" s="280"/>
      <c r="N419" s="285"/>
      <c r="O419" s="283"/>
      <c r="P419" s="283"/>
      <c r="Q419" s="527">
        <f>Q420</f>
        <v>0</v>
      </c>
      <c r="R419" s="527">
        <f t="shared" ref="R419:AC419" si="147">R420</f>
        <v>0</v>
      </c>
      <c r="S419" s="527">
        <f t="shared" si="147"/>
        <v>0</v>
      </c>
      <c r="T419" s="527">
        <f t="shared" si="147"/>
        <v>0</v>
      </c>
      <c r="U419" s="527">
        <f t="shared" si="147"/>
        <v>0</v>
      </c>
      <c r="V419" s="527">
        <f t="shared" si="147"/>
        <v>0</v>
      </c>
      <c r="W419" s="527">
        <f t="shared" si="147"/>
        <v>0</v>
      </c>
      <c r="X419" s="527">
        <f t="shared" si="147"/>
        <v>0</v>
      </c>
      <c r="Y419" s="527">
        <f t="shared" si="147"/>
        <v>0</v>
      </c>
      <c r="Z419" s="527">
        <f t="shared" si="147"/>
        <v>0</v>
      </c>
      <c r="AA419" s="527">
        <f t="shared" si="147"/>
        <v>78000000</v>
      </c>
      <c r="AB419" s="527">
        <f t="shared" si="147"/>
        <v>0</v>
      </c>
      <c r="AC419" s="527">
        <f t="shared" si="147"/>
        <v>0</v>
      </c>
      <c r="AD419" s="527">
        <f>AD420</f>
        <v>78000000</v>
      </c>
      <c r="AE419" s="527"/>
      <c r="AF419" s="52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row>
    <row r="420" spans="1:72" s="9" customFormat="1" ht="27.75" customHeight="1" x14ac:dyDescent="0.25">
      <c r="A420" s="279"/>
      <c r="B420" s="194"/>
      <c r="C420" s="159">
        <v>39</v>
      </c>
      <c r="D420" s="156" t="s">
        <v>1189</v>
      </c>
      <c r="E420" s="156"/>
      <c r="F420" s="287"/>
      <c r="G420" s="288"/>
      <c r="H420" s="289"/>
      <c r="I420" s="290"/>
      <c r="J420" s="291"/>
      <c r="K420" s="292"/>
      <c r="L420" s="293"/>
      <c r="M420" s="291"/>
      <c r="N420" s="392"/>
      <c r="O420" s="295"/>
      <c r="P420" s="295"/>
      <c r="Q420" s="296">
        <f>Q421+Q425</f>
        <v>0</v>
      </c>
      <c r="R420" s="296">
        <f t="shared" ref="R420:AC420" si="148">R421+R425</f>
        <v>0</v>
      </c>
      <c r="S420" s="296">
        <f t="shared" si="148"/>
        <v>0</v>
      </c>
      <c r="T420" s="296">
        <f t="shared" si="148"/>
        <v>0</v>
      </c>
      <c r="U420" s="296">
        <f t="shared" si="148"/>
        <v>0</v>
      </c>
      <c r="V420" s="296">
        <f t="shared" si="148"/>
        <v>0</v>
      </c>
      <c r="W420" s="296">
        <f t="shared" si="148"/>
        <v>0</v>
      </c>
      <c r="X420" s="296">
        <f t="shared" si="148"/>
        <v>0</v>
      </c>
      <c r="Y420" s="296">
        <f t="shared" si="148"/>
        <v>0</v>
      </c>
      <c r="Z420" s="296">
        <f t="shared" si="148"/>
        <v>0</v>
      </c>
      <c r="AA420" s="296">
        <f t="shared" si="148"/>
        <v>78000000</v>
      </c>
      <c r="AB420" s="296">
        <f t="shared" si="148"/>
        <v>0</v>
      </c>
      <c r="AC420" s="296">
        <f t="shared" si="148"/>
        <v>0</v>
      </c>
      <c r="AD420" s="296">
        <f>AD421+AD425</f>
        <v>78000000</v>
      </c>
      <c r="AE420" s="296"/>
      <c r="AF420" s="341"/>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row>
    <row r="421" spans="1:72" s="9" customFormat="1" ht="31.5" customHeight="1" x14ac:dyDescent="0.25">
      <c r="A421" s="279"/>
      <c r="B421" s="204"/>
      <c r="C421" s="204"/>
      <c r="D421" s="204"/>
      <c r="E421" s="298" t="s">
        <v>1059</v>
      </c>
      <c r="F421" s="188" t="s">
        <v>1269</v>
      </c>
      <c r="G421" s="366"/>
      <c r="H421" s="307"/>
      <c r="I421" s="308"/>
      <c r="J421" s="309"/>
      <c r="K421" s="299"/>
      <c r="L421" s="310"/>
      <c r="M421" s="309"/>
      <c r="N421" s="311"/>
      <c r="O421" s="299"/>
      <c r="P421" s="299"/>
      <c r="Q421" s="300">
        <f>SUM(Q422:Q424)</f>
        <v>0</v>
      </c>
      <c r="R421" s="300">
        <f t="shared" ref="R421:AD421" si="149">SUM(R422:R424)</f>
        <v>0</v>
      </c>
      <c r="S421" s="300">
        <f t="shared" si="149"/>
        <v>0</v>
      </c>
      <c r="T421" s="300">
        <f t="shared" si="149"/>
        <v>0</v>
      </c>
      <c r="U421" s="300">
        <f t="shared" si="149"/>
        <v>0</v>
      </c>
      <c r="V421" s="300">
        <f t="shared" si="149"/>
        <v>0</v>
      </c>
      <c r="W421" s="300">
        <f t="shared" si="149"/>
        <v>0</v>
      </c>
      <c r="X421" s="300">
        <f t="shared" si="149"/>
        <v>0</v>
      </c>
      <c r="Y421" s="300">
        <f t="shared" si="149"/>
        <v>0</v>
      </c>
      <c r="Z421" s="300">
        <f t="shared" si="149"/>
        <v>0</v>
      </c>
      <c r="AA421" s="300">
        <f t="shared" si="149"/>
        <v>60000000</v>
      </c>
      <c r="AB421" s="300">
        <f t="shared" si="149"/>
        <v>0</v>
      </c>
      <c r="AC421" s="300">
        <f t="shared" si="149"/>
        <v>0</v>
      </c>
      <c r="AD421" s="300">
        <f t="shared" si="149"/>
        <v>60000000</v>
      </c>
      <c r="AE421" s="300"/>
      <c r="AF421" s="312"/>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row>
    <row r="422" spans="1:72" ht="60" customHeight="1" x14ac:dyDescent="0.2">
      <c r="A422" s="297"/>
      <c r="B422" s="204"/>
      <c r="C422" s="204"/>
      <c r="D422" s="204"/>
      <c r="E422" s="200"/>
      <c r="F422" s="209"/>
      <c r="G422" s="736" t="s">
        <v>1060</v>
      </c>
      <c r="H422" s="735">
        <v>3903005</v>
      </c>
      <c r="I422" s="734" t="s">
        <v>1061</v>
      </c>
      <c r="J422" s="383" t="s">
        <v>1062</v>
      </c>
      <c r="K422" s="246" t="s">
        <v>1063</v>
      </c>
      <c r="L422" s="209" t="s">
        <v>42</v>
      </c>
      <c r="M422" s="261">
        <v>1</v>
      </c>
      <c r="N422" s="761" t="s">
        <v>1064</v>
      </c>
      <c r="O422" s="746" t="s">
        <v>1065</v>
      </c>
      <c r="P422" s="746" t="s">
        <v>1066</v>
      </c>
      <c r="Q422" s="303"/>
      <c r="R422" s="303"/>
      <c r="S422" s="303"/>
      <c r="T422" s="305"/>
      <c r="U422" s="305"/>
      <c r="V422" s="530"/>
      <c r="W422" s="305"/>
      <c r="X422" s="305"/>
      <c r="Y422" s="531"/>
      <c r="Z422" s="305"/>
      <c r="AA422" s="305">
        <v>20000000</v>
      </c>
      <c r="AB422" s="305"/>
      <c r="AC422" s="305"/>
      <c r="AD422" s="305">
        <f>+Q422+R422+S422+T422+U422+V422+W422+X422+Y422+Z422+AA422+AB422+AC422</f>
        <v>20000000</v>
      </c>
      <c r="AE422" s="305" t="s">
        <v>1025</v>
      </c>
      <c r="AF422" s="149" t="s">
        <v>1026</v>
      </c>
    </row>
    <row r="423" spans="1:72" ht="60" customHeight="1" x14ac:dyDescent="0.2">
      <c r="A423" s="297"/>
      <c r="B423" s="204"/>
      <c r="C423" s="204"/>
      <c r="D423" s="204"/>
      <c r="E423" s="200"/>
      <c r="F423" s="209"/>
      <c r="G423" s="737"/>
      <c r="H423" s="735"/>
      <c r="I423" s="734"/>
      <c r="J423" s="383" t="s">
        <v>1067</v>
      </c>
      <c r="K423" s="246" t="s">
        <v>1068</v>
      </c>
      <c r="L423" s="209" t="s">
        <v>54</v>
      </c>
      <c r="M423" s="261">
        <v>50</v>
      </c>
      <c r="N423" s="761"/>
      <c r="O423" s="746"/>
      <c r="P423" s="746"/>
      <c r="Q423" s="303"/>
      <c r="R423" s="303"/>
      <c r="S423" s="303"/>
      <c r="T423" s="305"/>
      <c r="U423" s="305"/>
      <c r="V423" s="530"/>
      <c r="W423" s="305"/>
      <c r="X423" s="305"/>
      <c r="Y423" s="531"/>
      <c r="Z423" s="305"/>
      <c r="AA423" s="305">
        <v>20000000</v>
      </c>
      <c r="AB423" s="305"/>
      <c r="AC423" s="305"/>
      <c r="AD423" s="305">
        <f>+Q423+R423+S423+T423+U423+V423+W423+X423+Y423+Z423+AA423+AB423+AC423</f>
        <v>20000000</v>
      </c>
      <c r="AE423" s="305" t="s">
        <v>1025</v>
      </c>
      <c r="AF423" s="149" t="s">
        <v>1026</v>
      </c>
    </row>
    <row r="424" spans="1:72" ht="60" customHeight="1" x14ac:dyDescent="0.2">
      <c r="A424" s="297"/>
      <c r="B424" s="204"/>
      <c r="C424" s="204"/>
      <c r="D424" s="204"/>
      <c r="E424" s="200"/>
      <c r="F424" s="209"/>
      <c r="G424" s="738"/>
      <c r="H424" s="735"/>
      <c r="I424" s="734"/>
      <c r="J424" s="383" t="s">
        <v>1069</v>
      </c>
      <c r="K424" s="246" t="s">
        <v>1070</v>
      </c>
      <c r="L424" s="209" t="s">
        <v>54</v>
      </c>
      <c r="M424" s="261">
        <v>50</v>
      </c>
      <c r="N424" s="761"/>
      <c r="O424" s="746"/>
      <c r="P424" s="746"/>
      <c r="Q424" s="303"/>
      <c r="R424" s="303"/>
      <c r="S424" s="303"/>
      <c r="T424" s="305"/>
      <c r="U424" s="305"/>
      <c r="V424" s="530"/>
      <c r="W424" s="305"/>
      <c r="X424" s="305"/>
      <c r="Y424" s="531"/>
      <c r="Z424" s="305"/>
      <c r="AA424" s="305">
        <v>20000000</v>
      </c>
      <c r="AB424" s="305"/>
      <c r="AC424" s="305"/>
      <c r="AD424" s="305">
        <f>+Q424+R424+S424+T424+U424+V424+W424+X424+Y424+Z424+AA424+AB424+AC424</f>
        <v>20000000</v>
      </c>
      <c r="AE424" s="305" t="s">
        <v>1025</v>
      </c>
      <c r="AF424" s="149" t="s">
        <v>1026</v>
      </c>
    </row>
    <row r="425" spans="1:72" s="9" customFormat="1" ht="21.75" customHeight="1" x14ac:dyDescent="0.25">
      <c r="A425" s="279"/>
      <c r="B425" s="204"/>
      <c r="C425" s="204"/>
      <c r="D425" s="204"/>
      <c r="E425" s="298">
        <v>3904</v>
      </c>
      <c r="F425" s="188" t="s">
        <v>663</v>
      </c>
      <c r="G425" s="366"/>
      <c r="H425" s="307"/>
      <c r="I425" s="308"/>
      <c r="J425" s="309"/>
      <c r="K425" s="299"/>
      <c r="L425" s="310"/>
      <c r="M425" s="309"/>
      <c r="N425" s="311"/>
      <c r="O425" s="299"/>
      <c r="P425" s="299"/>
      <c r="Q425" s="300">
        <f>+Q426</f>
        <v>0</v>
      </c>
      <c r="R425" s="300">
        <f t="shared" ref="R425:AD425" si="150">+R426</f>
        <v>0</v>
      </c>
      <c r="S425" s="300">
        <f t="shared" si="150"/>
        <v>0</v>
      </c>
      <c r="T425" s="300">
        <f t="shared" si="150"/>
        <v>0</v>
      </c>
      <c r="U425" s="300">
        <f t="shared" si="150"/>
        <v>0</v>
      </c>
      <c r="V425" s="300">
        <f t="shared" si="150"/>
        <v>0</v>
      </c>
      <c r="W425" s="300">
        <f t="shared" si="150"/>
        <v>0</v>
      </c>
      <c r="X425" s="300">
        <f t="shared" si="150"/>
        <v>0</v>
      </c>
      <c r="Y425" s="300">
        <f t="shared" si="150"/>
        <v>0</v>
      </c>
      <c r="Z425" s="300">
        <f t="shared" si="150"/>
        <v>0</v>
      </c>
      <c r="AA425" s="300">
        <f t="shared" si="150"/>
        <v>18000000</v>
      </c>
      <c r="AB425" s="300">
        <f t="shared" si="150"/>
        <v>0</v>
      </c>
      <c r="AC425" s="300">
        <f t="shared" si="150"/>
        <v>0</v>
      </c>
      <c r="AD425" s="300">
        <f t="shared" si="150"/>
        <v>18000000</v>
      </c>
      <c r="AE425" s="300"/>
      <c r="AF425" s="312"/>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row>
    <row r="426" spans="1:72" ht="94.5" customHeight="1" x14ac:dyDescent="0.2">
      <c r="A426" s="297"/>
      <c r="B426" s="204"/>
      <c r="C426" s="204"/>
      <c r="D426" s="204"/>
      <c r="E426" s="200"/>
      <c r="F426" s="209"/>
      <c r="G426" s="195" t="s">
        <v>1071</v>
      </c>
      <c r="H426" s="197">
        <v>3904018</v>
      </c>
      <c r="I426" s="195" t="s">
        <v>1072</v>
      </c>
      <c r="J426" s="383">
        <v>390401809</v>
      </c>
      <c r="K426" s="187" t="s">
        <v>1073</v>
      </c>
      <c r="L426" s="209" t="s">
        <v>54</v>
      </c>
      <c r="M426" s="261">
        <v>6</v>
      </c>
      <c r="N426" s="454" t="s">
        <v>1074</v>
      </c>
      <c r="O426" s="187" t="s">
        <v>1075</v>
      </c>
      <c r="P426" s="187" t="s">
        <v>1076</v>
      </c>
      <c r="Q426" s="303"/>
      <c r="R426" s="303"/>
      <c r="S426" s="303"/>
      <c r="T426" s="305"/>
      <c r="U426" s="305"/>
      <c r="V426" s="530"/>
      <c r="W426" s="305"/>
      <c r="X426" s="305"/>
      <c r="Y426" s="531"/>
      <c r="Z426" s="305"/>
      <c r="AA426" s="305">
        <v>18000000</v>
      </c>
      <c r="AB426" s="305"/>
      <c r="AC426" s="305"/>
      <c r="AD426" s="305">
        <f>+Q426+R426+S426+T426+U426+V426+W426+X426+Y426+Z426+AA426+AB426+AC426</f>
        <v>18000000</v>
      </c>
      <c r="AE426" s="305" t="s">
        <v>1025</v>
      </c>
      <c r="AF426" s="149" t="s">
        <v>1026</v>
      </c>
    </row>
    <row r="427" spans="1:72" s="9" customFormat="1" ht="30" customHeight="1" x14ac:dyDescent="0.25">
      <c r="A427" s="279"/>
      <c r="B427" s="280">
        <v>4</v>
      </c>
      <c r="C427" s="155" t="s">
        <v>37</v>
      </c>
      <c r="D427" s="348"/>
      <c r="E427" s="155"/>
      <c r="F427" s="155"/>
      <c r="G427" s="155"/>
      <c r="H427" s="281"/>
      <c r="I427" s="282"/>
      <c r="J427" s="280"/>
      <c r="K427" s="283"/>
      <c r="L427" s="284"/>
      <c r="M427" s="280"/>
      <c r="N427" s="285"/>
      <c r="O427" s="283"/>
      <c r="P427" s="283"/>
      <c r="Q427" s="286">
        <f>Q428</f>
        <v>0</v>
      </c>
      <c r="R427" s="286">
        <f t="shared" ref="R427:AD428" si="151">R428</f>
        <v>0</v>
      </c>
      <c r="S427" s="286">
        <f t="shared" si="151"/>
        <v>0</v>
      </c>
      <c r="T427" s="286">
        <f t="shared" si="151"/>
        <v>0</v>
      </c>
      <c r="U427" s="286">
        <f t="shared" si="151"/>
        <v>0</v>
      </c>
      <c r="V427" s="286">
        <f t="shared" si="151"/>
        <v>0</v>
      </c>
      <c r="W427" s="286">
        <f t="shared" si="151"/>
        <v>0</v>
      </c>
      <c r="X427" s="286">
        <f t="shared" si="151"/>
        <v>0</v>
      </c>
      <c r="Y427" s="286">
        <f t="shared" si="151"/>
        <v>0</v>
      </c>
      <c r="Z427" s="286">
        <f t="shared" si="151"/>
        <v>0</v>
      </c>
      <c r="AA427" s="286">
        <f t="shared" si="151"/>
        <v>298000000</v>
      </c>
      <c r="AB427" s="286">
        <f t="shared" si="151"/>
        <v>0</v>
      </c>
      <c r="AC427" s="286">
        <f t="shared" si="151"/>
        <v>0</v>
      </c>
      <c r="AD427" s="286">
        <f>AD428</f>
        <v>298000000</v>
      </c>
      <c r="AE427" s="286"/>
      <c r="AF427" s="340"/>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row>
    <row r="428" spans="1:72" s="9" customFormat="1" ht="27.75" customHeight="1" x14ac:dyDescent="0.25">
      <c r="A428" s="279"/>
      <c r="B428" s="194"/>
      <c r="C428" s="159">
        <v>23</v>
      </c>
      <c r="D428" s="156" t="s">
        <v>1191</v>
      </c>
      <c r="E428" s="156"/>
      <c r="F428" s="287"/>
      <c r="G428" s="288"/>
      <c r="H428" s="289"/>
      <c r="I428" s="290"/>
      <c r="J428" s="291"/>
      <c r="K428" s="292"/>
      <c r="L428" s="293"/>
      <c r="M428" s="291"/>
      <c r="N428" s="392"/>
      <c r="O428" s="295"/>
      <c r="P428" s="295"/>
      <c r="Q428" s="296">
        <f>Q429</f>
        <v>0</v>
      </c>
      <c r="R428" s="296">
        <f t="shared" si="151"/>
        <v>0</v>
      </c>
      <c r="S428" s="296">
        <f t="shared" si="151"/>
        <v>0</v>
      </c>
      <c r="T428" s="296">
        <f t="shared" si="151"/>
        <v>0</v>
      </c>
      <c r="U428" s="296">
        <f t="shared" si="151"/>
        <v>0</v>
      </c>
      <c r="V428" s="296">
        <f t="shared" si="151"/>
        <v>0</v>
      </c>
      <c r="W428" s="296">
        <f t="shared" si="151"/>
        <v>0</v>
      </c>
      <c r="X428" s="296">
        <f t="shared" si="151"/>
        <v>0</v>
      </c>
      <c r="Y428" s="296">
        <f t="shared" si="151"/>
        <v>0</v>
      </c>
      <c r="Z428" s="296">
        <f t="shared" si="151"/>
        <v>0</v>
      </c>
      <c r="AA428" s="296">
        <f t="shared" si="151"/>
        <v>298000000</v>
      </c>
      <c r="AB428" s="296">
        <f t="shared" si="151"/>
        <v>0</v>
      </c>
      <c r="AC428" s="296">
        <f t="shared" si="151"/>
        <v>0</v>
      </c>
      <c r="AD428" s="296">
        <f t="shared" si="151"/>
        <v>298000000</v>
      </c>
      <c r="AE428" s="296"/>
      <c r="AF428" s="341"/>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row>
    <row r="429" spans="1:72" s="9" customFormat="1" ht="24" customHeight="1" x14ac:dyDescent="0.25">
      <c r="A429" s="279"/>
      <c r="B429" s="204"/>
      <c r="C429" s="204"/>
      <c r="D429" s="204"/>
      <c r="E429" s="298">
        <v>2302</v>
      </c>
      <c r="F429" s="188" t="s">
        <v>1044</v>
      </c>
      <c r="G429" s="188"/>
      <c r="H429" s="188"/>
      <c r="I429" s="188"/>
      <c r="J429" s="309"/>
      <c r="K429" s="299"/>
      <c r="L429" s="310"/>
      <c r="M429" s="309"/>
      <c r="N429" s="311"/>
      <c r="O429" s="299"/>
      <c r="P429" s="299"/>
      <c r="Q429" s="300">
        <f>SUM(Q430:Q435)</f>
        <v>0</v>
      </c>
      <c r="R429" s="300">
        <f t="shared" ref="R429:AD429" si="152">SUM(R430:R435)</f>
        <v>0</v>
      </c>
      <c r="S429" s="300">
        <f t="shared" si="152"/>
        <v>0</v>
      </c>
      <c r="T429" s="300">
        <f t="shared" si="152"/>
        <v>0</v>
      </c>
      <c r="U429" s="300">
        <f t="shared" si="152"/>
        <v>0</v>
      </c>
      <c r="V429" s="300">
        <f t="shared" si="152"/>
        <v>0</v>
      </c>
      <c r="W429" s="300">
        <f t="shared" si="152"/>
        <v>0</v>
      </c>
      <c r="X429" s="300">
        <f t="shared" si="152"/>
        <v>0</v>
      </c>
      <c r="Y429" s="300">
        <f t="shared" si="152"/>
        <v>0</v>
      </c>
      <c r="Z429" s="300">
        <f t="shared" si="152"/>
        <v>0</v>
      </c>
      <c r="AA429" s="300">
        <f t="shared" si="152"/>
        <v>298000000</v>
      </c>
      <c r="AB429" s="300">
        <f t="shared" si="152"/>
        <v>0</v>
      </c>
      <c r="AC429" s="300">
        <f t="shared" si="152"/>
        <v>0</v>
      </c>
      <c r="AD429" s="300">
        <f t="shared" si="152"/>
        <v>298000000</v>
      </c>
      <c r="AE429" s="300">
        <f>SUM(AE430:AE435)</f>
        <v>0</v>
      </c>
      <c r="AF429" s="312">
        <f>SUM(AF430:AF435)</f>
        <v>0</v>
      </c>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row>
    <row r="430" spans="1:72" ht="54.75" customHeight="1" x14ac:dyDescent="0.2">
      <c r="A430" s="297"/>
      <c r="B430" s="204"/>
      <c r="C430" s="204"/>
      <c r="D430" s="204"/>
      <c r="E430" s="200"/>
      <c r="F430" s="209"/>
      <c r="G430" s="195" t="s">
        <v>1077</v>
      </c>
      <c r="H430" s="197">
        <v>2302003</v>
      </c>
      <c r="I430" s="195" t="s">
        <v>1078</v>
      </c>
      <c r="J430" s="383">
        <v>230200300</v>
      </c>
      <c r="K430" s="187" t="s">
        <v>1079</v>
      </c>
      <c r="L430" s="209" t="s">
        <v>54</v>
      </c>
      <c r="M430" s="261">
        <v>2</v>
      </c>
      <c r="N430" s="761" t="s">
        <v>1080</v>
      </c>
      <c r="O430" s="746" t="s">
        <v>1261</v>
      </c>
      <c r="P430" s="746" t="s">
        <v>1081</v>
      </c>
      <c r="Q430" s="303"/>
      <c r="R430" s="303"/>
      <c r="S430" s="303"/>
      <c r="T430" s="305"/>
      <c r="U430" s="305"/>
      <c r="V430" s="530"/>
      <c r="W430" s="305"/>
      <c r="X430" s="305"/>
      <c r="Y430" s="531"/>
      <c r="Z430" s="305"/>
      <c r="AA430" s="305">
        <v>120000000</v>
      </c>
      <c r="AB430" s="305"/>
      <c r="AC430" s="305"/>
      <c r="AD430" s="305">
        <f t="shared" ref="AD430:AD435" si="153">+Q430+R430+S430+T430+U430+V430+W430+X430+Y430+Z430+AA430+AB430+AC430</f>
        <v>120000000</v>
      </c>
      <c r="AE430" s="305" t="s">
        <v>1025</v>
      </c>
      <c r="AF430" s="149" t="s">
        <v>1026</v>
      </c>
    </row>
    <row r="431" spans="1:72" ht="93" customHeight="1" x14ac:dyDescent="0.2">
      <c r="A431" s="297"/>
      <c r="B431" s="204"/>
      <c r="C431" s="204"/>
      <c r="D431" s="204"/>
      <c r="E431" s="200"/>
      <c r="F431" s="209"/>
      <c r="G431" s="195" t="s">
        <v>1077</v>
      </c>
      <c r="H431" s="197">
        <v>2302033</v>
      </c>
      <c r="I431" s="195" t="s">
        <v>1082</v>
      </c>
      <c r="J431" s="383">
        <v>230203300</v>
      </c>
      <c r="K431" s="187" t="s">
        <v>1083</v>
      </c>
      <c r="L431" s="209" t="s">
        <v>42</v>
      </c>
      <c r="M431" s="261">
        <v>100</v>
      </c>
      <c r="N431" s="761"/>
      <c r="O431" s="746"/>
      <c r="P431" s="746"/>
      <c r="Q431" s="303"/>
      <c r="R431" s="303"/>
      <c r="S431" s="303"/>
      <c r="T431" s="305"/>
      <c r="U431" s="305"/>
      <c r="V431" s="530"/>
      <c r="W431" s="305"/>
      <c r="X431" s="305"/>
      <c r="Y431" s="531"/>
      <c r="Z431" s="305"/>
      <c r="AA431" s="305">
        <v>50000000</v>
      </c>
      <c r="AB431" s="305"/>
      <c r="AC431" s="305"/>
      <c r="AD431" s="305">
        <f t="shared" si="153"/>
        <v>50000000</v>
      </c>
      <c r="AE431" s="305" t="s">
        <v>1025</v>
      </c>
      <c r="AF431" s="149" t="s">
        <v>1026</v>
      </c>
    </row>
    <row r="432" spans="1:72" ht="132" customHeight="1" x14ac:dyDescent="0.2">
      <c r="A432" s="297"/>
      <c r="B432" s="204"/>
      <c r="C432" s="204"/>
      <c r="D432" s="204"/>
      <c r="E432" s="200"/>
      <c r="F432" s="209"/>
      <c r="G432" s="195" t="s">
        <v>1077</v>
      </c>
      <c r="H432" s="197">
        <v>2302066</v>
      </c>
      <c r="I432" s="195" t="s">
        <v>1084</v>
      </c>
      <c r="J432" s="383">
        <v>230206600</v>
      </c>
      <c r="K432" s="187" t="s">
        <v>1289</v>
      </c>
      <c r="L432" s="222" t="s">
        <v>54</v>
      </c>
      <c r="M432" s="261">
        <v>50</v>
      </c>
      <c r="N432" s="761"/>
      <c r="O432" s="746"/>
      <c r="P432" s="746"/>
      <c r="Q432" s="303"/>
      <c r="R432" s="303"/>
      <c r="S432" s="303"/>
      <c r="T432" s="305"/>
      <c r="U432" s="305"/>
      <c r="V432" s="530"/>
      <c r="W432" s="305"/>
      <c r="X432" s="305"/>
      <c r="Y432" s="531"/>
      <c r="Z432" s="305"/>
      <c r="AA432" s="305">
        <v>60000000</v>
      </c>
      <c r="AB432" s="305"/>
      <c r="AC432" s="305"/>
      <c r="AD432" s="305">
        <f t="shared" si="153"/>
        <v>60000000</v>
      </c>
      <c r="AE432" s="305" t="s">
        <v>1025</v>
      </c>
      <c r="AF432" s="149" t="s">
        <v>1026</v>
      </c>
    </row>
    <row r="433" spans="1:72" ht="108" customHeight="1" x14ac:dyDescent="0.2">
      <c r="A433" s="297"/>
      <c r="B433" s="204"/>
      <c r="C433" s="204"/>
      <c r="D433" s="204"/>
      <c r="E433" s="200"/>
      <c r="F433" s="209"/>
      <c r="G433" s="195" t="s">
        <v>1077</v>
      </c>
      <c r="H433" s="197">
        <v>2302004</v>
      </c>
      <c r="I433" s="195" t="s">
        <v>1085</v>
      </c>
      <c r="J433" s="383">
        <v>230200403</v>
      </c>
      <c r="K433" s="187" t="s">
        <v>1086</v>
      </c>
      <c r="L433" s="209" t="s">
        <v>42</v>
      </c>
      <c r="M433" s="261">
        <v>1</v>
      </c>
      <c r="N433" s="761"/>
      <c r="O433" s="746"/>
      <c r="P433" s="746"/>
      <c r="Q433" s="303"/>
      <c r="R433" s="303"/>
      <c r="S433" s="303"/>
      <c r="T433" s="305"/>
      <c r="U433" s="305"/>
      <c r="V433" s="530"/>
      <c r="W433" s="305"/>
      <c r="X433" s="305"/>
      <c r="Y433" s="531"/>
      <c r="Z433" s="305"/>
      <c r="AA433" s="305">
        <v>25000000</v>
      </c>
      <c r="AB433" s="305"/>
      <c r="AC433" s="305"/>
      <c r="AD433" s="305">
        <f t="shared" si="153"/>
        <v>25000000</v>
      </c>
      <c r="AE433" s="305" t="s">
        <v>1025</v>
      </c>
      <c r="AF433" s="149" t="s">
        <v>1026</v>
      </c>
    </row>
    <row r="434" spans="1:72" ht="149.25" customHeight="1" x14ac:dyDescent="0.2">
      <c r="A434" s="297"/>
      <c r="B434" s="204"/>
      <c r="C434" s="204"/>
      <c r="D434" s="204"/>
      <c r="E434" s="200"/>
      <c r="F434" s="209"/>
      <c r="G434" s="195" t="s">
        <v>1077</v>
      </c>
      <c r="H434" s="197">
        <v>2302007</v>
      </c>
      <c r="I434" s="195" t="s">
        <v>1087</v>
      </c>
      <c r="J434" s="383">
        <v>230200701</v>
      </c>
      <c r="K434" s="187" t="s">
        <v>1088</v>
      </c>
      <c r="L434" s="209" t="s">
        <v>42</v>
      </c>
      <c r="M434" s="261">
        <v>1</v>
      </c>
      <c r="N434" s="761"/>
      <c r="O434" s="746"/>
      <c r="P434" s="746"/>
      <c r="Q434" s="303"/>
      <c r="R434" s="303"/>
      <c r="S434" s="303"/>
      <c r="T434" s="305"/>
      <c r="U434" s="305"/>
      <c r="V434" s="530"/>
      <c r="W434" s="305"/>
      <c r="X434" s="305"/>
      <c r="Y434" s="531"/>
      <c r="Z434" s="305"/>
      <c r="AA434" s="305">
        <v>25000000</v>
      </c>
      <c r="AB434" s="305"/>
      <c r="AC434" s="305"/>
      <c r="AD434" s="305">
        <f t="shared" si="153"/>
        <v>25000000</v>
      </c>
      <c r="AE434" s="305" t="s">
        <v>1025</v>
      </c>
      <c r="AF434" s="149" t="s">
        <v>1026</v>
      </c>
    </row>
    <row r="435" spans="1:72" ht="72" customHeight="1" x14ac:dyDescent="0.2">
      <c r="A435" s="297"/>
      <c r="B435" s="204"/>
      <c r="C435" s="204"/>
      <c r="D435" s="204"/>
      <c r="E435" s="200"/>
      <c r="F435" s="209"/>
      <c r="G435" s="195" t="s">
        <v>1077</v>
      </c>
      <c r="H435" s="197">
        <v>2302083</v>
      </c>
      <c r="I435" s="195" t="s">
        <v>79</v>
      </c>
      <c r="J435" s="383">
        <v>230208300</v>
      </c>
      <c r="K435" s="187" t="s">
        <v>453</v>
      </c>
      <c r="L435" s="209" t="s">
        <v>42</v>
      </c>
      <c r="M435" s="261">
        <v>1</v>
      </c>
      <c r="N435" s="761"/>
      <c r="O435" s="746"/>
      <c r="P435" s="746"/>
      <c r="Q435" s="303"/>
      <c r="R435" s="303"/>
      <c r="S435" s="303"/>
      <c r="T435" s="305"/>
      <c r="U435" s="305"/>
      <c r="V435" s="530"/>
      <c r="W435" s="305"/>
      <c r="X435" s="305"/>
      <c r="Y435" s="531"/>
      <c r="Z435" s="305"/>
      <c r="AA435" s="305">
        <v>18000000</v>
      </c>
      <c r="AB435" s="305"/>
      <c r="AC435" s="305"/>
      <c r="AD435" s="305">
        <f t="shared" si="153"/>
        <v>18000000</v>
      </c>
      <c r="AE435" s="305" t="s">
        <v>1025</v>
      </c>
      <c r="AF435" s="149" t="s">
        <v>1026</v>
      </c>
    </row>
    <row r="436" spans="1:72" s="29" customFormat="1" ht="31.5" customHeight="1" x14ac:dyDescent="0.25">
      <c r="A436" s="739" t="s">
        <v>1089</v>
      </c>
      <c r="B436" s="740"/>
      <c r="C436" s="740"/>
      <c r="D436" s="740"/>
      <c r="E436" s="740"/>
      <c r="F436" s="741"/>
      <c r="G436" s="620"/>
      <c r="H436" s="621"/>
      <c r="I436" s="622"/>
      <c r="J436" s="621"/>
      <c r="K436" s="623"/>
      <c r="L436" s="624"/>
      <c r="M436" s="621"/>
      <c r="N436" s="625"/>
      <c r="O436" s="622"/>
      <c r="P436" s="622"/>
      <c r="Q436" s="626">
        <f t="shared" ref="Q436:AD436" si="154">+Q400+Q332+Q276+Q231+Q222+Q164+Q145+Q129+Q86+Q42+Q35+Q17+Q7</f>
        <v>9467730128</v>
      </c>
      <c r="R436" s="626">
        <f t="shared" si="154"/>
        <v>1724182726</v>
      </c>
      <c r="S436" s="626">
        <f t="shared" si="154"/>
        <v>0</v>
      </c>
      <c r="T436" s="626">
        <f t="shared" si="154"/>
        <v>1704977490</v>
      </c>
      <c r="U436" s="626">
        <f t="shared" si="154"/>
        <v>6460193577</v>
      </c>
      <c r="V436" s="627">
        <f t="shared" si="154"/>
        <v>35242837560</v>
      </c>
      <c r="W436" s="626">
        <f t="shared" si="154"/>
        <v>143885000000</v>
      </c>
      <c r="X436" s="627">
        <f t="shared" si="154"/>
        <v>25145000000</v>
      </c>
      <c r="Y436" s="626">
        <f t="shared" si="154"/>
        <v>12990000000</v>
      </c>
      <c r="Z436" s="628">
        <f t="shared" si="154"/>
        <v>2753011221</v>
      </c>
      <c r="AA436" s="628">
        <f t="shared" si="154"/>
        <v>18468875428</v>
      </c>
      <c r="AB436" s="628">
        <f t="shared" si="154"/>
        <v>927910446</v>
      </c>
      <c r="AC436" s="628">
        <f t="shared" si="154"/>
        <v>2849166997</v>
      </c>
      <c r="AD436" s="628">
        <f t="shared" si="154"/>
        <v>261618885573</v>
      </c>
      <c r="AE436" s="628"/>
      <c r="AF436" s="629">
        <f>+AF400+AF332+AF276+AF231+AF222+AF164+AF145+AF129+AF86+AF42+AF35+AF17+AF7</f>
        <v>0</v>
      </c>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row>
    <row r="437" spans="1:72" s="619" customFormat="1" ht="27.75" customHeight="1" x14ac:dyDescent="0.25">
      <c r="A437" s="125"/>
      <c r="B437" s="615"/>
      <c r="C437" s="615"/>
      <c r="D437" s="615"/>
      <c r="E437" s="189"/>
      <c r="F437" s="616"/>
      <c r="G437" s="617"/>
      <c r="H437" s="189"/>
      <c r="I437" s="617"/>
      <c r="J437" s="229"/>
      <c r="K437" s="618"/>
      <c r="L437" s="616"/>
      <c r="M437" s="229"/>
      <c r="N437" s="616"/>
      <c r="O437" s="618"/>
      <c r="P437" s="618"/>
      <c r="Q437" s="125"/>
      <c r="R437" s="125"/>
      <c r="S437" s="125"/>
      <c r="T437" s="125"/>
      <c r="U437" s="117"/>
      <c r="V437" s="125"/>
      <c r="W437" s="125"/>
      <c r="X437" s="125"/>
      <c r="Y437" s="125"/>
      <c r="Z437" s="125"/>
      <c r="AA437" s="125"/>
      <c r="AB437" s="125"/>
      <c r="AC437" s="125"/>
      <c r="AD437" s="125"/>
      <c r="AE437" s="125"/>
      <c r="AF437" s="616"/>
      <c r="AG437" s="125"/>
      <c r="AH437" s="125"/>
      <c r="AI437" s="125"/>
      <c r="AJ437" s="125"/>
      <c r="AK437" s="125"/>
      <c r="AL437" s="125"/>
      <c r="AM437" s="125"/>
      <c r="AN437" s="125"/>
      <c r="AO437" s="125"/>
      <c r="AP437" s="125"/>
      <c r="AQ437" s="125"/>
      <c r="AR437" s="125"/>
      <c r="AS437" s="125"/>
      <c r="AT437" s="125"/>
      <c r="AU437" s="125"/>
      <c r="AV437" s="125"/>
      <c r="AW437" s="125"/>
      <c r="AX437" s="125"/>
      <c r="AY437" s="125"/>
      <c r="AZ437" s="125"/>
      <c r="BA437" s="125"/>
      <c r="BB437" s="125"/>
      <c r="BC437" s="125"/>
      <c r="BD437" s="125"/>
      <c r="BE437" s="125"/>
      <c r="BF437" s="125"/>
      <c r="BG437" s="125"/>
      <c r="BH437" s="125"/>
      <c r="BI437" s="125"/>
      <c r="BJ437" s="125"/>
      <c r="BK437" s="125"/>
      <c r="BL437" s="125"/>
      <c r="BM437" s="125"/>
      <c r="BN437" s="125"/>
      <c r="BO437" s="125"/>
      <c r="BP437" s="125"/>
      <c r="BQ437" s="125"/>
      <c r="BR437" s="125"/>
      <c r="BS437" s="125"/>
      <c r="BT437" s="125"/>
    </row>
    <row r="438" spans="1:72" s="658" customFormat="1" ht="21.75" customHeight="1" x14ac:dyDescent="0.2">
      <c r="A438" s="648" t="s">
        <v>1090</v>
      </c>
      <c r="B438" s="648"/>
      <c r="C438" s="648"/>
      <c r="D438" s="648"/>
      <c r="E438" s="647"/>
      <c r="F438" s="663"/>
      <c r="G438" s="664"/>
      <c r="H438" s="665"/>
      <c r="I438" s="664"/>
      <c r="J438" s="666"/>
      <c r="K438" s="667"/>
      <c r="L438" s="668"/>
      <c r="M438" s="666"/>
      <c r="N438" s="663"/>
      <c r="O438" s="667"/>
      <c r="P438" s="667"/>
      <c r="Q438" s="669">
        <f t="shared" ref="Q438:AD438" si="155">+Q439</f>
        <v>0</v>
      </c>
      <c r="R438" s="669">
        <f t="shared" si="155"/>
        <v>0</v>
      </c>
      <c r="S438" s="669">
        <f t="shared" si="155"/>
        <v>0</v>
      </c>
      <c r="T438" s="669">
        <f t="shared" si="155"/>
        <v>0</v>
      </c>
      <c r="U438" s="669">
        <f t="shared" si="155"/>
        <v>0</v>
      </c>
      <c r="V438" s="669">
        <f t="shared" si="155"/>
        <v>0</v>
      </c>
      <c r="W438" s="669">
        <f t="shared" si="155"/>
        <v>0</v>
      </c>
      <c r="X438" s="669">
        <f t="shared" si="155"/>
        <v>0</v>
      </c>
      <c r="Y438" s="669">
        <f t="shared" si="155"/>
        <v>0</v>
      </c>
      <c r="Z438" s="669">
        <f t="shared" si="155"/>
        <v>0</v>
      </c>
      <c r="AA438" s="669">
        <f t="shared" si="155"/>
        <v>855248186</v>
      </c>
      <c r="AB438" s="669">
        <f t="shared" si="155"/>
        <v>1638482068.22</v>
      </c>
      <c r="AC438" s="669">
        <f t="shared" si="155"/>
        <v>1000000000</v>
      </c>
      <c r="AD438" s="669">
        <f t="shared" si="155"/>
        <v>3493730254.2199998</v>
      </c>
      <c r="AE438" s="669"/>
      <c r="AF438" s="670"/>
      <c r="AG438" s="657"/>
      <c r="AH438" s="657"/>
      <c r="AI438" s="657"/>
      <c r="AJ438" s="657"/>
      <c r="AK438" s="657"/>
      <c r="AL438" s="657"/>
      <c r="AM438" s="657"/>
      <c r="AN438" s="657"/>
      <c r="AO438" s="657"/>
      <c r="AP438" s="657"/>
      <c r="AQ438" s="657"/>
      <c r="AR438" s="657"/>
      <c r="AS438" s="657"/>
      <c r="AT438" s="657"/>
      <c r="AU438" s="657"/>
      <c r="AV438" s="657"/>
      <c r="AW438" s="657"/>
      <c r="AX438" s="657"/>
      <c r="AY438" s="657"/>
      <c r="AZ438" s="657"/>
      <c r="BA438" s="657"/>
      <c r="BB438" s="657"/>
      <c r="BC438" s="657"/>
      <c r="BD438" s="657"/>
      <c r="BE438" s="657"/>
      <c r="BF438" s="657"/>
      <c r="BG438" s="657"/>
      <c r="BH438" s="657"/>
      <c r="BI438" s="657"/>
      <c r="BJ438" s="657"/>
      <c r="BK438" s="657"/>
      <c r="BL438" s="657"/>
      <c r="BM438" s="657"/>
      <c r="BN438" s="657"/>
      <c r="BO438" s="657"/>
      <c r="BP438" s="657"/>
      <c r="BQ438" s="657"/>
      <c r="BR438" s="657"/>
      <c r="BS438" s="657"/>
      <c r="BT438" s="657"/>
    </row>
    <row r="439" spans="1:72" ht="21.75" customHeight="1" x14ac:dyDescent="0.2">
      <c r="A439" s="297"/>
      <c r="B439" s="280">
        <v>1</v>
      </c>
      <c r="C439" s="155" t="s">
        <v>120</v>
      </c>
      <c r="D439" s="348"/>
      <c r="E439" s="155"/>
      <c r="F439" s="155"/>
      <c r="G439" s="155"/>
      <c r="H439" s="281"/>
      <c r="I439" s="282"/>
      <c r="J439" s="280"/>
      <c r="K439" s="283"/>
      <c r="L439" s="284"/>
      <c r="M439" s="280"/>
      <c r="N439" s="285"/>
      <c r="O439" s="283"/>
      <c r="P439" s="283"/>
      <c r="Q439" s="286">
        <f>Q440</f>
        <v>0</v>
      </c>
      <c r="R439" s="286">
        <f t="shared" ref="R439:AC439" si="156">R440</f>
        <v>0</v>
      </c>
      <c r="S439" s="286">
        <f t="shared" si="156"/>
        <v>0</v>
      </c>
      <c r="T439" s="286">
        <f t="shared" si="156"/>
        <v>0</v>
      </c>
      <c r="U439" s="286">
        <f t="shared" si="156"/>
        <v>0</v>
      </c>
      <c r="V439" s="286">
        <f t="shared" si="156"/>
        <v>0</v>
      </c>
      <c r="W439" s="286">
        <f t="shared" si="156"/>
        <v>0</v>
      </c>
      <c r="X439" s="286">
        <f t="shared" si="156"/>
        <v>0</v>
      </c>
      <c r="Y439" s="286">
        <f t="shared" si="156"/>
        <v>0</v>
      </c>
      <c r="Z439" s="286">
        <f t="shared" si="156"/>
        <v>0</v>
      </c>
      <c r="AA439" s="286">
        <f t="shared" si="156"/>
        <v>855248186</v>
      </c>
      <c r="AB439" s="286">
        <f t="shared" si="156"/>
        <v>1638482068.22</v>
      </c>
      <c r="AC439" s="286">
        <f t="shared" si="156"/>
        <v>1000000000</v>
      </c>
      <c r="AD439" s="286">
        <f>AD440</f>
        <v>3493730254.2199998</v>
      </c>
      <c r="AE439" s="286"/>
      <c r="AF439" s="340"/>
    </row>
    <row r="440" spans="1:72" s="9" customFormat="1" ht="27.75" customHeight="1" x14ac:dyDescent="0.25">
      <c r="A440" s="279"/>
      <c r="B440" s="194"/>
      <c r="C440" s="159">
        <v>43</v>
      </c>
      <c r="D440" s="156" t="s">
        <v>1230</v>
      </c>
      <c r="E440" s="156"/>
      <c r="F440" s="287"/>
      <c r="G440" s="288"/>
      <c r="H440" s="289"/>
      <c r="I440" s="290"/>
      <c r="J440" s="291"/>
      <c r="K440" s="292"/>
      <c r="L440" s="293"/>
      <c r="M440" s="291"/>
      <c r="N440" s="392"/>
      <c r="O440" s="295"/>
      <c r="P440" s="295"/>
      <c r="Q440" s="296">
        <f>Q441+Q446</f>
        <v>0</v>
      </c>
      <c r="R440" s="296">
        <f t="shared" ref="R440:AC440" si="157">R441+R446</f>
        <v>0</v>
      </c>
      <c r="S440" s="296">
        <f t="shared" si="157"/>
        <v>0</v>
      </c>
      <c r="T440" s="296">
        <f t="shared" si="157"/>
        <v>0</v>
      </c>
      <c r="U440" s="296">
        <f t="shared" si="157"/>
        <v>0</v>
      </c>
      <c r="V440" s="296">
        <f t="shared" si="157"/>
        <v>0</v>
      </c>
      <c r="W440" s="296">
        <f t="shared" si="157"/>
        <v>0</v>
      </c>
      <c r="X440" s="296">
        <f t="shared" si="157"/>
        <v>0</v>
      </c>
      <c r="Y440" s="296">
        <f t="shared" si="157"/>
        <v>0</v>
      </c>
      <c r="Z440" s="296">
        <f t="shared" si="157"/>
        <v>0</v>
      </c>
      <c r="AA440" s="296">
        <f t="shared" si="157"/>
        <v>855248186</v>
      </c>
      <c r="AB440" s="296">
        <f t="shared" si="157"/>
        <v>1638482068.22</v>
      </c>
      <c r="AC440" s="296">
        <f t="shared" si="157"/>
        <v>1000000000</v>
      </c>
      <c r="AD440" s="296">
        <f>AD441+AD446</f>
        <v>3493730254.2199998</v>
      </c>
      <c r="AE440" s="296"/>
      <c r="AF440" s="341"/>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row>
    <row r="441" spans="1:72" ht="35.25" customHeight="1" x14ac:dyDescent="0.2">
      <c r="A441" s="297"/>
      <c r="B441" s="204"/>
      <c r="C441" s="204"/>
      <c r="D441" s="204"/>
      <c r="E441" s="309">
        <v>4301</v>
      </c>
      <c r="F441" s="188" t="s">
        <v>1328</v>
      </c>
      <c r="G441" s="366"/>
      <c r="H441" s="534"/>
      <c r="I441" s="535"/>
      <c r="J441" s="534"/>
      <c r="K441" s="438"/>
      <c r="L441" s="393"/>
      <c r="M441" s="534"/>
      <c r="N441" s="393"/>
      <c r="O441" s="438"/>
      <c r="P441" s="438"/>
      <c r="Q441" s="328">
        <f>SUM(Q442:Q445)</f>
        <v>0</v>
      </c>
      <c r="R441" s="328">
        <f t="shared" ref="R441:AD441" si="158">SUM(R442:R445)</f>
        <v>0</v>
      </c>
      <c r="S441" s="328">
        <f t="shared" si="158"/>
        <v>0</v>
      </c>
      <c r="T441" s="328">
        <f t="shared" si="158"/>
        <v>0</v>
      </c>
      <c r="U441" s="328">
        <f t="shared" si="158"/>
        <v>0</v>
      </c>
      <c r="V441" s="328">
        <f t="shared" si="158"/>
        <v>0</v>
      </c>
      <c r="W441" s="328">
        <f t="shared" si="158"/>
        <v>0</v>
      </c>
      <c r="X441" s="328">
        <f t="shared" si="158"/>
        <v>0</v>
      </c>
      <c r="Y441" s="328">
        <f t="shared" si="158"/>
        <v>0</v>
      </c>
      <c r="Z441" s="328">
        <f t="shared" si="158"/>
        <v>0</v>
      </c>
      <c r="AA441" s="328">
        <f t="shared" si="158"/>
        <v>136127636</v>
      </c>
      <c r="AB441" s="328">
        <f t="shared" si="158"/>
        <v>1350121882.22</v>
      </c>
      <c r="AC441" s="328">
        <f t="shared" si="158"/>
        <v>1000000000</v>
      </c>
      <c r="AD441" s="328">
        <f t="shared" si="158"/>
        <v>2486249518.2199998</v>
      </c>
      <c r="AE441" s="328"/>
      <c r="AF441" s="630"/>
    </row>
    <row r="442" spans="1:72" ht="140.25" customHeight="1" x14ac:dyDescent="0.2">
      <c r="A442" s="297"/>
      <c r="B442" s="204"/>
      <c r="C442" s="204"/>
      <c r="D442" s="204"/>
      <c r="E442" s="204"/>
      <c r="F442" s="209"/>
      <c r="G442" s="246" t="s">
        <v>1091</v>
      </c>
      <c r="H442" s="197">
        <v>4301007</v>
      </c>
      <c r="I442" s="195" t="s">
        <v>1092</v>
      </c>
      <c r="J442" s="197">
        <v>430100701</v>
      </c>
      <c r="K442" s="187" t="s">
        <v>1093</v>
      </c>
      <c r="L442" s="405" t="s">
        <v>42</v>
      </c>
      <c r="M442" s="261">
        <v>12</v>
      </c>
      <c r="N442" s="770">
        <v>2020003630009</v>
      </c>
      <c r="O442" s="746" t="s">
        <v>1094</v>
      </c>
      <c r="P442" s="734" t="s">
        <v>1095</v>
      </c>
      <c r="Q442" s="303"/>
      <c r="R442" s="303"/>
      <c r="S442" s="303"/>
      <c r="T442" s="303"/>
      <c r="U442" s="303"/>
      <c r="V442" s="536"/>
      <c r="W442" s="303"/>
      <c r="X442" s="303"/>
      <c r="Y442" s="461"/>
      <c r="Z442" s="303"/>
      <c r="AA442" s="537"/>
      <c r="AB442" s="538">
        <v>843746501.24000001</v>
      </c>
      <c r="AC442" s="303">
        <v>240000000</v>
      </c>
      <c r="AD442" s="305">
        <f>+Q442+R442+S442+T442+U442+V442+W442+X442+Y442+Z442+AA442+AB442+AC442</f>
        <v>1083746501.24</v>
      </c>
      <c r="AE442" s="263" t="s">
        <v>1175</v>
      </c>
      <c r="AF442" s="272" t="s">
        <v>1174</v>
      </c>
    </row>
    <row r="443" spans="1:72" ht="140.25" customHeight="1" x14ac:dyDescent="0.2">
      <c r="A443" s="297"/>
      <c r="B443" s="204"/>
      <c r="C443" s="204"/>
      <c r="D443" s="204"/>
      <c r="E443" s="204"/>
      <c r="F443" s="209"/>
      <c r="G443" s="246" t="s">
        <v>1091</v>
      </c>
      <c r="H443" s="197">
        <v>4301037</v>
      </c>
      <c r="I443" s="195" t="s">
        <v>1270</v>
      </c>
      <c r="J443" s="197">
        <v>430103701</v>
      </c>
      <c r="K443" s="187" t="s">
        <v>1096</v>
      </c>
      <c r="L443" s="378" t="s">
        <v>42</v>
      </c>
      <c r="M443" s="261">
        <v>12</v>
      </c>
      <c r="N443" s="770"/>
      <c r="O443" s="746"/>
      <c r="P443" s="734"/>
      <c r="Q443" s="303"/>
      <c r="R443" s="303"/>
      <c r="S443" s="303"/>
      <c r="T443" s="303"/>
      <c r="U443" s="303"/>
      <c r="V443" s="460"/>
      <c r="W443" s="303"/>
      <c r="X443" s="303"/>
      <c r="Y443" s="461"/>
      <c r="Z443" s="303"/>
      <c r="AA443" s="537"/>
      <c r="AB443" s="537">
        <v>176820060</v>
      </c>
      <c r="AC443" s="537">
        <v>165000000</v>
      </c>
      <c r="AD443" s="305">
        <f>+Q443+R443+S443+T443+U443+V443+W443+X443+Y443+Z443+AA443+AB443+AC443</f>
        <v>341820060</v>
      </c>
      <c r="AE443" s="263" t="s">
        <v>1175</v>
      </c>
      <c r="AF443" s="272" t="s">
        <v>1174</v>
      </c>
    </row>
    <row r="444" spans="1:72" ht="129" customHeight="1" x14ac:dyDescent="0.2">
      <c r="A444" s="297"/>
      <c r="B444" s="204"/>
      <c r="C444" s="204"/>
      <c r="D444" s="204"/>
      <c r="E444" s="204"/>
      <c r="F444" s="209"/>
      <c r="G444" s="246" t="s">
        <v>1091</v>
      </c>
      <c r="H444" s="197">
        <v>4301037</v>
      </c>
      <c r="I444" s="195" t="s">
        <v>1270</v>
      </c>
      <c r="J444" s="197" t="s">
        <v>1097</v>
      </c>
      <c r="K444" s="187" t="s">
        <v>1098</v>
      </c>
      <c r="L444" s="378" t="s">
        <v>42</v>
      </c>
      <c r="M444" s="261">
        <v>12</v>
      </c>
      <c r="N444" s="770"/>
      <c r="O444" s="746"/>
      <c r="P444" s="734"/>
      <c r="Q444" s="303"/>
      <c r="R444" s="303"/>
      <c r="S444" s="303"/>
      <c r="T444" s="303"/>
      <c r="U444" s="303"/>
      <c r="V444" s="460"/>
      <c r="W444" s="303"/>
      <c r="X444" s="303"/>
      <c r="Y444" s="461"/>
      <c r="Z444" s="303"/>
      <c r="AA444" s="537">
        <f>63455402+72672234</f>
        <v>136127636</v>
      </c>
      <c r="AB444" s="537">
        <v>253377194</v>
      </c>
      <c r="AC444" s="303">
        <v>595000000</v>
      </c>
      <c r="AD444" s="305">
        <f>+Q444+R444+S444+T444+U444+V444+W444+X444+Y444+Z444+AA444+AB444+AC444</f>
        <v>984504830</v>
      </c>
      <c r="AE444" s="263" t="s">
        <v>1175</v>
      </c>
      <c r="AF444" s="272" t="s">
        <v>1174</v>
      </c>
    </row>
    <row r="445" spans="1:72" ht="166.5" customHeight="1" x14ac:dyDescent="0.2">
      <c r="A445" s="297"/>
      <c r="B445" s="204"/>
      <c r="C445" s="204"/>
      <c r="D445" s="204"/>
      <c r="E445" s="204"/>
      <c r="F445" s="209"/>
      <c r="G445" s="246" t="s">
        <v>1091</v>
      </c>
      <c r="H445" s="190">
        <v>4301006</v>
      </c>
      <c r="I445" s="679" t="s">
        <v>1290</v>
      </c>
      <c r="J445" s="190">
        <v>430100600</v>
      </c>
      <c r="K445" s="187" t="s">
        <v>1099</v>
      </c>
      <c r="L445" s="405" t="s">
        <v>42</v>
      </c>
      <c r="M445" s="261">
        <v>1</v>
      </c>
      <c r="N445" s="770"/>
      <c r="O445" s="746"/>
      <c r="P445" s="734"/>
      <c r="Q445" s="303"/>
      <c r="R445" s="303"/>
      <c r="S445" s="303"/>
      <c r="T445" s="303"/>
      <c r="U445" s="303"/>
      <c r="V445" s="460"/>
      <c r="W445" s="303"/>
      <c r="X445" s="303"/>
      <c r="Y445" s="461"/>
      <c r="Z445" s="303"/>
      <c r="AA445" s="539"/>
      <c r="AB445" s="540">
        <v>76178126.980000004</v>
      </c>
      <c r="AC445" s="149"/>
      <c r="AD445" s="305">
        <f>+Q445+R445+S445+T445+U445+V445+W445+X445+Y445+Z445+AA445+AB445+AC445</f>
        <v>76178126.980000004</v>
      </c>
      <c r="AE445" s="263" t="s">
        <v>1175</v>
      </c>
      <c r="AF445" s="272" t="s">
        <v>1174</v>
      </c>
    </row>
    <row r="446" spans="1:72" ht="25.5" customHeight="1" x14ac:dyDescent="0.2">
      <c r="A446" s="297"/>
      <c r="B446" s="204"/>
      <c r="C446" s="204"/>
      <c r="D446" s="204"/>
      <c r="E446" s="541">
        <v>4302</v>
      </c>
      <c r="F446" s="188" t="s">
        <v>1100</v>
      </c>
      <c r="G446" s="188"/>
      <c r="H446" s="307"/>
      <c r="I446" s="308"/>
      <c r="J446" s="309"/>
      <c r="K446" s="299"/>
      <c r="L446" s="310"/>
      <c r="M446" s="309"/>
      <c r="N446" s="311"/>
      <c r="O446" s="299"/>
      <c r="P446" s="299"/>
      <c r="Q446" s="300">
        <f>SUM(Q447:Q448)</f>
        <v>0</v>
      </c>
      <c r="R446" s="300">
        <f t="shared" ref="R446:AD446" si="159">SUM(R447:R448)</f>
        <v>0</v>
      </c>
      <c r="S446" s="300">
        <f t="shared" si="159"/>
        <v>0</v>
      </c>
      <c r="T446" s="300">
        <f t="shared" si="159"/>
        <v>0</v>
      </c>
      <c r="U446" s="300">
        <f t="shared" si="159"/>
        <v>0</v>
      </c>
      <c r="V446" s="300">
        <f t="shared" si="159"/>
        <v>0</v>
      </c>
      <c r="W446" s="300">
        <f t="shared" si="159"/>
        <v>0</v>
      </c>
      <c r="X446" s="300">
        <f t="shared" si="159"/>
        <v>0</v>
      </c>
      <c r="Y446" s="300">
        <f t="shared" si="159"/>
        <v>0</v>
      </c>
      <c r="Z446" s="300">
        <f t="shared" si="159"/>
        <v>0</v>
      </c>
      <c r="AA446" s="300">
        <f t="shared" si="159"/>
        <v>719120550</v>
      </c>
      <c r="AB446" s="300">
        <f t="shared" si="159"/>
        <v>288360186</v>
      </c>
      <c r="AC446" s="300">
        <f t="shared" si="159"/>
        <v>0</v>
      </c>
      <c r="AD446" s="300">
        <f t="shared" si="159"/>
        <v>1007480736</v>
      </c>
      <c r="AE446" s="522"/>
      <c r="AF446" s="542"/>
    </row>
    <row r="447" spans="1:72" ht="151.5" customHeight="1" x14ac:dyDescent="0.2">
      <c r="A447" s="297"/>
      <c r="B447" s="204"/>
      <c r="C447" s="204"/>
      <c r="D447" s="204"/>
      <c r="E447" s="204"/>
      <c r="F447" s="297"/>
      <c r="G447" s="246" t="s">
        <v>1101</v>
      </c>
      <c r="H447" s="543">
        <v>4302075</v>
      </c>
      <c r="I447" s="195" t="s">
        <v>1102</v>
      </c>
      <c r="J447" s="219">
        <v>430207500</v>
      </c>
      <c r="K447" s="246" t="s">
        <v>1103</v>
      </c>
      <c r="L447" s="405" t="s">
        <v>42</v>
      </c>
      <c r="M447" s="378">
        <v>25</v>
      </c>
      <c r="N447" s="544">
        <v>2020003630010</v>
      </c>
      <c r="O447" s="545" t="s">
        <v>1104</v>
      </c>
      <c r="P447" s="545" t="s">
        <v>1105</v>
      </c>
      <c r="Q447" s="303"/>
      <c r="R447" s="303"/>
      <c r="S447" s="303"/>
      <c r="T447" s="303"/>
      <c r="U447" s="303"/>
      <c r="V447" s="460"/>
      <c r="W447" s="303"/>
      <c r="X447" s="303"/>
      <c r="Y447" s="461"/>
      <c r="Z447" s="303"/>
      <c r="AA447" s="546">
        <v>684120550</v>
      </c>
      <c r="AB447" s="546">
        <v>288360186</v>
      </c>
      <c r="AC447" s="303"/>
      <c r="AD447" s="305">
        <f>+Q447+R447+S447+T447+U447+V447+W447+X447+Y447+Z447+AA447+AB447+AC447</f>
        <v>972480736</v>
      </c>
      <c r="AE447" s="263" t="s">
        <v>1175</v>
      </c>
      <c r="AF447" s="272" t="s">
        <v>1174</v>
      </c>
    </row>
    <row r="448" spans="1:72" ht="147" customHeight="1" x14ac:dyDescent="0.2">
      <c r="A448" s="297"/>
      <c r="B448" s="204"/>
      <c r="C448" s="204"/>
      <c r="D448" s="204"/>
      <c r="E448" s="204"/>
      <c r="F448" s="297"/>
      <c r="G448" s="246" t="s">
        <v>1106</v>
      </c>
      <c r="H448" s="547">
        <v>4302004</v>
      </c>
      <c r="I448" s="186" t="s">
        <v>1102</v>
      </c>
      <c r="J448" s="230">
        <v>430200401</v>
      </c>
      <c r="K448" s="246" t="s">
        <v>1107</v>
      </c>
      <c r="L448" s="405" t="s">
        <v>42</v>
      </c>
      <c r="M448" s="378">
        <v>1</v>
      </c>
      <c r="N448" s="544">
        <v>2020003630013</v>
      </c>
      <c r="O448" s="187" t="s">
        <v>1108</v>
      </c>
      <c r="P448" s="195" t="s">
        <v>1109</v>
      </c>
      <c r="Q448" s="303"/>
      <c r="R448" s="303"/>
      <c r="S448" s="303"/>
      <c r="T448" s="303"/>
      <c r="U448" s="303"/>
      <c r="V448" s="460"/>
      <c r="W448" s="303"/>
      <c r="X448" s="303"/>
      <c r="Y448" s="461"/>
      <c r="Z448" s="303"/>
      <c r="AA448" s="305">
        <v>35000000</v>
      </c>
      <c r="AB448" s="548"/>
      <c r="AC448" s="303"/>
      <c r="AD448" s="305">
        <f>+Q448+R448+S448+T448+U448+V448+W448+X448+Y448+Z448+AA448+AB448+AC448</f>
        <v>35000000</v>
      </c>
      <c r="AE448" s="263" t="s">
        <v>1175</v>
      </c>
      <c r="AF448" s="272" t="s">
        <v>1174</v>
      </c>
    </row>
    <row r="449" spans="1:72" s="122" customFormat="1" ht="24" customHeight="1" x14ac:dyDescent="0.2">
      <c r="A449" s="315"/>
      <c r="B449" s="336"/>
      <c r="C449" s="336"/>
      <c r="D449" s="336"/>
      <c r="E449" s="337"/>
      <c r="F449" s="315"/>
      <c r="G449" s="319"/>
      <c r="H449" s="337"/>
      <c r="I449" s="319"/>
      <c r="J449" s="320"/>
      <c r="K449" s="318"/>
      <c r="L449" s="315"/>
      <c r="M449" s="320"/>
      <c r="N449" s="338"/>
      <c r="O449" s="318"/>
      <c r="P449" s="318"/>
      <c r="Q449" s="315"/>
      <c r="R449" s="315"/>
      <c r="S449" s="315"/>
      <c r="T449" s="315"/>
      <c r="U449" s="315"/>
      <c r="V449" s="315"/>
      <c r="W449" s="315"/>
      <c r="X449" s="315"/>
      <c r="Y449" s="315"/>
      <c r="Z449" s="315"/>
      <c r="AA449" s="315"/>
      <c r="AB449" s="315"/>
      <c r="AC449" s="315"/>
      <c r="AD449" s="315"/>
      <c r="AE449" s="315"/>
      <c r="AF449" s="549"/>
      <c r="AG449" s="117"/>
      <c r="AH449" s="117"/>
      <c r="AI449" s="117"/>
      <c r="AJ449" s="117"/>
      <c r="AK449" s="117"/>
      <c r="AL449" s="117"/>
      <c r="AM449" s="117"/>
      <c r="AN449" s="117"/>
      <c r="AO449" s="117"/>
      <c r="AP449" s="117"/>
      <c r="AQ449" s="117"/>
      <c r="AR449" s="117"/>
      <c r="AS449" s="117"/>
      <c r="AT449" s="117"/>
      <c r="AU449" s="117"/>
      <c r="AV449" s="117"/>
      <c r="AW449" s="117"/>
      <c r="AX449" s="117"/>
      <c r="AY449" s="117"/>
      <c r="AZ449" s="117"/>
      <c r="BA449" s="117"/>
      <c r="BB449" s="117"/>
      <c r="BC449" s="117"/>
      <c r="BD449" s="117"/>
      <c r="BE449" s="117"/>
      <c r="BF449" s="117"/>
      <c r="BG449" s="117"/>
      <c r="BH449" s="117"/>
      <c r="BI449" s="117"/>
      <c r="BJ449" s="117"/>
      <c r="BK449" s="117"/>
      <c r="BL449" s="117"/>
      <c r="BM449" s="117"/>
      <c r="BN449" s="117"/>
      <c r="BO449" s="117"/>
      <c r="BP449" s="117"/>
      <c r="BQ449" s="117"/>
      <c r="BR449" s="117"/>
      <c r="BS449" s="117"/>
      <c r="BT449" s="117"/>
    </row>
    <row r="450" spans="1:72" s="658" customFormat="1" ht="27" customHeight="1" x14ac:dyDescent="0.2">
      <c r="A450" s="56" t="s">
        <v>1110</v>
      </c>
      <c r="B450" s="56"/>
      <c r="C450" s="56"/>
      <c r="D450" s="56"/>
      <c r="E450" s="57"/>
      <c r="F450" s="58"/>
      <c r="G450" s="650"/>
      <c r="H450" s="653"/>
      <c r="I450" s="650"/>
      <c r="J450" s="654"/>
      <c r="K450" s="655"/>
      <c r="L450" s="656"/>
      <c r="M450" s="654"/>
      <c r="N450" s="58"/>
      <c r="O450" s="655"/>
      <c r="P450" s="655"/>
      <c r="Q450" s="651">
        <f>Q451+Q458</f>
        <v>1027674743</v>
      </c>
      <c r="R450" s="651">
        <f t="shared" ref="R450:AD450" si="160">R451+R458</f>
        <v>0</v>
      </c>
      <c r="S450" s="651">
        <f t="shared" si="160"/>
        <v>0</v>
      </c>
      <c r="T450" s="651">
        <f t="shared" si="160"/>
        <v>0</v>
      </c>
      <c r="U450" s="651">
        <f t="shared" si="160"/>
        <v>0</v>
      </c>
      <c r="V450" s="651">
        <f t="shared" si="160"/>
        <v>0</v>
      </c>
      <c r="W450" s="651">
        <f t="shared" si="160"/>
        <v>0</v>
      </c>
      <c r="X450" s="651">
        <f t="shared" si="160"/>
        <v>0</v>
      </c>
      <c r="Y450" s="651">
        <f t="shared" si="160"/>
        <v>0</v>
      </c>
      <c r="Z450" s="651">
        <f t="shared" si="160"/>
        <v>0</v>
      </c>
      <c r="AA450" s="651">
        <f t="shared" si="160"/>
        <v>0</v>
      </c>
      <c r="AB450" s="651">
        <f t="shared" si="160"/>
        <v>997308456</v>
      </c>
      <c r="AC450" s="651">
        <f t="shared" si="160"/>
        <v>0</v>
      </c>
      <c r="AD450" s="651">
        <f t="shared" si="160"/>
        <v>2024983199</v>
      </c>
      <c r="AE450" s="651"/>
      <c r="AF450" s="652"/>
      <c r="AG450" s="657"/>
      <c r="AH450" s="657"/>
      <c r="AI450" s="657"/>
      <c r="AJ450" s="657"/>
      <c r="AK450" s="657"/>
      <c r="AL450" s="657"/>
      <c r="AM450" s="657"/>
      <c r="AN450" s="657"/>
      <c r="AO450" s="657"/>
      <c r="AP450" s="657"/>
      <c r="AQ450" s="657"/>
      <c r="AR450" s="657"/>
      <c r="AS450" s="657"/>
      <c r="AT450" s="657"/>
      <c r="AU450" s="657"/>
      <c r="AV450" s="657"/>
      <c r="AW450" s="657"/>
      <c r="AX450" s="657"/>
      <c r="AY450" s="657"/>
      <c r="AZ450" s="657"/>
      <c r="BA450" s="657"/>
      <c r="BB450" s="657"/>
      <c r="BC450" s="657"/>
      <c r="BD450" s="657"/>
      <c r="BE450" s="657"/>
      <c r="BF450" s="657"/>
      <c r="BG450" s="657"/>
      <c r="BH450" s="657"/>
      <c r="BI450" s="657"/>
      <c r="BJ450" s="657"/>
      <c r="BK450" s="657"/>
      <c r="BL450" s="657"/>
      <c r="BM450" s="657"/>
      <c r="BN450" s="657"/>
      <c r="BO450" s="657"/>
      <c r="BP450" s="657"/>
      <c r="BQ450" s="657"/>
      <c r="BR450" s="657"/>
      <c r="BS450" s="657"/>
      <c r="BT450" s="657"/>
    </row>
    <row r="451" spans="1:72" ht="24.75" customHeight="1" x14ac:dyDescent="0.2">
      <c r="A451" s="297"/>
      <c r="B451" s="280">
        <v>1</v>
      </c>
      <c r="C451" s="155" t="s">
        <v>120</v>
      </c>
      <c r="D451" s="348"/>
      <c r="E451" s="155"/>
      <c r="F451" s="155"/>
      <c r="G451" s="155"/>
      <c r="H451" s="550"/>
      <c r="I451" s="282"/>
      <c r="J451" s="280"/>
      <c r="K451" s="283"/>
      <c r="L451" s="551"/>
      <c r="M451" s="280"/>
      <c r="N451" s="552"/>
      <c r="O451" s="283"/>
      <c r="P451" s="283"/>
      <c r="Q451" s="553">
        <f>Q452+Q455</f>
        <v>616604845.79999995</v>
      </c>
      <c r="R451" s="553">
        <f t="shared" ref="R451:AC451" si="161">R452+R455</f>
        <v>0</v>
      </c>
      <c r="S451" s="553">
        <f t="shared" si="161"/>
        <v>0</v>
      </c>
      <c r="T451" s="553">
        <f t="shared" si="161"/>
        <v>0</v>
      </c>
      <c r="U451" s="553">
        <f t="shared" si="161"/>
        <v>0</v>
      </c>
      <c r="V451" s="553">
        <f t="shared" si="161"/>
        <v>0</v>
      </c>
      <c r="W451" s="553">
        <f t="shared" si="161"/>
        <v>0</v>
      </c>
      <c r="X451" s="553">
        <f t="shared" si="161"/>
        <v>0</v>
      </c>
      <c r="Y451" s="553">
        <f t="shared" si="161"/>
        <v>0</v>
      </c>
      <c r="Z451" s="553">
        <f t="shared" si="161"/>
        <v>0</v>
      </c>
      <c r="AA451" s="553">
        <f t="shared" si="161"/>
        <v>0</v>
      </c>
      <c r="AB451" s="553">
        <f t="shared" si="161"/>
        <v>0</v>
      </c>
      <c r="AC451" s="553">
        <f t="shared" si="161"/>
        <v>0</v>
      </c>
      <c r="AD451" s="553">
        <f>AD452+AD455</f>
        <v>616604845.79999995</v>
      </c>
      <c r="AE451" s="553"/>
      <c r="AF451" s="554"/>
    </row>
    <row r="452" spans="1:72" s="9" customFormat="1" ht="27.75" customHeight="1" x14ac:dyDescent="0.25">
      <c r="A452" s="279"/>
      <c r="B452" s="194"/>
      <c r="C452" s="159">
        <v>43</v>
      </c>
      <c r="D452" s="156" t="s">
        <v>1230</v>
      </c>
      <c r="E452" s="156"/>
      <c r="F452" s="287"/>
      <c r="G452" s="288"/>
      <c r="H452" s="289"/>
      <c r="I452" s="290"/>
      <c r="J452" s="291"/>
      <c r="K452" s="292"/>
      <c r="L452" s="293"/>
      <c r="M452" s="291"/>
      <c r="N452" s="392"/>
      <c r="O452" s="295"/>
      <c r="P452" s="295"/>
      <c r="Q452" s="296">
        <f>Q453</f>
        <v>308302422.89999998</v>
      </c>
      <c r="R452" s="296">
        <f t="shared" ref="R452:AD453" si="162">R453</f>
        <v>0</v>
      </c>
      <c r="S452" s="296">
        <f t="shared" si="162"/>
        <v>0</v>
      </c>
      <c r="T452" s="296">
        <f t="shared" si="162"/>
        <v>0</v>
      </c>
      <c r="U452" s="296">
        <f t="shared" si="162"/>
        <v>0</v>
      </c>
      <c r="V452" s="296">
        <f t="shared" si="162"/>
        <v>0</v>
      </c>
      <c r="W452" s="296">
        <f t="shared" si="162"/>
        <v>0</v>
      </c>
      <c r="X452" s="296">
        <f t="shared" si="162"/>
        <v>0</v>
      </c>
      <c r="Y452" s="296">
        <f t="shared" si="162"/>
        <v>0</v>
      </c>
      <c r="Z452" s="296">
        <f t="shared" si="162"/>
        <v>0</v>
      </c>
      <c r="AA452" s="296">
        <f t="shared" si="162"/>
        <v>0</v>
      </c>
      <c r="AB452" s="296">
        <f t="shared" si="162"/>
        <v>0</v>
      </c>
      <c r="AC452" s="296">
        <f t="shared" si="162"/>
        <v>0</v>
      </c>
      <c r="AD452" s="296">
        <f t="shared" si="162"/>
        <v>308302422.89999998</v>
      </c>
      <c r="AE452" s="296"/>
      <c r="AF452" s="341"/>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row>
    <row r="453" spans="1:72" ht="33.75" customHeight="1" x14ac:dyDescent="0.2">
      <c r="A453" s="297"/>
      <c r="B453" s="555"/>
      <c r="C453" s="555"/>
      <c r="D453" s="555"/>
      <c r="E453" s="309">
        <v>4301</v>
      </c>
      <c r="F453" s="188" t="s">
        <v>1328</v>
      </c>
      <c r="G453" s="366"/>
      <c r="H453" s="534"/>
      <c r="I453" s="308"/>
      <c r="J453" s="309"/>
      <c r="K453" s="403"/>
      <c r="L453" s="556"/>
      <c r="M453" s="309"/>
      <c r="N453" s="404"/>
      <c r="O453" s="403"/>
      <c r="P453" s="403"/>
      <c r="Q453" s="557">
        <f>Q454</f>
        <v>308302422.89999998</v>
      </c>
      <c r="R453" s="557">
        <f t="shared" si="162"/>
        <v>0</v>
      </c>
      <c r="S453" s="557">
        <f t="shared" si="162"/>
        <v>0</v>
      </c>
      <c r="T453" s="557">
        <f t="shared" si="162"/>
        <v>0</v>
      </c>
      <c r="U453" s="557">
        <f t="shared" si="162"/>
        <v>0</v>
      </c>
      <c r="V453" s="557">
        <f t="shared" si="162"/>
        <v>0</v>
      </c>
      <c r="W453" s="557">
        <f t="shared" si="162"/>
        <v>0</v>
      </c>
      <c r="X453" s="557">
        <f t="shared" si="162"/>
        <v>0</v>
      </c>
      <c r="Y453" s="557">
        <f t="shared" si="162"/>
        <v>0</v>
      </c>
      <c r="Z453" s="557">
        <f t="shared" si="162"/>
        <v>0</v>
      </c>
      <c r="AA453" s="557">
        <f t="shared" si="162"/>
        <v>0</v>
      </c>
      <c r="AB453" s="557">
        <f t="shared" si="162"/>
        <v>0</v>
      </c>
      <c r="AC453" s="557">
        <f t="shared" si="162"/>
        <v>0</v>
      </c>
      <c r="AD453" s="557">
        <f t="shared" si="162"/>
        <v>308302422.89999998</v>
      </c>
      <c r="AE453" s="557"/>
      <c r="AF453" s="404"/>
    </row>
    <row r="454" spans="1:72" s="82" customFormat="1" ht="175.5" customHeight="1" x14ac:dyDescent="0.2">
      <c r="A454" s="573"/>
      <c r="B454" s="588"/>
      <c r="C454" s="588"/>
      <c r="D454" s="588"/>
      <c r="E454" s="574"/>
      <c r="F454" s="587"/>
      <c r="G454" s="192" t="s">
        <v>146</v>
      </c>
      <c r="H454" s="190">
        <v>4301004</v>
      </c>
      <c r="I454" s="193" t="s">
        <v>147</v>
      </c>
      <c r="J454" s="198">
        <v>430100401</v>
      </c>
      <c r="K454" s="193" t="s">
        <v>148</v>
      </c>
      <c r="L454" s="266" t="s">
        <v>54</v>
      </c>
      <c r="M454" s="445">
        <v>3</v>
      </c>
      <c r="N454" s="587" t="s">
        <v>1111</v>
      </c>
      <c r="O454" s="193" t="s">
        <v>1217</v>
      </c>
      <c r="P454" s="193" t="s">
        <v>1218</v>
      </c>
      <c r="Q454" s="589">
        <v>308302422.89999998</v>
      </c>
      <c r="R454" s="303"/>
      <c r="S454" s="303"/>
      <c r="T454" s="303"/>
      <c r="U454" s="303"/>
      <c r="V454" s="460"/>
      <c r="W454" s="303"/>
      <c r="X454" s="303"/>
      <c r="Y454" s="461"/>
      <c r="Z454" s="303"/>
      <c r="AA454" s="396"/>
      <c r="AB454" s="375"/>
      <c r="AC454" s="303"/>
      <c r="AD454" s="575">
        <f>+Q454+R454+S454+T454+U454+V454+W454+X454+Y454+Z454+AA454+AB454+AC454</f>
        <v>308302422.89999998</v>
      </c>
      <c r="AE454" s="577" t="s">
        <v>1176</v>
      </c>
      <c r="AF454" s="577" t="s">
        <v>1177</v>
      </c>
    </row>
    <row r="455" spans="1:72" s="9" customFormat="1" ht="27.75" customHeight="1" x14ac:dyDescent="0.25">
      <c r="A455" s="279"/>
      <c r="B455" s="194"/>
      <c r="C455" s="159">
        <v>22</v>
      </c>
      <c r="D455" s="156" t="s">
        <v>231</v>
      </c>
      <c r="E455" s="156"/>
      <c r="F455" s="287"/>
      <c r="G455" s="288"/>
      <c r="H455" s="289"/>
      <c r="I455" s="290"/>
      <c r="J455" s="291"/>
      <c r="K455" s="292"/>
      <c r="L455" s="293"/>
      <c r="M455" s="291"/>
      <c r="N455" s="392"/>
      <c r="O455" s="295"/>
      <c r="P455" s="295"/>
      <c r="Q455" s="296">
        <f>Q456</f>
        <v>308302422.89999998</v>
      </c>
      <c r="R455" s="296">
        <f t="shared" ref="R455:AD456" si="163">R456</f>
        <v>0</v>
      </c>
      <c r="S455" s="296">
        <f t="shared" si="163"/>
        <v>0</v>
      </c>
      <c r="T455" s="296">
        <f t="shared" si="163"/>
        <v>0</v>
      </c>
      <c r="U455" s="296">
        <f t="shared" si="163"/>
        <v>0</v>
      </c>
      <c r="V455" s="296">
        <f t="shared" si="163"/>
        <v>0</v>
      </c>
      <c r="W455" s="296">
        <f t="shared" si="163"/>
        <v>0</v>
      </c>
      <c r="X455" s="296">
        <f t="shared" si="163"/>
        <v>0</v>
      </c>
      <c r="Y455" s="296">
        <f t="shared" si="163"/>
        <v>0</v>
      </c>
      <c r="Z455" s="296">
        <f t="shared" si="163"/>
        <v>0</v>
      </c>
      <c r="AA455" s="296">
        <f t="shared" si="163"/>
        <v>0</v>
      </c>
      <c r="AB455" s="296">
        <f t="shared" si="163"/>
        <v>0</v>
      </c>
      <c r="AC455" s="296">
        <f t="shared" si="163"/>
        <v>0</v>
      </c>
      <c r="AD455" s="296">
        <f t="shared" si="163"/>
        <v>308302422.89999998</v>
      </c>
      <c r="AE455" s="296"/>
      <c r="AF455" s="341"/>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row>
    <row r="456" spans="1:72" ht="27" customHeight="1" x14ac:dyDescent="0.2">
      <c r="A456" s="297"/>
      <c r="B456" s="555"/>
      <c r="C456" s="555"/>
      <c r="D456" s="555"/>
      <c r="E456" s="309">
        <v>2201</v>
      </c>
      <c r="F456" s="560" t="s">
        <v>133</v>
      </c>
      <c r="G456" s="560"/>
      <c r="H456" s="560"/>
      <c r="I456" s="560"/>
      <c r="J456" s="309"/>
      <c r="K456" s="299"/>
      <c r="L456" s="558"/>
      <c r="M456" s="309"/>
      <c r="N456" s="559"/>
      <c r="O456" s="299"/>
      <c r="P456" s="299"/>
      <c r="Q456" s="557">
        <f>Q457</f>
        <v>308302422.89999998</v>
      </c>
      <c r="R456" s="557">
        <f t="shared" si="163"/>
        <v>0</v>
      </c>
      <c r="S456" s="557">
        <f t="shared" si="163"/>
        <v>0</v>
      </c>
      <c r="T456" s="557">
        <f t="shared" si="163"/>
        <v>0</v>
      </c>
      <c r="U456" s="557">
        <f t="shared" si="163"/>
        <v>0</v>
      </c>
      <c r="V456" s="557">
        <f t="shared" si="163"/>
        <v>0</v>
      </c>
      <c r="W456" s="557">
        <f t="shared" si="163"/>
        <v>0</v>
      </c>
      <c r="X456" s="557">
        <f t="shared" si="163"/>
        <v>0</v>
      </c>
      <c r="Y456" s="557">
        <f t="shared" si="163"/>
        <v>0</v>
      </c>
      <c r="Z456" s="557">
        <f t="shared" si="163"/>
        <v>0</v>
      </c>
      <c r="AA456" s="557">
        <f t="shared" si="163"/>
        <v>0</v>
      </c>
      <c r="AB456" s="557">
        <f t="shared" si="163"/>
        <v>0</v>
      </c>
      <c r="AC456" s="557">
        <f t="shared" si="163"/>
        <v>0</v>
      </c>
      <c r="AD456" s="557">
        <f t="shared" si="163"/>
        <v>308302422.89999998</v>
      </c>
      <c r="AE456" s="557"/>
      <c r="AF456" s="404"/>
    </row>
    <row r="457" spans="1:72" s="82" customFormat="1" ht="131.25" customHeight="1" x14ac:dyDescent="0.2">
      <c r="A457" s="573"/>
      <c r="B457" s="194"/>
      <c r="C457" s="194"/>
      <c r="D457" s="194"/>
      <c r="E457" s="574"/>
      <c r="F457" s="587"/>
      <c r="G457" s="192" t="s">
        <v>134</v>
      </c>
      <c r="H457" s="198">
        <v>2201062</v>
      </c>
      <c r="I457" s="192" t="s">
        <v>135</v>
      </c>
      <c r="J457" s="190">
        <v>220106200</v>
      </c>
      <c r="K457" s="191" t="s">
        <v>136</v>
      </c>
      <c r="L457" s="266" t="s">
        <v>54</v>
      </c>
      <c r="M457" s="445">
        <v>15</v>
      </c>
      <c r="N457" s="587" t="s">
        <v>1112</v>
      </c>
      <c r="O457" s="193" t="s">
        <v>1216</v>
      </c>
      <c r="P457" s="193" t="s">
        <v>1219</v>
      </c>
      <c r="Q457" s="589">
        <v>308302422.89999998</v>
      </c>
      <c r="R457" s="303"/>
      <c r="S457" s="303"/>
      <c r="T457" s="303"/>
      <c r="U457" s="303"/>
      <c r="V457" s="460"/>
      <c r="W457" s="303"/>
      <c r="X457" s="303"/>
      <c r="Y457" s="461"/>
      <c r="Z457" s="303"/>
      <c r="AA457" s="396"/>
      <c r="AB457" s="303"/>
      <c r="AC457" s="351"/>
      <c r="AD457" s="575">
        <f>+Q457+R457+S457+T457+U457+V457+W457+X457+Y457+Z457+AA457+AB457+AC457</f>
        <v>308302422.89999998</v>
      </c>
      <c r="AE457" s="577" t="s">
        <v>1176</v>
      </c>
      <c r="AF457" s="577" t="s">
        <v>1177</v>
      </c>
    </row>
    <row r="458" spans="1:72" ht="28.5" customHeight="1" x14ac:dyDescent="0.2">
      <c r="A458" s="297"/>
      <c r="B458" s="280">
        <v>3</v>
      </c>
      <c r="C458" s="155" t="s">
        <v>150</v>
      </c>
      <c r="D458" s="348"/>
      <c r="E458" s="155"/>
      <c r="F458" s="155"/>
      <c r="G458" s="155"/>
      <c r="H458" s="550"/>
      <c r="I458" s="282"/>
      <c r="J458" s="280"/>
      <c r="K458" s="283"/>
      <c r="L458" s="551"/>
      <c r="M458" s="280"/>
      <c r="N458" s="552"/>
      <c r="O458" s="283"/>
      <c r="P458" s="283"/>
      <c r="Q458" s="553">
        <f>Q459+Q462</f>
        <v>411069897.20000005</v>
      </c>
      <c r="R458" s="553">
        <f t="shared" ref="R458:AC458" si="164">R459+R462</f>
        <v>0</v>
      </c>
      <c r="S458" s="553">
        <f t="shared" si="164"/>
        <v>0</v>
      </c>
      <c r="T458" s="553">
        <f t="shared" si="164"/>
        <v>0</v>
      </c>
      <c r="U458" s="553">
        <f t="shared" si="164"/>
        <v>0</v>
      </c>
      <c r="V458" s="553">
        <f t="shared" si="164"/>
        <v>0</v>
      </c>
      <c r="W458" s="553">
        <f t="shared" si="164"/>
        <v>0</v>
      </c>
      <c r="X458" s="553">
        <f t="shared" si="164"/>
        <v>0</v>
      </c>
      <c r="Y458" s="553">
        <f t="shared" si="164"/>
        <v>0</v>
      </c>
      <c r="Z458" s="553">
        <f t="shared" si="164"/>
        <v>0</v>
      </c>
      <c r="AA458" s="553">
        <f t="shared" si="164"/>
        <v>0</v>
      </c>
      <c r="AB458" s="553">
        <f t="shared" si="164"/>
        <v>997308456</v>
      </c>
      <c r="AC458" s="553">
        <f t="shared" si="164"/>
        <v>0</v>
      </c>
      <c r="AD458" s="553">
        <f>AD459+AD462</f>
        <v>1408378353.2</v>
      </c>
      <c r="AE458" s="553"/>
      <c r="AF458" s="554"/>
    </row>
    <row r="459" spans="1:72" s="9" customFormat="1" ht="27.75" customHeight="1" x14ac:dyDescent="0.25">
      <c r="A459" s="279"/>
      <c r="B459" s="194"/>
      <c r="C459" s="159">
        <v>24</v>
      </c>
      <c r="D459" s="156" t="s">
        <v>155</v>
      </c>
      <c r="E459" s="156"/>
      <c r="F459" s="287"/>
      <c r="G459" s="288"/>
      <c r="H459" s="289"/>
      <c r="I459" s="290"/>
      <c r="J459" s="291"/>
      <c r="K459" s="292"/>
      <c r="L459" s="293"/>
      <c r="M459" s="291"/>
      <c r="N459" s="392"/>
      <c r="O459" s="295"/>
      <c r="P459" s="295"/>
      <c r="Q459" s="296">
        <f>Q460</f>
        <v>0</v>
      </c>
      <c r="R459" s="296">
        <f t="shared" ref="R459:AD460" si="165">R460</f>
        <v>0</v>
      </c>
      <c r="S459" s="296">
        <f t="shared" si="165"/>
        <v>0</v>
      </c>
      <c r="T459" s="296">
        <f t="shared" si="165"/>
        <v>0</v>
      </c>
      <c r="U459" s="296">
        <f t="shared" si="165"/>
        <v>0</v>
      </c>
      <c r="V459" s="296">
        <f t="shared" si="165"/>
        <v>0</v>
      </c>
      <c r="W459" s="296">
        <f t="shared" si="165"/>
        <v>0</v>
      </c>
      <c r="X459" s="296">
        <f t="shared" si="165"/>
        <v>0</v>
      </c>
      <c r="Y459" s="296">
        <f t="shared" si="165"/>
        <v>0</v>
      </c>
      <c r="Z459" s="296">
        <f t="shared" si="165"/>
        <v>0</v>
      </c>
      <c r="AA459" s="296">
        <f t="shared" si="165"/>
        <v>0</v>
      </c>
      <c r="AB459" s="296">
        <f t="shared" si="165"/>
        <v>199461691.20000002</v>
      </c>
      <c r="AC459" s="296">
        <f t="shared" si="165"/>
        <v>0</v>
      </c>
      <c r="AD459" s="296">
        <f t="shared" si="165"/>
        <v>199461691.20000002</v>
      </c>
      <c r="AE459" s="296"/>
      <c r="AF459" s="341"/>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row>
    <row r="460" spans="1:72" ht="25.5" customHeight="1" x14ac:dyDescent="0.2">
      <c r="A460" s="297"/>
      <c r="B460" s="555"/>
      <c r="C460" s="555"/>
      <c r="D460" s="555"/>
      <c r="E460" s="309">
        <v>2402</v>
      </c>
      <c r="F460" s="560" t="s">
        <v>151</v>
      </c>
      <c r="G460" s="561"/>
      <c r="H460" s="534"/>
      <c r="I460" s="308"/>
      <c r="J460" s="309"/>
      <c r="K460" s="299"/>
      <c r="L460" s="558"/>
      <c r="M460" s="309"/>
      <c r="N460" s="559"/>
      <c r="O460" s="299"/>
      <c r="P460" s="299"/>
      <c r="Q460" s="557">
        <f>Q461</f>
        <v>0</v>
      </c>
      <c r="R460" s="557">
        <f t="shared" si="165"/>
        <v>0</v>
      </c>
      <c r="S460" s="557">
        <f t="shared" si="165"/>
        <v>0</v>
      </c>
      <c r="T460" s="557">
        <f t="shared" si="165"/>
        <v>0</v>
      </c>
      <c r="U460" s="557">
        <f t="shared" si="165"/>
        <v>0</v>
      </c>
      <c r="V460" s="557">
        <f t="shared" si="165"/>
        <v>0</v>
      </c>
      <c r="W460" s="557">
        <f t="shared" si="165"/>
        <v>0</v>
      </c>
      <c r="X460" s="557">
        <f t="shared" si="165"/>
        <v>0</v>
      </c>
      <c r="Y460" s="557">
        <f t="shared" si="165"/>
        <v>0</v>
      </c>
      <c r="Z460" s="557">
        <f t="shared" si="165"/>
        <v>0</v>
      </c>
      <c r="AA460" s="557">
        <f t="shared" si="165"/>
        <v>0</v>
      </c>
      <c r="AB460" s="557">
        <f t="shared" si="165"/>
        <v>199461691.20000002</v>
      </c>
      <c r="AC460" s="557">
        <f t="shared" si="165"/>
        <v>0</v>
      </c>
      <c r="AD460" s="557">
        <f t="shared" si="165"/>
        <v>199461691.20000002</v>
      </c>
      <c r="AE460" s="557"/>
      <c r="AF460" s="404"/>
    </row>
    <row r="461" spans="1:72" s="82" customFormat="1" ht="132" customHeight="1" x14ac:dyDescent="0.2">
      <c r="A461" s="573"/>
      <c r="B461" s="588"/>
      <c r="C461" s="588"/>
      <c r="D461" s="588"/>
      <c r="E461" s="574"/>
      <c r="F461" s="587"/>
      <c r="G461" s="193" t="s">
        <v>1113</v>
      </c>
      <c r="H461" s="198">
        <v>2402041</v>
      </c>
      <c r="I461" s="192" t="s">
        <v>157</v>
      </c>
      <c r="J461" s="198">
        <v>240204100</v>
      </c>
      <c r="K461" s="191" t="s">
        <v>158</v>
      </c>
      <c r="L461" s="266" t="s">
        <v>42</v>
      </c>
      <c r="M461" s="385">
        <v>130</v>
      </c>
      <c r="N461" s="587" t="s">
        <v>1114</v>
      </c>
      <c r="O461" s="262" t="s">
        <v>1220</v>
      </c>
      <c r="P461" s="192" t="s">
        <v>1221</v>
      </c>
      <c r="Q461" s="303"/>
      <c r="R461" s="303"/>
      <c r="S461" s="396"/>
      <c r="T461" s="303"/>
      <c r="U461" s="303"/>
      <c r="V461" s="460"/>
      <c r="W461" s="303"/>
      <c r="X461" s="303"/>
      <c r="Y461" s="461"/>
      <c r="Z461" s="303"/>
      <c r="AA461" s="396"/>
      <c r="AB461" s="375">
        <v>199461691.20000002</v>
      </c>
      <c r="AC461" s="303"/>
      <c r="AD461" s="575">
        <f>+Q461+R461+S461+T461+U461+V461+W461+X461+Y461+Z461+AA461+AB461+AC461</f>
        <v>199461691.20000002</v>
      </c>
      <c r="AE461" s="577" t="s">
        <v>1176</v>
      </c>
      <c r="AF461" s="577" t="s">
        <v>1177</v>
      </c>
    </row>
    <row r="462" spans="1:72" s="9" customFormat="1" ht="27.75" customHeight="1" x14ac:dyDescent="0.25">
      <c r="A462" s="279"/>
      <c r="B462" s="194"/>
      <c r="C462" s="681">
        <v>40</v>
      </c>
      <c r="D462" s="156" t="s">
        <v>1358</v>
      </c>
      <c r="E462" s="156"/>
      <c r="F462" s="287"/>
      <c r="G462" s="288"/>
      <c r="H462" s="289"/>
      <c r="I462" s="290"/>
      <c r="J462" s="291"/>
      <c r="K462" s="292"/>
      <c r="L462" s="293"/>
      <c r="M462" s="291"/>
      <c r="N462" s="392"/>
      <c r="O462" s="295"/>
      <c r="P462" s="295"/>
      <c r="Q462" s="296">
        <f>Q463</f>
        <v>411069897.20000005</v>
      </c>
      <c r="R462" s="296">
        <f t="shared" ref="R462:AD462" si="166">R463</f>
        <v>0</v>
      </c>
      <c r="S462" s="296">
        <f t="shared" si="166"/>
        <v>0</v>
      </c>
      <c r="T462" s="296">
        <f t="shared" si="166"/>
        <v>0</v>
      </c>
      <c r="U462" s="296">
        <f t="shared" si="166"/>
        <v>0</v>
      </c>
      <c r="V462" s="296">
        <f t="shared" si="166"/>
        <v>0</v>
      </c>
      <c r="W462" s="296">
        <f t="shared" si="166"/>
        <v>0</v>
      </c>
      <c r="X462" s="296">
        <f t="shared" si="166"/>
        <v>0</v>
      </c>
      <c r="Y462" s="296">
        <f t="shared" si="166"/>
        <v>0</v>
      </c>
      <c r="Z462" s="296">
        <f t="shared" si="166"/>
        <v>0</v>
      </c>
      <c r="AA462" s="296">
        <f t="shared" si="166"/>
        <v>0</v>
      </c>
      <c r="AB462" s="296">
        <f t="shared" si="166"/>
        <v>797846764.79999995</v>
      </c>
      <c r="AC462" s="296">
        <f t="shared" si="166"/>
        <v>0</v>
      </c>
      <c r="AD462" s="296">
        <f t="shared" si="166"/>
        <v>1208916662</v>
      </c>
      <c r="AE462" s="296"/>
      <c r="AF462" s="341"/>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row>
    <row r="463" spans="1:72" ht="26.25" customHeight="1" x14ac:dyDescent="0.2">
      <c r="A463" s="297"/>
      <c r="B463" s="555"/>
      <c r="C463" s="555"/>
      <c r="D463" s="555"/>
      <c r="E463" s="309">
        <v>4001</v>
      </c>
      <c r="F463" s="560" t="s">
        <v>177</v>
      </c>
      <c r="G463" s="561"/>
      <c r="H463" s="534"/>
      <c r="I463" s="308"/>
      <c r="J463" s="309"/>
      <c r="K463" s="299"/>
      <c r="L463" s="558"/>
      <c r="M463" s="309"/>
      <c r="N463" s="559"/>
      <c r="O463" s="299"/>
      <c r="P463" s="299"/>
      <c r="Q463" s="557">
        <f>SUM(Q464:Q470)</f>
        <v>411069897.20000005</v>
      </c>
      <c r="R463" s="557">
        <f t="shared" ref="R463:AD463" si="167">SUM(R464:R470)</f>
        <v>0</v>
      </c>
      <c r="S463" s="557">
        <f t="shared" si="167"/>
        <v>0</v>
      </c>
      <c r="T463" s="557">
        <f t="shared" si="167"/>
        <v>0</v>
      </c>
      <c r="U463" s="557">
        <f t="shared" si="167"/>
        <v>0</v>
      </c>
      <c r="V463" s="557">
        <f t="shared" si="167"/>
        <v>0</v>
      </c>
      <c r="W463" s="557">
        <f t="shared" si="167"/>
        <v>0</v>
      </c>
      <c r="X463" s="557">
        <f t="shared" si="167"/>
        <v>0</v>
      </c>
      <c r="Y463" s="557">
        <f t="shared" si="167"/>
        <v>0</v>
      </c>
      <c r="Z463" s="557">
        <f t="shared" si="167"/>
        <v>0</v>
      </c>
      <c r="AA463" s="557">
        <f t="shared" si="167"/>
        <v>0</v>
      </c>
      <c r="AB463" s="557">
        <f t="shared" si="167"/>
        <v>797846764.79999995</v>
      </c>
      <c r="AC463" s="557">
        <f t="shared" si="167"/>
        <v>0</v>
      </c>
      <c r="AD463" s="557">
        <f t="shared" si="167"/>
        <v>1208916662</v>
      </c>
      <c r="AE463" s="557"/>
      <c r="AF463" s="404"/>
    </row>
    <row r="464" spans="1:72" ht="90" customHeight="1" x14ac:dyDescent="0.2">
      <c r="A464" s="297"/>
      <c r="B464" s="204"/>
      <c r="C464" s="204"/>
      <c r="D464" s="204"/>
      <c r="E464" s="200"/>
      <c r="F464" s="405"/>
      <c r="G464" s="195" t="s">
        <v>178</v>
      </c>
      <c r="H464" s="562">
        <v>4001001</v>
      </c>
      <c r="I464" s="195" t="s">
        <v>1115</v>
      </c>
      <c r="J464" s="219" t="s">
        <v>1116</v>
      </c>
      <c r="K464" s="246" t="s">
        <v>1117</v>
      </c>
      <c r="L464" s="222" t="s">
        <v>54</v>
      </c>
      <c r="M464" s="261">
        <v>3</v>
      </c>
      <c r="N464" s="761" t="s">
        <v>1118</v>
      </c>
      <c r="O464" s="745" t="s">
        <v>1119</v>
      </c>
      <c r="P464" s="744" t="s">
        <v>1120</v>
      </c>
      <c r="Q464" s="388">
        <v>0</v>
      </c>
      <c r="R464" s="303"/>
      <c r="S464" s="303"/>
      <c r="T464" s="303"/>
      <c r="U464" s="303"/>
      <c r="V464" s="460"/>
      <c r="W464" s="303"/>
      <c r="X464" s="303"/>
      <c r="Y464" s="461"/>
      <c r="Z464" s="303"/>
      <c r="AA464" s="396"/>
      <c r="AB464" s="303">
        <v>9973084.5600000005</v>
      </c>
      <c r="AC464" s="351"/>
      <c r="AD464" s="305">
        <f t="shared" ref="AD464:AD470" si="168">+Q464+R464+S464+T464+U464+V464+W464+X464+Y464+Z464+AA464+AB464+AC464</f>
        <v>9973084.5600000005</v>
      </c>
      <c r="AE464" s="149" t="s">
        <v>1176</v>
      </c>
      <c r="AF464" s="149" t="s">
        <v>1177</v>
      </c>
    </row>
    <row r="465" spans="1:72" ht="90" customHeight="1" x14ac:dyDescent="0.2">
      <c r="A465" s="297"/>
      <c r="B465" s="204"/>
      <c r="C465" s="204"/>
      <c r="D465" s="204"/>
      <c r="E465" s="200"/>
      <c r="F465" s="405"/>
      <c r="G465" s="195" t="s">
        <v>1121</v>
      </c>
      <c r="H465" s="562">
        <v>4001017</v>
      </c>
      <c r="I465" s="195" t="s">
        <v>1122</v>
      </c>
      <c r="J465" s="219" t="s">
        <v>1123</v>
      </c>
      <c r="K465" s="246" t="s">
        <v>1124</v>
      </c>
      <c r="L465" s="261" t="s">
        <v>54</v>
      </c>
      <c r="M465" s="261">
        <v>25</v>
      </c>
      <c r="N465" s="761"/>
      <c r="O465" s="745"/>
      <c r="P465" s="744"/>
      <c r="Q465" s="388">
        <v>51383737.150000066</v>
      </c>
      <c r="R465" s="303"/>
      <c r="S465" s="303"/>
      <c r="T465" s="303"/>
      <c r="U465" s="303"/>
      <c r="V465" s="460"/>
      <c r="W465" s="303"/>
      <c r="X465" s="303"/>
      <c r="Y465" s="461"/>
      <c r="Z465" s="303"/>
      <c r="AA465" s="396"/>
      <c r="AB465" s="303">
        <v>29919253.68</v>
      </c>
      <c r="AC465" s="351"/>
      <c r="AD465" s="305">
        <f t="shared" si="168"/>
        <v>81302990.830000073</v>
      </c>
      <c r="AE465" s="149" t="s">
        <v>1176</v>
      </c>
      <c r="AF465" s="149" t="s">
        <v>1177</v>
      </c>
    </row>
    <row r="466" spans="1:72" ht="58.5" customHeight="1" x14ac:dyDescent="0.2">
      <c r="A466" s="297"/>
      <c r="B466" s="204"/>
      <c r="C466" s="204"/>
      <c r="D466" s="204"/>
      <c r="E466" s="200"/>
      <c r="F466" s="405"/>
      <c r="G466" s="195" t="s">
        <v>178</v>
      </c>
      <c r="H466" s="562">
        <v>4001018</v>
      </c>
      <c r="I466" s="195" t="s">
        <v>1125</v>
      </c>
      <c r="J466" s="219" t="s">
        <v>1126</v>
      </c>
      <c r="K466" s="246" t="s">
        <v>1127</v>
      </c>
      <c r="L466" s="261" t="s">
        <v>54</v>
      </c>
      <c r="M466" s="261">
        <v>75</v>
      </c>
      <c r="N466" s="761"/>
      <c r="O466" s="745"/>
      <c r="P466" s="744"/>
      <c r="Q466" s="388">
        <v>143874464.02000001</v>
      </c>
      <c r="R466" s="303"/>
      <c r="S466" s="303"/>
      <c r="T466" s="303"/>
      <c r="U466" s="303"/>
      <c r="V466" s="460"/>
      <c r="W466" s="303"/>
      <c r="X466" s="303"/>
      <c r="Y466" s="461"/>
      <c r="Z466" s="303"/>
      <c r="AA466" s="396"/>
      <c r="AB466" s="303">
        <v>59838507.359999999</v>
      </c>
      <c r="AC466" s="351"/>
      <c r="AD466" s="305">
        <f t="shared" si="168"/>
        <v>203712971.38</v>
      </c>
      <c r="AE466" s="149" t="s">
        <v>1176</v>
      </c>
      <c r="AF466" s="149" t="s">
        <v>1177</v>
      </c>
    </row>
    <row r="467" spans="1:72" ht="43.5" customHeight="1" x14ac:dyDescent="0.2">
      <c r="A467" s="297"/>
      <c r="B467" s="204"/>
      <c r="C467" s="204"/>
      <c r="D467" s="204"/>
      <c r="E467" s="200"/>
      <c r="F467" s="405"/>
      <c r="G467" s="195" t="s">
        <v>178</v>
      </c>
      <c r="H467" s="562">
        <v>4001030</v>
      </c>
      <c r="I467" s="195" t="s">
        <v>1128</v>
      </c>
      <c r="J467" s="219" t="s">
        <v>1129</v>
      </c>
      <c r="K467" s="246" t="s">
        <v>201</v>
      </c>
      <c r="L467" s="222" t="s">
        <v>54</v>
      </c>
      <c r="M467" s="261">
        <v>3</v>
      </c>
      <c r="N467" s="761"/>
      <c r="O467" s="745"/>
      <c r="P467" s="744"/>
      <c r="Q467" s="388">
        <v>0</v>
      </c>
      <c r="R467" s="303"/>
      <c r="S467" s="303"/>
      <c r="T467" s="303"/>
      <c r="U467" s="303"/>
      <c r="V467" s="460"/>
      <c r="W467" s="303"/>
      <c r="X467" s="303"/>
      <c r="Y467" s="461"/>
      <c r="Z467" s="303"/>
      <c r="AA467" s="375"/>
      <c r="AB467" s="303">
        <v>9973084.5600000005</v>
      </c>
      <c r="AC467" s="351"/>
      <c r="AD467" s="305">
        <f t="shared" si="168"/>
        <v>9973084.5600000005</v>
      </c>
      <c r="AE467" s="149" t="s">
        <v>1176</v>
      </c>
      <c r="AF467" s="149" t="s">
        <v>1177</v>
      </c>
    </row>
    <row r="468" spans="1:72" ht="51.75" customHeight="1" x14ac:dyDescent="0.2">
      <c r="A468" s="297"/>
      <c r="B468" s="204"/>
      <c r="C468" s="204"/>
      <c r="D468" s="204"/>
      <c r="E468" s="200"/>
      <c r="F468" s="405"/>
      <c r="G468" s="195" t="s">
        <v>178</v>
      </c>
      <c r="H468" s="562">
        <v>4001031</v>
      </c>
      <c r="I468" s="195" t="s">
        <v>1130</v>
      </c>
      <c r="J468" s="219">
        <v>400103103</v>
      </c>
      <c r="K468" s="206" t="s">
        <v>1131</v>
      </c>
      <c r="L468" s="222" t="s">
        <v>54</v>
      </c>
      <c r="M468" s="261">
        <v>8</v>
      </c>
      <c r="N468" s="761"/>
      <c r="O468" s="745"/>
      <c r="P468" s="744"/>
      <c r="Q468" s="388">
        <v>0</v>
      </c>
      <c r="R468" s="303"/>
      <c r="S468" s="303"/>
      <c r="T468" s="303"/>
      <c r="U468" s="303"/>
      <c r="V468" s="460"/>
      <c r="W468" s="303"/>
      <c r="X468" s="303"/>
      <c r="Y468" s="461"/>
      <c r="Z468" s="303"/>
      <c r="AA468" s="375"/>
      <c r="AB468" s="303">
        <v>598385073.60000002</v>
      </c>
      <c r="AC468" s="351"/>
      <c r="AD468" s="305">
        <f t="shared" si="168"/>
        <v>598385073.60000002</v>
      </c>
      <c r="AE468" s="149" t="s">
        <v>1176</v>
      </c>
      <c r="AF468" s="149" t="s">
        <v>1177</v>
      </c>
    </row>
    <row r="469" spans="1:72" ht="60.75" customHeight="1" x14ac:dyDescent="0.2">
      <c r="A469" s="297"/>
      <c r="B469" s="204"/>
      <c r="C469" s="204"/>
      <c r="D469" s="204"/>
      <c r="E469" s="200"/>
      <c r="F469" s="405"/>
      <c r="G469" s="195" t="s">
        <v>1121</v>
      </c>
      <c r="H469" s="562" t="s">
        <v>1132</v>
      </c>
      <c r="I469" s="195" t="s">
        <v>1133</v>
      </c>
      <c r="J469" s="219" t="s">
        <v>1134</v>
      </c>
      <c r="K469" s="246" t="s">
        <v>1133</v>
      </c>
      <c r="L469" s="222" t="s">
        <v>54</v>
      </c>
      <c r="M469" s="261">
        <v>35</v>
      </c>
      <c r="N469" s="761"/>
      <c r="O469" s="745"/>
      <c r="P469" s="744"/>
      <c r="Q469" s="388">
        <v>71937232.010000005</v>
      </c>
      <c r="R469" s="303"/>
      <c r="S469" s="303"/>
      <c r="T469" s="303"/>
      <c r="U469" s="303"/>
      <c r="V469" s="460"/>
      <c r="W469" s="303"/>
      <c r="X469" s="303"/>
      <c r="Y469" s="461"/>
      <c r="Z469" s="303"/>
      <c r="AA469" s="375"/>
      <c r="AB469" s="303">
        <v>29919253.68</v>
      </c>
      <c r="AC469" s="351"/>
      <c r="AD469" s="305">
        <f t="shared" si="168"/>
        <v>101856485.69</v>
      </c>
      <c r="AE469" s="149" t="s">
        <v>1176</v>
      </c>
      <c r="AF469" s="149" t="s">
        <v>1177</v>
      </c>
    </row>
    <row r="470" spans="1:72" ht="52.5" customHeight="1" x14ac:dyDescent="0.2">
      <c r="A470" s="297"/>
      <c r="B470" s="204"/>
      <c r="C470" s="204"/>
      <c r="D470" s="204"/>
      <c r="E470" s="200"/>
      <c r="F470" s="405"/>
      <c r="G470" s="195" t="s">
        <v>178</v>
      </c>
      <c r="H470" s="562" t="s">
        <v>1135</v>
      </c>
      <c r="I470" s="195" t="s">
        <v>181</v>
      </c>
      <c r="J470" s="219">
        <v>400101500</v>
      </c>
      <c r="K470" s="246" t="s">
        <v>181</v>
      </c>
      <c r="L470" s="222" t="s">
        <v>54</v>
      </c>
      <c r="M470" s="196">
        <v>50</v>
      </c>
      <c r="N470" s="761"/>
      <c r="O470" s="745"/>
      <c r="P470" s="744"/>
      <c r="Q470" s="388">
        <v>143874464.02000001</v>
      </c>
      <c r="R470" s="303"/>
      <c r="S470" s="303"/>
      <c r="T470" s="303"/>
      <c r="U470" s="303"/>
      <c r="V470" s="460"/>
      <c r="W470" s="303"/>
      <c r="X470" s="303"/>
      <c r="Y470" s="461"/>
      <c r="Z470" s="303"/>
      <c r="AA470" s="375"/>
      <c r="AB470" s="303">
        <v>59838507.359999999</v>
      </c>
      <c r="AC470" s="351"/>
      <c r="AD470" s="305">
        <f t="shared" si="168"/>
        <v>203712971.38</v>
      </c>
      <c r="AE470" s="149" t="s">
        <v>1176</v>
      </c>
      <c r="AF470" s="149" t="s">
        <v>1177</v>
      </c>
    </row>
    <row r="471" spans="1:72" s="122" customFormat="1" ht="31.5" customHeight="1" x14ac:dyDescent="0.2">
      <c r="A471" s="315"/>
      <c r="B471" s="336"/>
      <c r="C471" s="336"/>
      <c r="D471" s="336"/>
      <c r="E471" s="337"/>
      <c r="F471" s="338"/>
      <c r="G471" s="319"/>
      <c r="H471" s="337"/>
      <c r="I471" s="319"/>
      <c r="J471" s="320"/>
      <c r="K471" s="318"/>
      <c r="L471" s="338"/>
      <c r="M471" s="320"/>
      <c r="N471" s="338"/>
      <c r="O471" s="318"/>
      <c r="P471" s="318"/>
      <c r="Q471" s="315"/>
      <c r="R471" s="315"/>
      <c r="S471" s="315"/>
      <c r="T471" s="315"/>
      <c r="U471" s="315"/>
      <c r="V471" s="315"/>
      <c r="W471" s="420"/>
      <c r="X471" s="420"/>
      <c r="Y471" s="315"/>
      <c r="Z471" s="315"/>
      <c r="AA471" s="421"/>
      <c r="AB471" s="315"/>
      <c r="AC471" s="315"/>
      <c r="AD471" s="420"/>
      <c r="AE471" s="420"/>
      <c r="AF471" s="430"/>
      <c r="AG471" s="117"/>
      <c r="AH471" s="117"/>
      <c r="AI471" s="117"/>
      <c r="AJ471" s="117"/>
      <c r="AK471" s="117"/>
      <c r="AL471" s="117"/>
      <c r="AM471" s="117"/>
      <c r="AN471" s="117"/>
      <c r="AO471" s="117"/>
      <c r="AP471" s="117"/>
      <c r="AQ471" s="117"/>
      <c r="AR471" s="117"/>
      <c r="AS471" s="117"/>
      <c r="AT471" s="117"/>
      <c r="AU471" s="117"/>
      <c r="AV471" s="117"/>
      <c r="AW471" s="117"/>
      <c r="AX471" s="117"/>
      <c r="AY471" s="117"/>
      <c r="AZ471" s="117"/>
      <c r="BA471" s="117"/>
      <c r="BB471" s="117"/>
      <c r="BC471" s="117"/>
      <c r="BD471" s="117"/>
      <c r="BE471" s="117"/>
      <c r="BF471" s="117"/>
      <c r="BG471" s="117"/>
      <c r="BH471" s="117"/>
      <c r="BI471" s="117"/>
      <c r="BJ471" s="117"/>
      <c r="BK471" s="117"/>
      <c r="BL471" s="117"/>
      <c r="BM471" s="117"/>
      <c r="BN471" s="117"/>
      <c r="BO471" s="117"/>
      <c r="BP471" s="117"/>
      <c r="BQ471" s="117"/>
      <c r="BR471" s="117"/>
      <c r="BS471" s="117"/>
      <c r="BT471" s="117"/>
    </row>
    <row r="472" spans="1:72" s="658" customFormat="1" ht="25.5" customHeight="1" x14ac:dyDescent="0.2">
      <c r="A472" s="56" t="s">
        <v>1136</v>
      </c>
      <c r="B472" s="56"/>
      <c r="C472" s="56"/>
      <c r="D472" s="56"/>
      <c r="E472" s="57"/>
      <c r="F472" s="58"/>
      <c r="G472" s="650"/>
      <c r="H472" s="653"/>
      <c r="I472" s="650"/>
      <c r="J472" s="654"/>
      <c r="K472" s="655"/>
      <c r="L472" s="656"/>
      <c r="M472" s="654"/>
      <c r="N472" s="58"/>
      <c r="O472" s="655"/>
      <c r="P472" s="655"/>
      <c r="Q472" s="651">
        <f t="shared" ref="Q472:AC474" si="169">Q473</f>
        <v>0</v>
      </c>
      <c r="R472" s="651">
        <f t="shared" si="169"/>
        <v>0</v>
      </c>
      <c r="S472" s="651">
        <f t="shared" si="169"/>
        <v>0</v>
      </c>
      <c r="T472" s="651">
        <f t="shared" si="169"/>
        <v>0</v>
      </c>
      <c r="U472" s="651">
        <f t="shared" si="169"/>
        <v>0</v>
      </c>
      <c r="V472" s="651">
        <f t="shared" si="169"/>
        <v>0</v>
      </c>
      <c r="W472" s="651">
        <f t="shared" si="169"/>
        <v>0</v>
      </c>
      <c r="X472" s="651">
        <f t="shared" si="169"/>
        <v>0</v>
      </c>
      <c r="Y472" s="651">
        <f t="shared" si="169"/>
        <v>0</v>
      </c>
      <c r="Z472" s="651">
        <f t="shared" si="169"/>
        <v>0</v>
      </c>
      <c r="AA472" s="651">
        <f t="shared" si="169"/>
        <v>0</v>
      </c>
      <c r="AB472" s="651">
        <f t="shared" si="169"/>
        <v>110210000</v>
      </c>
      <c r="AC472" s="651">
        <f t="shared" si="169"/>
        <v>0</v>
      </c>
      <c r="AD472" s="651">
        <f>AD473</f>
        <v>110210000</v>
      </c>
      <c r="AE472" s="651"/>
      <c r="AF472" s="652"/>
      <c r="AG472" s="657"/>
      <c r="AH472" s="657"/>
      <c r="AI472" s="657"/>
      <c r="AJ472" s="657"/>
      <c r="AK472" s="657"/>
      <c r="AL472" s="657"/>
      <c r="AM472" s="657"/>
      <c r="AN472" s="657"/>
      <c r="AO472" s="657"/>
      <c r="AP472" s="657"/>
      <c r="AQ472" s="657"/>
      <c r="AR472" s="657"/>
      <c r="AS472" s="657"/>
      <c r="AT472" s="657"/>
      <c r="AU472" s="657"/>
      <c r="AV472" s="657"/>
      <c r="AW472" s="657"/>
      <c r="AX472" s="657"/>
      <c r="AY472" s="657"/>
      <c r="AZ472" s="657"/>
      <c r="BA472" s="657"/>
      <c r="BB472" s="657"/>
      <c r="BC472" s="657"/>
      <c r="BD472" s="657"/>
      <c r="BE472" s="657"/>
      <c r="BF472" s="657"/>
      <c r="BG472" s="657"/>
      <c r="BH472" s="657"/>
      <c r="BI472" s="657"/>
      <c r="BJ472" s="657"/>
      <c r="BK472" s="657"/>
      <c r="BL472" s="657"/>
      <c r="BM472" s="657"/>
      <c r="BN472" s="657"/>
      <c r="BO472" s="657"/>
      <c r="BP472" s="657"/>
      <c r="BQ472" s="657"/>
      <c r="BR472" s="657"/>
      <c r="BS472" s="657"/>
      <c r="BT472" s="657"/>
    </row>
    <row r="473" spans="1:72" ht="24.75" customHeight="1" x14ac:dyDescent="0.2">
      <c r="A473" s="297"/>
      <c r="B473" s="280">
        <v>3</v>
      </c>
      <c r="C473" s="155" t="s">
        <v>150</v>
      </c>
      <c r="D473" s="348"/>
      <c r="E473" s="155"/>
      <c r="F473" s="155"/>
      <c r="G473" s="155"/>
      <c r="H473" s="550"/>
      <c r="I473" s="282"/>
      <c r="J473" s="280"/>
      <c r="K473" s="283"/>
      <c r="L473" s="551"/>
      <c r="M473" s="280"/>
      <c r="N473" s="552"/>
      <c r="O473" s="283"/>
      <c r="P473" s="283"/>
      <c r="Q473" s="553">
        <f t="shared" si="169"/>
        <v>0</v>
      </c>
      <c r="R473" s="553">
        <f t="shared" si="169"/>
        <v>0</v>
      </c>
      <c r="S473" s="553">
        <f t="shared" si="169"/>
        <v>0</v>
      </c>
      <c r="T473" s="553">
        <f t="shared" si="169"/>
        <v>0</v>
      </c>
      <c r="U473" s="553">
        <f t="shared" si="169"/>
        <v>0</v>
      </c>
      <c r="V473" s="553">
        <f t="shared" si="169"/>
        <v>0</v>
      </c>
      <c r="W473" s="553">
        <f t="shared" si="169"/>
        <v>0</v>
      </c>
      <c r="X473" s="553">
        <f t="shared" si="169"/>
        <v>0</v>
      </c>
      <c r="Y473" s="553">
        <f t="shared" si="169"/>
        <v>0</v>
      </c>
      <c r="Z473" s="553">
        <f t="shared" si="169"/>
        <v>0</v>
      </c>
      <c r="AA473" s="553">
        <f t="shared" si="169"/>
        <v>0</v>
      </c>
      <c r="AB473" s="553">
        <f t="shared" si="169"/>
        <v>110210000</v>
      </c>
      <c r="AC473" s="553">
        <f t="shared" si="169"/>
        <v>0</v>
      </c>
      <c r="AD473" s="553">
        <f>AD474</f>
        <v>110210000</v>
      </c>
      <c r="AE473" s="553"/>
      <c r="AF473" s="554"/>
    </row>
    <row r="474" spans="1:72" s="9" customFormat="1" ht="27.75" customHeight="1" x14ac:dyDescent="0.25">
      <c r="A474" s="279"/>
      <c r="B474" s="194"/>
      <c r="C474" s="159">
        <v>24</v>
      </c>
      <c r="D474" s="156" t="s">
        <v>155</v>
      </c>
      <c r="E474" s="156"/>
      <c r="F474" s="287"/>
      <c r="G474" s="288"/>
      <c r="H474" s="289"/>
      <c r="I474" s="290"/>
      <c r="J474" s="291"/>
      <c r="K474" s="292"/>
      <c r="L474" s="293"/>
      <c r="M474" s="291"/>
      <c r="N474" s="392"/>
      <c r="O474" s="295"/>
      <c r="P474" s="295"/>
      <c r="Q474" s="296">
        <f t="shared" si="169"/>
        <v>0</v>
      </c>
      <c r="R474" s="296">
        <f t="shared" si="169"/>
        <v>0</v>
      </c>
      <c r="S474" s="296">
        <f t="shared" si="169"/>
        <v>0</v>
      </c>
      <c r="T474" s="296">
        <f t="shared" si="169"/>
        <v>0</v>
      </c>
      <c r="U474" s="296">
        <f t="shared" si="169"/>
        <v>0</v>
      </c>
      <c r="V474" s="296">
        <f t="shared" si="169"/>
        <v>0</v>
      </c>
      <c r="W474" s="296">
        <f t="shared" si="169"/>
        <v>0</v>
      </c>
      <c r="X474" s="296">
        <f t="shared" si="169"/>
        <v>0</v>
      </c>
      <c r="Y474" s="296">
        <f t="shared" si="169"/>
        <v>0</v>
      </c>
      <c r="Z474" s="296">
        <f t="shared" si="169"/>
        <v>0</v>
      </c>
      <c r="AA474" s="296">
        <f t="shared" si="169"/>
        <v>0</v>
      </c>
      <c r="AB474" s="296">
        <f t="shared" si="169"/>
        <v>110210000</v>
      </c>
      <c r="AC474" s="296">
        <f t="shared" si="169"/>
        <v>0</v>
      </c>
      <c r="AD474" s="296">
        <f>AD475</f>
        <v>110210000</v>
      </c>
      <c r="AE474" s="296"/>
      <c r="AF474" s="341"/>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row>
    <row r="475" spans="1:72" ht="24.75" customHeight="1" x14ac:dyDescent="0.2">
      <c r="A475" s="297"/>
      <c r="B475" s="204"/>
      <c r="C475" s="204"/>
      <c r="D475" s="204"/>
      <c r="E475" s="309">
        <v>2409</v>
      </c>
      <c r="F475" s="731" t="s">
        <v>1137</v>
      </c>
      <c r="G475" s="732"/>
      <c r="H475" s="732"/>
      <c r="I475" s="733"/>
      <c r="J475" s="309"/>
      <c r="K475" s="299"/>
      <c r="L475" s="558"/>
      <c r="M475" s="309"/>
      <c r="N475" s="559"/>
      <c r="O475" s="299"/>
      <c r="P475" s="299"/>
      <c r="Q475" s="557">
        <f t="shared" ref="Q475:AC475" si="170">SUM(Q476:Q479)</f>
        <v>0</v>
      </c>
      <c r="R475" s="557">
        <f t="shared" si="170"/>
        <v>0</v>
      </c>
      <c r="S475" s="557">
        <f t="shared" si="170"/>
        <v>0</v>
      </c>
      <c r="T475" s="557">
        <f t="shared" si="170"/>
        <v>0</v>
      </c>
      <c r="U475" s="557">
        <f t="shared" si="170"/>
        <v>0</v>
      </c>
      <c r="V475" s="557">
        <f t="shared" si="170"/>
        <v>0</v>
      </c>
      <c r="W475" s="557">
        <f t="shared" si="170"/>
        <v>0</v>
      </c>
      <c r="X475" s="557">
        <f t="shared" si="170"/>
        <v>0</v>
      </c>
      <c r="Y475" s="557">
        <f t="shared" si="170"/>
        <v>0</v>
      </c>
      <c r="Z475" s="557">
        <f t="shared" si="170"/>
        <v>0</v>
      </c>
      <c r="AA475" s="557">
        <f t="shared" si="170"/>
        <v>0</v>
      </c>
      <c r="AB475" s="557">
        <f t="shared" si="170"/>
        <v>110210000</v>
      </c>
      <c r="AC475" s="557">
        <f t="shared" si="170"/>
        <v>0</v>
      </c>
      <c r="AD475" s="557">
        <f>SUM(AD476:AD479)</f>
        <v>110210000</v>
      </c>
      <c r="AE475" s="557"/>
      <c r="AF475" s="404"/>
    </row>
    <row r="476" spans="1:72" s="82" customFormat="1" ht="132.75" customHeight="1" x14ac:dyDescent="0.2">
      <c r="A476" s="573"/>
      <c r="B476" s="194"/>
      <c r="C476" s="194"/>
      <c r="D476" s="194"/>
      <c r="E476" s="590"/>
      <c r="F476" s="266"/>
      <c r="G476" s="206" t="s">
        <v>1138</v>
      </c>
      <c r="H476" s="190">
        <v>2409009</v>
      </c>
      <c r="I476" s="192" t="s">
        <v>1139</v>
      </c>
      <c r="J476" s="190">
        <v>240900900</v>
      </c>
      <c r="K476" s="206" t="s">
        <v>1140</v>
      </c>
      <c r="L476" s="445" t="s">
        <v>42</v>
      </c>
      <c r="M476" s="445">
        <v>1</v>
      </c>
      <c r="N476" s="765" t="s">
        <v>1374</v>
      </c>
      <c r="O476" s="760" t="s">
        <v>1199</v>
      </c>
      <c r="P476" s="760" t="s">
        <v>1141</v>
      </c>
      <c r="Q476" s="303"/>
      <c r="R476" s="303"/>
      <c r="S476" s="303"/>
      <c r="T476" s="303"/>
      <c r="U476" s="303"/>
      <c r="V476" s="460"/>
      <c r="W476" s="303"/>
      <c r="X476" s="303"/>
      <c r="Y476" s="461"/>
      <c r="Z476" s="303"/>
      <c r="AA476" s="396"/>
      <c r="AB476" s="396">
        <v>27192000</v>
      </c>
      <c r="AC476" s="303"/>
      <c r="AD476" s="575">
        <f>+Q476+R476+S476+T476+U476+V476+W476+X476+Y476+Z476+AA476+AB476+AC476</f>
        <v>27192000</v>
      </c>
      <c r="AE476" s="575"/>
      <c r="AF476" s="577"/>
    </row>
    <row r="477" spans="1:72" s="82" customFormat="1" ht="109.5" customHeight="1" x14ac:dyDescent="0.2">
      <c r="A477" s="573"/>
      <c r="B477" s="194"/>
      <c r="C477" s="194"/>
      <c r="D477" s="194"/>
      <c r="E477" s="590"/>
      <c r="F477" s="266"/>
      <c r="G477" s="206" t="s">
        <v>1138</v>
      </c>
      <c r="H477" s="190">
        <v>2409022</v>
      </c>
      <c r="I477" s="192" t="s">
        <v>1142</v>
      </c>
      <c r="J477" s="190">
        <v>240902202</v>
      </c>
      <c r="K477" s="206" t="s">
        <v>1143</v>
      </c>
      <c r="L477" s="445" t="s">
        <v>42</v>
      </c>
      <c r="M477" s="445">
        <v>1</v>
      </c>
      <c r="N477" s="765"/>
      <c r="O477" s="760"/>
      <c r="P477" s="760"/>
      <c r="Q477" s="303"/>
      <c r="R477" s="303"/>
      <c r="S477" s="303"/>
      <c r="T477" s="303"/>
      <c r="U477" s="303"/>
      <c r="V477" s="460"/>
      <c r="W477" s="303"/>
      <c r="X477" s="303"/>
      <c r="Y477" s="461"/>
      <c r="Z477" s="303"/>
      <c r="AA477" s="396"/>
      <c r="AB477" s="396">
        <v>8652000</v>
      </c>
      <c r="AC477" s="303"/>
      <c r="AD477" s="575">
        <f>+Q477+R477+S477+T477+U477+V477+W477+X477+Y477+Z477+AA477+AB477+AC477</f>
        <v>8652000</v>
      </c>
      <c r="AE477" s="575"/>
      <c r="AF477" s="577"/>
    </row>
    <row r="478" spans="1:72" s="82" customFormat="1" ht="108.75" customHeight="1" x14ac:dyDescent="0.2">
      <c r="A478" s="573"/>
      <c r="B478" s="194"/>
      <c r="C478" s="194"/>
      <c r="D478" s="194"/>
      <c r="E478" s="590"/>
      <c r="F478" s="266"/>
      <c r="G478" s="206" t="s">
        <v>1138</v>
      </c>
      <c r="H478" s="190">
        <v>2409014</v>
      </c>
      <c r="I478" s="192" t="s">
        <v>1351</v>
      </c>
      <c r="J478" s="190">
        <v>240901400</v>
      </c>
      <c r="K478" s="206" t="s">
        <v>1144</v>
      </c>
      <c r="L478" s="445" t="s">
        <v>42</v>
      </c>
      <c r="M478" s="445">
        <v>1</v>
      </c>
      <c r="N478" s="765"/>
      <c r="O478" s="760"/>
      <c r="P478" s="760"/>
      <c r="Q478" s="303"/>
      <c r="R478" s="303"/>
      <c r="S478" s="303"/>
      <c r="T478" s="303"/>
      <c r="U478" s="303"/>
      <c r="V478" s="460"/>
      <c r="W478" s="303"/>
      <c r="X478" s="303"/>
      <c r="Y478" s="461"/>
      <c r="Z478" s="303"/>
      <c r="AA478" s="396"/>
      <c r="AB478" s="396">
        <v>25956000</v>
      </c>
      <c r="AC478" s="303"/>
      <c r="AD478" s="575">
        <f>+Q478+R478+S478+T478+U478+V478+W478+X478+Y478+Z478+AA478+AB478+AC478</f>
        <v>25956000</v>
      </c>
      <c r="AE478" s="575"/>
      <c r="AF478" s="577"/>
    </row>
    <row r="479" spans="1:72" s="82" customFormat="1" ht="132" customHeight="1" x14ac:dyDescent="0.2">
      <c r="A479" s="573"/>
      <c r="B479" s="194"/>
      <c r="C479" s="194"/>
      <c r="D479" s="194"/>
      <c r="E479" s="590"/>
      <c r="F479" s="266"/>
      <c r="G479" s="206" t="s">
        <v>1138</v>
      </c>
      <c r="H479" s="190">
        <v>2409039</v>
      </c>
      <c r="I479" s="192" t="s">
        <v>1145</v>
      </c>
      <c r="J479" s="190">
        <v>240903905</v>
      </c>
      <c r="K479" s="206" t="s">
        <v>1146</v>
      </c>
      <c r="L479" s="445" t="s">
        <v>42</v>
      </c>
      <c r="M479" s="445">
        <v>1</v>
      </c>
      <c r="N479" s="765"/>
      <c r="O479" s="760"/>
      <c r="P479" s="760"/>
      <c r="Q479" s="303"/>
      <c r="R479" s="303"/>
      <c r="S479" s="303"/>
      <c r="T479" s="303"/>
      <c r="U479" s="303"/>
      <c r="V479" s="460"/>
      <c r="W479" s="303"/>
      <c r="X479" s="303"/>
      <c r="Y479" s="461"/>
      <c r="Z479" s="303"/>
      <c r="AA479" s="396"/>
      <c r="AB479" s="396">
        <v>48410000</v>
      </c>
      <c r="AC479" s="303"/>
      <c r="AD479" s="575">
        <f>+Q479+R479+S479+T479+U479+V479+W479+X479+Y479+Z479+AA479+AB479+AC479</f>
        <v>48410000</v>
      </c>
      <c r="AE479" s="575"/>
      <c r="AF479" s="577"/>
    </row>
    <row r="480" spans="1:72" s="30" customFormat="1" ht="27.75" customHeight="1" x14ac:dyDescent="0.25">
      <c r="A480" s="563" t="s">
        <v>1147</v>
      </c>
      <c r="B480" s="563"/>
      <c r="C480" s="563"/>
      <c r="D480" s="563"/>
      <c r="E480" s="564"/>
      <c r="F480" s="565"/>
      <c r="G480" s="566"/>
      <c r="H480" s="564"/>
      <c r="I480" s="566"/>
      <c r="J480" s="567"/>
      <c r="K480" s="568"/>
      <c r="L480" s="565"/>
      <c r="M480" s="567"/>
      <c r="N480" s="565"/>
      <c r="O480" s="568"/>
      <c r="P480" s="568"/>
      <c r="Q480" s="569">
        <f t="shared" ref="Q480:AD480" si="171">+Q472+Q450+Q438</f>
        <v>1027674743</v>
      </c>
      <c r="R480" s="569">
        <f t="shared" si="171"/>
        <v>0</v>
      </c>
      <c r="S480" s="569">
        <f t="shared" si="171"/>
        <v>0</v>
      </c>
      <c r="T480" s="569">
        <f t="shared" si="171"/>
        <v>0</v>
      </c>
      <c r="U480" s="569">
        <f t="shared" si="171"/>
        <v>0</v>
      </c>
      <c r="V480" s="569">
        <f t="shared" si="171"/>
        <v>0</v>
      </c>
      <c r="W480" s="569">
        <f t="shared" si="171"/>
        <v>0</v>
      </c>
      <c r="X480" s="569">
        <f t="shared" si="171"/>
        <v>0</v>
      </c>
      <c r="Y480" s="569">
        <f t="shared" si="171"/>
        <v>0</v>
      </c>
      <c r="Z480" s="569">
        <f t="shared" si="171"/>
        <v>0</v>
      </c>
      <c r="AA480" s="569">
        <f t="shared" si="171"/>
        <v>855248186</v>
      </c>
      <c r="AB480" s="569">
        <f t="shared" si="171"/>
        <v>2746000524.2200003</v>
      </c>
      <c r="AC480" s="569">
        <f t="shared" si="171"/>
        <v>1000000000</v>
      </c>
      <c r="AD480" s="569">
        <f t="shared" si="171"/>
        <v>5628923453.2199993</v>
      </c>
      <c r="AE480" s="569"/>
      <c r="AF480" s="570"/>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row>
    <row r="481" spans="1:72" s="41" customFormat="1" ht="15.75" x14ac:dyDescent="0.25">
      <c r="A481" s="592"/>
      <c r="B481" s="592"/>
      <c r="C481" s="592"/>
      <c r="D481" s="592"/>
      <c r="E481" s="593"/>
      <c r="F481" s="594"/>
      <c r="G481" s="595"/>
      <c r="H481" s="593"/>
      <c r="I481" s="595"/>
      <c r="J481" s="596"/>
      <c r="K481" s="597"/>
      <c r="L481" s="594"/>
      <c r="M481" s="596"/>
      <c r="N481" s="594"/>
      <c r="O481" s="597"/>
      <c r="P481" s="597"/>
      <c r="Q481" s="72"/>
      <c r="R481" s="54"/>
      <c r="S481" s="54"/>
      <c r="T481" s="54"/>
      <c r="U481" s="54"/>
      <c r="V481" s="70"/>
      <c r="W481" s="68"/>
      <c r="X481" s="68"/>
      <c r="Y481" s="72"/>
      <c r="Z481" s="54"/>
      <c r="AA481" s="54"/>
      <c r="AB481" s="54"/>
      <c r="AC481" s="54"/>
      <c r="AD481" s="54"/>
      <c r="AE481" s="40"/>
      <c r="AF481" s="147"/>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row>
    <row r="482" spans="1:72" s="32" customFormat="1" ht="24.75" customHeight="1" x14ac:dyDescent="0.25">
      <c r="A482" s="632" t="s">
        <v>1148</v>
      </c>
      <c r="B482" s="598"/>
      <c r="C482" s="598"/>
      <c r="D482" s="598"/>
      <c r="E482" s="599"/>
      <c r="F482" s="600"/>
      <c r="G482" s="601"/>
      <c r="H482" s="599"/>
      <c r="I482" s="601"/>
      <c r="J482" s="602"/>
      <c r="K482" s="603"/>
      <c r="L482" s="600"/>
      <c r="M482" s="602"/>
      <c r="N482" s="600"/>
      <c r="O482" s="603"/>
      <c r="P482" s="603"/>
      <c r="Q482" s="73">
        <f t="shared" ref="Q482:AD482" si="172">+Q436+Q480</f>
        <v>10495404871</v>
      </c>
      <c r="R482" s="31">
        <f t="shared" si="172"/>
        <v>1724182726</v>
      </c>
      <c r="S482" s="31">
        <f t="shared" si="172"/>
        <v>0</v>
      </c>
      <c r="T482" s="31">
        <f t="shared" si="172"/>
        <v>1704977490</v>
      </c>
      <c r="U482" s="31">
        <f t="shared" si="172"/>
        <v>6460193577</v>
      </c>
      <c r="V482" s="71">
        <f t="shared" si="172"/>
        <v>35242837560</v>
      </c>
      <c r="W482" s="69">
        <f t="shared" si="172"/>
        <v>143885000000</v>
      </c>
      <c r="X482" s="69">
        <f t="shared" si="172"/>
        <v>25145000000</v>
      </c>
      <c r="Y482" s="73">
        <f t="shared" si="172"/>
        <v>12990000000</v>
      </c>
      <c r="Z482" s="31">
        <f t="shared" si="172"/>
        <v>2753011221</v>
      </c>
      <c r="AA482" s="31">
        <f t="shared" si="172"/>
        <v>19324123614</v>
      </c>
      <c r="AB482" s="31">
        <f t="shared" si="172"/>
        <v>3673910970.2200003</v>
      </c>
      <c r="AC482" s="31">
        <f t="shared" si="172"/>
        <v>3849166997</v>
      </c>
      <c r="AD482" s="31">
        <f t="shared" si="172"/>
        <v>267247809026.22</v>
      </c>
      <c r="AE482" s="31"/>
      <c r="AF482" s="591"/>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row>
    <row r="485" spans="1:72" ht="48" customHeight="1" x14ac:dyDescent="0.25">
      <c r="AD485" s="28"/>
    </row>
    <row r="486" spans="1:72" ht="36" customHeight="1" x14ac:dyDescent="0.25">
      <c r="AD486" s="28"/>
    </row>
  </sheetData>
  <sheetProtection algorithmName="SHA-512" hashValue="ShE7K6kR0GTtUEnV6eaqeZneoWpajhCDq1vZp+qK2NcDEWO3ciJvod10Y7L6EJBkiGn5onVYC0jgKK7Mi7COHw==" saltValue="89uKXN6Y4DG2vBnIV3QJ+Q==" spinCount="100000" sheet="1" objects="1" scenarios="1"/>
  <mergeCells count="202">
    <mergeCell ref="C8:G8"/>
    <mergeCell ref="C18:G18"/>
    <mergeCell ref="C36:G36"/>
    <mergeCell ref="N394:N398"/>
    <mergeCell ref="N62:N63"/>
    <mergeCell ref="N100:N104"/>
    <mergeCell ref="N142:N143"/>
    <mergeCell ref="N149:N150"/>
    <mergeCell ref="N309:N310"/>
    <mergeCell ref="N261:N263"/>
    <mergeCell ref="N192:N194"/>
    <mergeCell ref="N174:N175"/>
    <mergeCell ref="N389:N390"/>
    <mergeCell ref="N189:N190"/>
    <mergeCell ref="N182:N183"/>
    <mergeCell ref="N151:N152"/>
    <mergeCell ref="N202:N203"/>
    <mergeCell ref="N336:N343"/>
    <mergeCell ref="N302:N303"/>
    <mergeCell ref="N391:N393"/>
    <mergeCell ref="N380:N381"/>
    <mergeCell ref="N373:N374"/>
    <mergeCell ref="N290:N291"/>
    <mergeCell ref="N476:N479"/>
    <mergeCell ref="O476:O479"/>
    <mergeCell ref="N245:N246"/>
    <mergeCell ref="N247:N256"/>
    <mergeCell ref="N235:N244"/>
    <mergeCell ref="N267:N268"/>
    <mergeCell ref="N464:N470"/>
    <mergeCell ref="O294:O295"/>
    <mergeCell ref="N280:N281"/>
    <mergeCell ref="O280:O281"/>
    <mergeCell ref="N306:N307"/>
    <mergeCell ref="O306:O307"/>
    <mergeCell ref="O422:O424"/>
    <mergeCell ref="N264:N266"/>
    <mergeCell ref="N287:N288"/>
    <mergeCell ref="O287:O288"/>
    <mergeCell ref="O408:O412"/>
    <mergeCell ref="N346:N348"/>
    <mergeCell ref="N442:N445"/>
    <mergeCell ref="O359:O360"/>
    <mergeCell ref="O350:O353"/>
    <mergeCell ref="O354:O357"/>
    <mergeCell ref="N350:N353"/>
    <mergeCell ref="N354:N357"/>
    <mergeCell ref="N430:N435"/>
    <mergeCell ref="O430:O435"/>
    <mergeCell ref="N378:N379"/>
    <mergeCell ref="N368:N369"/>
    <mergeCell ref="O414:O418"/>
    <mergeCell ref="O404:O407"/>
    <mergeCell ref="N414:N418"/>
    <mergeCell ref="N404:N407"/>
    <mergeCell ref="O302:O303"/>
    <mergeCell ref="N359:N360"/>
    <mergeCell ref="O344:O345"/>
    <mergeCell ref="O346:O348"/>
    <mergeCell ref="O361:O367"/>
    <mergeCell ref="N344:N345"/>
    <mergeCell ref="P287:P288"/>
    <mergeCell ref="O309:O310"/>
    <mergeCell ref="P309:P310"/>
    <mergeCell ref="P294:P295"/>
    <mergeCell ref="P408:P412"/>
    <mergeCell ref="O370:O372"/>
    <mergeCell ref="P389:P390"/>
    <mergeCell ref="P391:P393"/>
    <mergeCell ref="N408:N412"/>
    <mergeCell ref="O389:O390"/>
    <mergeCell ref="P302:P303"/>
    <mergeCell ref="N294:N295"/>
    <mergeCell ref="P336:P343"/>
    <mergeCell ref="P350:P353"/>
    <mergeCell ref="P354:P357"/>
    <mergeCell ref="P359:P360"/>
    <mergeCell ref="P361:P367"/>
    <mergeCell ref="P344:P345"/>
    <mergeCell ref="P346:P348"/>
    <mergeCell ref="O290:O291"/>
    <mergeCell ref="P290:P291"/>
    <mergeCell ref="P430:P435"/>
    <mergeCell ref="O394:O398"/>
    <mergeCell ref="O391:O393"/>
    <mergeCell ref="O378:O379"/>
    <mergeCell ref="O380:O381"/>
    <mergeCell ref="O373:O374"/>
    <mergeCell ref="O368:O369"/>
    <mergeCell ref="P414:P418"/>
    <mergeCell ref="P422:P424"/>
    <mergeCell ref="P404:P407"/>
    <mergeCell ref="P133:P137"/>
    <mergeCell ref="O142:O143"/>
    <mergeCell ref="P476:P479"/>
    <mergeCell ref="N197:N198"/>
    <mergeCell ref="O197:O198"/>
    <mergeCell ref="N214:N216"/>
    <mergeCell ref="O214:O216"/>
    <mergeCell ref="N218:N220"/>
    <mergeCell ref="O218:O220"/>
    <mergeCell ref="O202:O203"/>
    <mergeCell ref="P197:P198"/>
    <mergeCell ref="P205:P208"/>
    <mergeCell ref="N205:N208"/>
    <mergeCell ref="O205:O208"/>
    <mergeCell ref="P202:P203"/>
    <mergeCell ref="N422:N424"/>
    <mergeCell ref="N257:N260"/>
    <mergeCell ref="O257:O260"/>
    <mergeCell ref="P214:P216"/>
    <mergeCell ref="P218:P220"/>
    <mergeCell ref="O442:O445"/>
    <mergeCell ref="P306:P307"/>
    <mergeCell ref="P280:P281"/>
    <mergeCell ref="P442:P445"/>
    <mergeCell ref="P192:P194"/>
    <mergeCell ref="O182:O183"/>
    <mergeCell ref="P182:P183"/>
    <mergeCell ref="O27:O32"/>
    <mergeCell ref="P27:P32"/>
    <mergeCell ref="P142:P143"/>
    <mergeCell ref="N27:N32"/>
    <mergeCell ref="O100:O104"/>
    <mergeCell ref="O117:O119"/>
    <mergeCell ref="P100:P104"/>
    <mergeCell ref="P117:P119"/>
    <mergeCell ref="O124:O127"/>
    <mergeCell ref="P124:P127"/>
    <mergeCell ref="O73:O78"/>
    <mergeCell ref="N73:N78"/>
    <mergeCell ref="P73:P78"/>
    <mergeCell ref="O62:O63"/>
    <mergeCell ref="N117:N119"/>
    <mergeCell ref="N124:N127"/>
    <mergeCell ref="P62:P63"/>
    <mergeCell ref="N176:N177"/>
    <mergeCell ref="O138:O139"/>
    <mergeCell ref="P138:P139"/>
    <mergeCell ref="O133:O137"/>
    <mergeCell ref="P261:P263"/>
    <mergeCell ref="P264:P266"/>
    <mergeCell ref="P267:P268"/>
    <mergeCell ref="P245:P246"/>
    <mergeCell ref="P235:P244"/>
    <mergeCell ref="O235:O244"/>
    <mergeCell ref="O245:O246"/>
    <mergeCell ref="P247:P256"/>
    <mergeCell ref="O261:O263"/>
    <mergeCell ref="O267:O268"/>
    <mergeCell ref="P257:P260"/>
    <mergeCell ref="O247:O256"/>
    <mergeCell ref="O264:O266"/>
    <mergeCell ref="P149:P150"/>
    <mergeCell ref="O151:O152"/>
    <mergeCell ref="P151:P152"/>
    <mergeCell ref="P189:P190"/>
    <mergeCell ref="O159:O162"/>
    <mergeCell ref="P159:P162"/>
    <mergeCell ref="O153:O155"/>
    <mergeCell ref="O174:O175"/>
    <mergeCell ref="O176:O177"/>
    <mergeCell ref="P153:P155"/>
    <mergeCell ref="P174:P175"/>
    <mergeCell ref="P176:P177"/>
    <mergeCell ref="P171:P173"/>
    <mergeCell ref="P168:P170"/>
    <mergeCell ref="O171:O173"/>
    <mergeCell ref="O168:O170"/>
    <mergeCell ref="G2:AB2"/>
    <mergeCell ref="P464:P470"/>
    <mergeCell ref="O464:O470"/>
    <mergeCell ref="P394:P398"/>
    <mergeCell ref="P368:P369"/>
    <mergeCell ref="P370:P372"/>
    <mergeCell ref="P373:P374"/>
    <mergeCell ref="P375:P377"/>
    <mergeCell ref="P378:P379"/>
    <mergeCell ref="P380:P381"/>
    <mergeCell ref="N133:N137"/>
    <mergeCell ref="N159:N162"/>
    <mergeCell ref="N171:N173"/>
    <mergeCell ref="N168:N170"/>
    <mergeCell ref="N153:N155"/>
    <mergeCell ref="N138:N139"/>
    <mergeCell ref="O189:O190"/>
    <mergeCell ref="O192:O194"/>
    <mergeCell ref="O336:O343"/>
    <mergeCell ref="N361:N367"/>
    <mergeCell ref="N375:N377"/>
    <mergeCell ref="O375:O377"/>
    <mergeCell ref="N370:N372"/>
    <mergeCell ref="O149:O150"/>
    <mergeCell ref="G404:G405"/>
    <mergeCell ref="F475:I475"/>
    <mergeCell ref="F108:J108"/>
    <mergeCell ref="I422:I424"/>
    <mergeCell ref="H422:H424"/>
    <mergeCell ref="G422:G424"/>
    <mergeCell ref="A436:F436"/>
    <mergeCell ref="H404:H405"/>
    <mergeCell ref="I404:I405"/>
  </mergeCells>
  <phoneticPr fontId="9" type="noConversion"/>
  <conditionalFormatting sqref="J336">
    <cfRule type="duplicateValues" dxfId="30" priority="43"/>
  </conditionalFormatting>
  <conditionalFormatting sqref="J344">
    <cfRule type="duplicateValues" dxfId="29" priority="41"/>
  </conditionalFormatting>
  <conditionalFormatting sqref="J344">
    <cfRule type="duplicateValues" dxfId="28" priority="42"/>
  </conditionalFormatting>
  <conditionalFormatting sqref="J351">
    <cfRule type="duplicateValues" dxfId="27" priority="39"/>
  </conditionalFormatting>
  <conditionalFormatting sqref="J351">
    <cfRule type="duplicateValues" dxfId="26" priority="40"/>
  </conditionalFormatting>
  <conditionalFormatting sqref="J139">
    <cfRule type="duplicateValues" dxfId="25" priority="37"/>
  </conditionalFormatting>
  <conditionalFormatting sqref="J169">
    <cfRule type="duplicateValues" dxfId="24" priority="36"/>
  </conditionalFormatting>
  <conditionalFormatting sqref="J170">
    <cfRule type="duplicateValues" dxfId="23" priority="35"/>
  </conditionalFormatting>
  <conditionalFormatting sqref="J314">
    <cfRule type="duplicateValues" dxfId="22" priority="33"/>
  </conditionalFormatting>
  <conditionalFormatting sqref="J314">
    <cfRule type="duplicateValues" dxfId="21" priority="34"/>
  </conditionalFormatting>
  <conditionalFormatting sqref="J172">
    <cfRule type="duplicateValues" dxfId="20" priority="32"/>
  </conditionalFormatting>
  <conditionalFormatting sqref="J173">
    <cfRule type="duplicateValues" dxfId="19" priority="28"/>
  </conditionalFormatting>
  <conditionalFormatting sqref="J173">
    <cfRule type="duplicateValues" dxfId="18" priority="29"/>
  </conditionalFormatting>
  <conditionalFormatting sqref="J173">
    <cfRule type="duplicateValues" dxfId="17" priority="30"/>
  </conditionalFormatting>
  <conditionalFormatting sqref="J177">
    <cfRule type="duplicateValues" dxfId="16" priority="26"/>
  </conditionalFormatting>
  <conditionalFormatting sqref="J177">
    <cfRule type="duplicateValues" dxfId="15" priority="27"/>
  </conditionalFormatting>
  <conditionalFormatting sqref="J178">
    <cfRule type="duplicateValues" dxfId="14" priority="24"/>
  </conditionalFormatting>
  <conditionalFormatting sqref="J178">
    <cfRule type="duplicateValues" dxfId="13" priority="25"/>
  </conditionalFormatting>
  <conditionalFormatting sqref="J180">
    <cfRule type="duplicateValues" dxfId="12" priority="21"/>
  </conditionalFormatting>
  <conditionalFormatting sqref="J180">
    <cfRule type="duplicateValues" dxfId="11" priority="22"/>
  </conditionalFormatting>
  <conditionalFormatting sqref="J189">
    <cfRule type="duplicateValues" dxfId="10" priority="19"/>
  </conditionalFormatting>
  <conditionalFormatting sqref="J189">
    <cfRule type="duplicateValues" dxfId="9" priority="20"/>
  </conditionalFormatting>
  <conditionalFormatting sqref="J190">
    <cfRule type="duplicateValues" dxfId="8" priority="17"/>
  </conditionalFormatting>
  <conditionalFormatting sqref="J190">
    <cfRule type="duplicateValues" dxfId="7" priority="18"/>
  </conditionalFormatting>
  <conditionalFormatting sqref="J192">
    <cfRule type="duplicateValues" dxfId="6" priority="15"/>
  </conditionalFormatting>
  <conditionalFormatting sqref="J192">
    <cfRule type="duplicateValues" dxfId="5" priority="16"/>
  </conditionalFormatting>
  <conditionalFormatting sqref="J193">
    <cfRule type="duplicateValues" dxfId="4" priority="13"/>
  </conditionalFormatting>
  <conditionalFormatting sqref="J193">
    <cfRule type="duplicateValues" dxfId="3" priority="14"/>
  </conditionalFormatting>
  <conditionalFormatting sqref="J352">
    <cfRule type="duplicateValues" dxfId="2" priority="11"/>
  </conditionalFormatting>
  <conditionalFormatting sqref="J352">
    <cfRule type="duplicateValues" dxfId="1" priority="12"/>
  </conditionalFormatting>
  <conditionalFormatting sqref="J171">
    <cfRule type="duplicateValues" dxfId="0" priority="44"/>
  </conditionalFormatting>
  <pageMargins left="0.7" right="0.7" top="0.75" bottom="0.75" header="0.3" footer="0.3"/>
  <pageSetup orientation="portrait" horizontalDpi="360" verticalDpi="360" r:id="rId1"/>
  <ignoredErrors>
    <ignoredError sqref="J67 J55 H55 H78 H82 J138:J140 J142:J143 J149:J152 J153:J154 J159:J161 J162 J168:J178 J180 J182:J183 J185 J187 J189:J190 J193:J194 J197:J198 J212 J214:J216 J218:J220 H327:H329 J328:J329 J82 J156"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6"/>
  <sheetViews>
    <sheetView showGridLines="0" zoomScale="60" zoomScaleNormal="60" workbookViewId="0">
      <selection sqref="A1:I3"/>
    </sheetView>
  </sheetViews>
  <sheetFormatPr baseColWidth="10" defaultColWidth="11.42578125" defaultRowHeight="15" x14ac:dyDescent="0.2"/>
  <cols>
    <col min="1" max="1" width="12.5703125" style="1" customWidth="1"/>
    <col min="2" max="2" width="18" style="13" customWidth="1"/>
    <col min="3" max="3" width="13.85546875" style="13" customWidth="1"/>
    <col min="4" max="4" width="18.140625" style="13" customWidth="1"/>
    <col min="5" max="5" width="69.5703125" style="14" customWidth="1"/>
    <col min="6" max="6" width="33.140625" style="14" customWidth="1"/>
    <col min="7" max="7" width="35.28515625" style="14" customWidth="1"/>
    <col min="8" max="8" width="32.85546875" style="14" customWidth="1"/>
    <col min="9" max="9" width="34.5703125" style="14" customWidth="1"/>
    <col min="10" max="10" width="33.42578125" style="21" customWidth="1"/>
    <col min="11" max="11" width="18.85546875" style="4" customWidth="1"/>
    <col min="12" max="12" width="16.140625" style="4" customWidth="1"/>
    <col min="13" max="16" width="11.42578125" style="4"/>
    <col min="17" max="16384" width="11.42578125" style="1"/>
  </cols>
  <sheetData>
    <row r="1" spans="1:16" ht="42" customHeight="1" x14ac:dyDescent="0.2">
      <c r="A1" s="776" t="s">
        <v>1266</v>
      </c>
      <c r="B1" s="777"/>
      <c r="C1" s="777"/>
      <c r="D1" s="777"/>
      <c r="E1" s="777"/>
      <c r="F1" s="777"/>
      <c r="G1" s="777"/>
      <c r="H1" s="777"/>
      <c r="I1" s="777"/>
    </row>
    <row r="2" spans="1:16" ht="27.75" customHeight="1" x14ac:dyDescent="0.2">
      <c r="A2" s="777"/>
      <c r="B2" s="777"/>
      <c r="C2" s="777"/>
      <c r="D2" s="777"/>
      <c r="E2" s="777"/>
      <c r="F2" s="777"/>
      <c r="G2" s="777"/>
      <c r="H2" s="777"/>
      <c r="I2" s="777"/>
    </row>
    <row r="3" spans="1:16" ht="27.75" customHeight="1" x14ac:dyDescent="0.2">
      <c r="A3" s="777"/>
      <c r="B3" s="777"/>
      <c r="C3" s="777"/>
      <c r="D3" s="777"/>
      <c r="E3" s="777"/>
      <c r="F3" s="777"/>
      <c r="G3" s="777"/>
      <c r="H3" s="777"/>
      <c r="I3" s="777"/>
    </row>
    <row r="4" spans="1:16" ht="24.75" customHeight="1" x14ac:dyDescent="0.2">
      <c r="B4" s="35"/>
      <c r="C4" s="36"/>
      <c r="D4" s="36"/>
      <c r="E4" s="36"/>
      <c r="F4" s="36"/>
      <c r="G4" s="36"/>
      <c r="H4" s="36"/>
      <c r="I4" s="36"/>
    </row>
    <row r="5" spans="1:16" s="7" customFormat="1" ht="69" customHeight="1" x14ac:dyDescent="0.25">
      <c r="A5" s="48" t="s">
        <v>7</v>
      </c>
      <c r="B5" s="48" t="s">
        <v>8</v>
      </c>
      <c r="C5" s="152" t="s">
        <v>1293</v>
      </c>
      <c r="D5" s="781" t="s">
        <v>10</v>
      </c>
      <c r="E5" s="782"/>
      <c r="F5" s="778" t="s">
        <v>1150</v>
      </c>
      <c r="G5" s="779"/>
      <c r="H5" s="779"/>
      <c r="I5" s="780"/>
      <c r="J5" s="243"/>
      <c r="K5" s="6"/>
      <c r="L5" s="6"/>
      <c r="M5" s="6"/>
      <c r="N5" s="6"/>
      <c r="O5" s="6"/>
      <c r="P5" s="6"/>
    </row>
    <row r="6" spans="1:16" ht="15.75" x14ac:dyDescent="0.2">
      <c r="B6" s="44"/>
      <c r="C6" s="44"/>
      <c r="D6" s="44"/>
      <c r="E6" s="51"/>
      <c r="F6" s="51"/>
      <c r="G6" s="51"/>
      <c r="H6" s="51"/>
      <c r="I6" s="51"/>
    </row>
    <row r="7" spans="1:16" s="9" customFormat="1" ht="26.25" customHeight="1" x14ac:dyDescent="0.25">
      <c r="A7" s="55" t="s">
        <v>36</v>
      </c>
      <c r="B7" s="57"/>
      <c r="C7" s="57"/>
      <c r="D7" s="57"/>
      <c r="E7" s="58"/>
      <c r="F7" s="58"/>
      <c r="G7" s="58"/>
      <c r="H7" s="58"/>
      <c r="I7" s="58">
        <f>H8</f>
        <v>176000000</v>
      </c>
      <c r="J7" s="8"/>
      <c r="K7" s="8"/>
      <c r="L7" s="8"/>
      <c r="M7" s="8"/>
      <c r="N7" s="8"/>
      <c r="O7" s="8"/>
      <c r="P7" s="8"/>
    </row>
    <row r="8" spans="1:16" s="9" customFormat="1" ht="21.75" customHeight="1" x14ac:dyDescent="0.25">
      <c r="A8" s="59"/>
      <c r="B8" s="60">
        <f>POAI!B8</f>
        <v>4</v>
      </c>
      <c r="C8" s="74" t="str">
        <f>POAI!C8</f>
        <v xml:space="preserve">LIDERAZGO, GOBERNABILIDAD Y TRANSPARENCIA </v>
      </c>
      <c r="D8" s="74"/>
      <c r="E8" s="74"/>
      <c r="F8" s="75"/>
      <c r="G8" s="75"/>
      <c r="H8" s="79">
        <f>G9</f>
        <v>176000000</v>
      </c>
      <c r="I8" s="74"/>
      <c r="J8" s="8"/>
      <c r="K8" s="8"/>
      <c r="L8" s="8"/>
      <c r="M8" s="8"/>
      <c r="N8" s="8"/>
      <c r="O8" s="8"/>
      <c r="P8" s="8"/>
    </row>
    <row r="9" spans="1:16" ht="25.5" customHeight="1" x14ac:dyDescent="0.2">
      <c r="A9" s="61"/>
      <c r="B9" s="81"/>
      <c r="C9" s="157">
        <f>POAI!C9</f>
        <v>45</v>
      </c>
      <c r="D9" s="153" t="str">
        <f>POAI!D9</f>
        <v>Gobierno territorial</v>
      </c>
      <c r="E9" s="160"/>
      <c r="F9" s="160"/>
      <c r="G9" s="163">
        <f>SUM(F10:F11)</f>
        <v>176000000</v>
      </c>
      <c r="H9" s="161"/>
      <c r="I9" s="160"/>
    </row>
    <row r="10" spans="1:16" ht="70.5" customHeight="1" x14ac:dyDescent="0.2">
      <c r="A10" s="61"/>
      <c r="B10" s="62"/>
      <c r="C10" s="62"/>
      <c r="D10" s="76">
        <f>POAI!E10</f>
        <v>4599</v>
      </c>
      <c r="E10" s="162" t="str">
        <f>POAI!F10</f>
        <v>Fortalecimiento a la gestión y dirección de la administración pública territorial "Quindío con una administración al servicio de la ciudadanía "</v>
      </c>
      <c r="F10" s="77">
        <f>POAI!AA10</f>
        <v>136000000</v>
      </c>
      <c r="G10" s="77"/>
      <c r="H10" s="77"/>
      <c r="I10" s="77"/>
    </row>
    <row r="11" spans="1:16" ht="53.25" customHeight="1" x14ac:dyDescent="0.2">
      <c r="A11" s="61"/>
      <c r="B11" s="62"/>
      <c r="C11" s="62"/>
      <c r="D11" s="76">
        <f>POAI!E14</f>
        <v>4502</v>
      </c>
      <c r="E11" s="162" t="str">
        <f>POAI!F14</f>
        <v>Fortalecimiento del buen gobierno para el respeto y garantía de los derechos humanos. "Quindío integrado y participativo"</v>
      </c>
      <c r="F11" s="78">
        <f>POAI!AA14</f>
        <v>40000000</v>
      </c>
      <c r="G11" s="78"/>
      <c r="H11" s="78"/>
      <c r="I11" s="78"/>
    </row>
    <row r="12" spans="1:16" ht="15.75" x14ac:dyDescent="0.2">
      <c r="A12" s="61"/>
      <c r="B12" s="62"/>
      <c r="C12" s="62"/>
      <c r="D12" s="62"/>
      <c r="E12" s="64"/>
      <c r="F12" s="64"/>
      <c r="G12" s="151"/>
      <c r="H12" s="64"/>
      <c r="I12" s="64"/>
    </row>
    <row r="13" spans="1:16" s="9" customFormat="1" ht="30.75" customHeight="1" x14ac:dyDescent="0.25">
      <c r="A13" s="56" t="s">
        <v>65</v>
      </c>
      <c r="B13" s="57"/>
      <c r="C13" s="57"/>
      <c r="D13" s="57"/>
      <c r="E13" s="58"/>
      <c r="F13" s="58"/>
      <c r="G13" s="58"/>
      <c r="H13" s="58"/>
      <c r="I13" s="58">
        <f>H14</f>
        <v>983000000</v>
      </c>
      <c r="J13" s="8"/>
      <c r="K13" s="8"/>
      <c r="L13" s="8"/>
      <c r="M13" s="8"/>
      <c r="N13" s="8"/>
      <c r="O13" s="8"/>
      <c r="P13" s="8"/>
    </row>
    <row r="14" spans="1:16" ht="25.5" customHeight="1" x14ac:dyDescent="0.2">
      <c r="A14" s="61"/>
      <c r="B14" s="60">
        <f>POAI!B18</f>
        <v>4</v>
      </c>
      <c r="C14" s="74" t="str">
        <f>POAI!C18</f>
        <v xml:space="preserve">LIDERAZGO, GOBERNABILIDAD Y TRANSPARENCIA </v>
      </c>
      <c r="D14" s="74"/>
      <c r="E14" s="74"/>
      <c r="F14" s="74"/>
      <c r="G14" s="74"/>
      <c r="H14" s="79">
        <f>G15</f>
        <v>983000000</v>
      </c>
      <c r="I14" s="74"/>
    </row>
    <row r="15" spans="1:16" ht="25.5" customHeight="1" x14ac:dyDescent="0.2">
      <c r="A15" s="61"/>
      <c r="B15" s="81"/>
      <c r="C15" s="157">
        <f>POAI!C19</f>
        <v>45</v>
      </c>
      <c r="D15" s="153" t="str">
        <f>POAI!D19</f>
        <v>Gobierno territorial</v>
      </c>
      <c r="E15" s="160"/>
      <c r="F15" s="160"/>
      <c r="G15" s="163">
        <f>SUM(F16:F17)</f>
        <v>983000000</v>
      </c>
      <c r="H15" s="161"/>
      <c r="I15" s="160"/>
    </row>
    <row r="16" spans="1:16" s="82" customFormat="1" ht="56.25" customHeight="1" x14ac:dyDescent="0.2">
      <c r="A16" s="80"/>
      <c r="B16" s="81"/>
      <c r="C16" s="81"/>
      <c r="D16" s="76">
        <f>POAI!E20</f>
        <v>4502</v>
      </c>
      <c r="E16" s="162" t="str">
        <f>POAI!F20</f>
        <v>Fortalecimiento del buen gobierno para el respeto y garantía de los derechos humanos. "Quindío integrado y participativo"</v>
      </c>
      <c r="F16" s="77">
        <f>POAI!AA20</f>
        <v>175000000</v>
      </c>
      <c r="G16" s="77"/>
      <c r="H16" s="77"/>
      <c r="I16" s="77"/>
      <c r="J16" s="97"/>
    </row>
    <row r="17" spans="1:16" s="82" customFormat="1" ht="56.25" customHeight="1" x14ac:dyDescent="0.2">
      <c r="A17" s="80"/>
      <c r="B17" s="81"/>
      <c r="C17" s="81"/>
      <c r="D17" s="76">
        <f>POAI!E23</f>
        <v>4599</v>
      </c>
      <c r="E17" s="162" t="str">
        <f>POAI!F23</f>
        <v>Fortalecimiento a la gestión y dirección de la administración pública territorial "Quindío con una administración al servicio de la ciudadanía "</v>
      </c>
      <c r="F17" s="77">
        <f>POAI!AA23</f>
        <v>808000000</v>
      </c>
      <c r="G17" s="77"/>
      <c r="H17" s="77"/>
      <c r="I17" s="77"/>
      <c r="J17" s="97"/>
    </row>
    <row r="18" spans="1:16" ht="18" customHeight="1" x14ac:dyDescent="0.2">
      <c r="A18" s="86"/>
      <c r="B18" s="87"/>
      <c r="C18" s="87"/>
      <c r="D18" s="87"/>
      <c r="E18" s="88"/>
      <c r="F18" s="88"/>
      <c r="G18" s="88"/>
      <c r="H18" s="88"/>
      <c r="I18" s="88"/>
    </row>
    <row r="19" spans="1:16" ht="31.5" customHeight="1" x14ac:dyDescent="0.2">
      <c r="A19" s="83" t="s">
        <v>109</v>
      </c>
      <c r="B19" s="84"/>
      <c r="C19" s="84"/>
      <c r="D19" s="84"/>
      <c r="E19" s="85"/>
      <c r="F19" s="85"/>
      <c r="G19" s="85"/>
      <c r="H19" s="85"/>
      <c r="I19" s="85">
        <f>F22</f>
        <v>2090000000</v>
      </c>
    </row>
    <row r="20" spans="1:16" ht="24" customHeight="1" x14ac:dyDescent="0.2">
      <c r="A20" s="61"/>
      <c r="B20" s="60">
        <f>POAI!B36</f>
        <v>4</v>
      </c>
      <c r="C20" s="74" t="str">
        <f>POAI!C36</f>
        <v xml:space="preserve">LIDERAZGO, GOBERNABILIDAD Y TRANSPARENCIA </v>
      </c>
      <c r="D20" s="74"/>
      <c r="E20" s="74"/>
      <c r="F20" s="74"/>
      <c r="G20" s="74"/>
      <c r="H20" s="75">
        <f>G21</f>
        <v>2090000000</v>
      </c>
      <c r="I20" s="74"/>
    </row>
    <row r="21" spans="1:16" ht="25.5" customHeight="1" x14ac:dyDescent="0.2">
      <c r="A21" s="61"/>
      <c r="B21" s="81"/>
      <c r="C21" s="157">
        <f>POAI!C37</f>
        <v>45</v>
      </c>
      <c r="D21" s="153" t="str">
        <f>POAI!D37</f>
        <v>Gobierno territorial</v>
      </c>
      <c r="E21" s="160"/>
      <c r="F21" s="160"/>
      <c r="G21" s="163">
        <f>SUM(F22)</f>
        <v>2090000000</v>
      </c>
      <c r="H21" s="161"/>
      <c r="I21" s="160"/>
    </row>
    <row r="22" spans="1:16" ht="70.5" customHeight="1" x14ac:dyDescent="0.2">
      <c r="A22" s="61"/>
      <c r="B22" s="62"/>
      <c r="C22" s="62"/>
      <c r="D22" s="76">
        <f>POAI!E38</f>
        <v>4599</v>
      </c>
      <c r="E22" s="162" t="str">
        <f>POAI!F38</f>
        <v>Fortalecimiento a la gestión y dirección de la administración pública territorial "Quindío con una administración al servicio de la ciudadanía "</v>
      </c>
      <c r="F22" s="77">
        <f>POAI!AD38</f>
        <v>2090000000</v>
      </c>
      <c r="G22" s="77"/>
      <c r="H22" s="77"/>
      <c r="I22" s="77"/>
    </row>
    <row r="23" spans="1:16" s="11" customFormat="1" x14ac:dyDescent="0.2">
      <c r="A23" s="86"/>
      <c r="B23" s="87"/>
      <c r="C23" s="87"/>
      <c r="D23" s="87"/>
      <c r="E23" s="88"/>
      <c r="F23" s="88"/>
      <c r="G23" s="88"/>
      <c r="H23" s="88"/>
      <c r="I23" s="88"/>
      <c r="J23" s="98"/>
      <c r="K23" s="18"/>
      <c r="L23" s="18"/>
      <c r="M23" s="18"/>
      <c r="N23" s="18"/>
      <c r="O23" s="18"/>
      <c r="P23" s="18"/>
    </row>
    <row r="24" spans="1:16" ht="30" customHeight="1" x14ac:dyDescent="0.2">
      <c r="A24" s="56" t="s">
        <v>119</v>
      </c>
      <c r="B24" s="57"/>
      <c r="C24" s="57"/>
      <c r="D24" s="57"/>
      <c r="E24" s="58"/>
      <c r="F24" s="58"/>
      <c r="G24" s="58"/>
      <c r="H24" s="58"/>
      <c r="I24" s="58">
        <f>SUM(H25:H44)</f>
        <v>8002091816</v>
      </c>
    </row>
    <row r="25" spans="1:16" ht="25.5" customHeight="1" x14ac:dyDescent="0.2">
      <c r="A25" s="61"/>
      <c r="B25" s="60">
        <f>POAI!B43</f>
        <v>1</v>
      </c>
      <c r="C25" s="74" t="str">
        <f>POAI!C43</f>
        <v xml:space="preserve">INCLUSIÓN SOCIAL Y EQUIDAD </v>
      </c>
      <c r="D25" s="74"/>
      <c r="E25" s="74"/>
      <c r="F25" s="74"/>
      <c r="G25" s="74"/>
      <c r="H25" s="75">
        <f>SUM(G26:G34)</f>
        <v>4011080595</v>
      </c>
      <c r="I25" s="74"/>
    </row>
    <row r="26" spans="1:16" ht="25.5" customHeight="1" x14ac:dyDescent="0.2">
      <c r="A26" s="61"/>
      <c r="B26" s="81"/>
      <c r="C26" s="157">
        <f>POAI!C44</f>
        <v>12</v>
      </c>
      <c r="D26" s="153" t="str">
        <f>POAI!D44</f>
        <v>Justicia y del derecho</v>
      </c>
      <c r="E26" s="160"/>
      <c r="F26" s="160"/>
      <c r="G26" s="163">
        <f>F27</f>
        <v>23750000</v>
      </c>
      <c r="H26" s="161"/>
      <c r="I26" s="160"/>
    </row>
    <row r="27" spans="1:16" ht="61.5" customHeight="1" x14ac:dyDescent="0.2">
      <c r="A27" s="61"/>
      <c r="B27" s="62"/>
      <c r="C27" s="62"/>
      <c r="D27" s="81">
        <f>POAI!E45</f>
        <v>1202</v>
      </c>
      <c r="E27" s="162" t="str">
        <f>POAI!F45</f>
        <v>Promoción al acceso a la justicia. "Tú y yo con justicia"</v>
      </c>
      <c r="F27" s="77">
        <f>POAI!AD45</f>
        <v>23750000</v>
      </c>
      <c r="G27" s="77"/>
      <c r="H27" s="77"/>
      <c r="I27" s="77"/>
    </row>
    <row r="28" spans="1:16" ht="34.5" customHeight="1" x14ac:dyDescent="0.2">
      <c r="A28" s="61"/>
      <c r="B28" s="81"/>
      <c r="C28" s="157">
        <f>POAI!C47</f>
        <v>19</v>
      </c>
      <c r="D28" s="153" t="str">
        <f>POAI!D47</f>
        <v>Salud y protección social</v>
      </c>
      <c r="E28" s="160"/>
      <c r="F28" s="160"/>
      <c r="G28" s="163">
        <f>F29</f>
        <v>38000000</v>
      </c>
      <c r="H28" s="161"/>
      <c r="I28" s="160"/>
    </row>
    <row r="29" spans="1:16" ht="55.5" customHeight="1" x14ac:dyDescent="0.2">
      <c r="A29" s="61"/>
      <c r="B29" s="62"/>
      <c r="C29" s="62"/>
      <c r="D29" s="81">
        <f>POAI!E48</f>
        <v>1906</v>
      </c>
      <c r="E29" s="162" t="str">
        <f>POAI!F48</f>
        <v>Aseguramiento y Prestación integral de servicios de salud "Tú y yo con servicios de salud"</v>
      </c>
      <c r="F29" s="77">
        <f>POAI!AD48</f>
        <v>38000000</v>
      </c>
      <c r="G29" s="77"/>
      <c r="H29" s="77"/>
      <c r="I29" s="77"/>
    </row>
    <row r="30" spans="1:16" ht="36.75" customHeight="1" x14ac:dyDescent="0.2">
      <c r="A30" s="61"/>
      <c r="B30" s="81"/>
      <c r="C30" s="157">
        <f>POAI!C50</f>
        <v>22</v>
      </c>
      <c r="D30" s="166" t="str">
        <f>POAI!D50</f>
        <v>Educación</v>
      </c>
      <c r="E30" s="165"/>
      <c r="F30" s="160"/>
      <c r="G30" s="163">
        <f>F31</f>
        <v>2083257220</v>
      </c>
      <c r="H30" s="161"/>
      <c r="I30" s="160"/>
    </row>
    <row r="31" spans="1:16" ht="80.25" customHeight="1" x14ac:dyDescent="0.2">
      <c r="A31" s="61"/>
      <c r="B31" s="62"/>
      <c r="C31" s="62"/>
      <c r="D31" s="81">
        <f>POAI!E51</f>
        <v>2201</v>
      </c>
      <c r="E31" s="162" t="str">
        <f>POAI!F51</f>
        <v>Calidad, cobertura y fortalecimiento de la educación inicial, prescolar, básica y media." Tú y yo con educación y  calidad"</v>
      </c>
      <c r="F31" s="77">
        <f>POAI!AD51</f>
        <v>2083257220</v>
      </c>
      <c r="G31" s="77"/>
      <c r="H31" s="77"/>
      <c r="I31" s="77"/>
    </row>
    <row r="32" spans="1:16" ht="24.75" customHeight="1" x14ac:dyDescent="0.2">
      <c r="A32" s="61"/>
      <c r="B32" s="81"/>
      <c r="C32" s="157">
        <f>POAI!C53</f>
        <v>33</v>
      </c>
      <c r="D32" s="166" t="str">
        <f>POAI!D53</f>
        <v>Cultura</v>
      </c>
      <c r="E32" s="165"/>
      <c r="F32" s="160"/>
      <c r="G32" s="163">
        <f>F33</f>
        <v>30000000</v>
      </c>
      <c r="H32" s="161"/>
      <c r="I32" s="160"/>
    </row>
    <row r="33" spans="1:16" ht="63" customHeight="1" x14ac:dyDescent="0.2">
      <c r="A33" s="61"/>
      <c r="B33" s="62"/>
      <c r="C33" s="62"/>
      <c r="D33" s="81">
        <f>POAI!E54</f>
        <v>3301</v>
      </c>
      <c r="E33" s="162" t="str">
        <f>POAI!F54</f>
        <v>Promoción y acceso efectivo a procesos culturales y artísticos. "Tú y yo somos cultura Quindiana"</v>
      </c>
      <c r="F33" s="77">
        <f>POAI!AD54</f>
        <v>30000000</v>
      </c>
      <c r="G33" s="77"/>
      <c r="H33" s="77"/>
      <c r="I33" s="77"/>
      <c r="K33" s="42"/>
    </row>
    <row r="34" spans="1:16" ht="30.75" customHeight="1" x14ac:dyDescent="0.2">
      <c r="A34" s="61"/>
      <c r="B34" s="81"/>
      <c r="C34" s="157">
        <f>POAI!C56</f>
        <v>43</v>
      </c>
      <c r="D34" s="156" t="str">
        <f>POAI!D56</f>
        <v>Deporte y recreación</v>
      </c>
      <c r="E34" s="153"/>
      <c r="F34" s="160"/>
      <c r="G34" s="163">
        <f>F35</f>
        <v>1836073375</v>
      </c>
      <c r="H34" s="161"/>
      <c r="I34" s="160"/>
    </row>
    <row r="35" spans="1:16" ht="65.25" customHeight="1" x14ac:dyDescent="0.2">
      <c r="A35" s="61"/>
      <c r="B35" s="62"/>
      <c r="C35" s="62"/>
      <c r="D35" s="81">
        <f>POAI!E57</f>
        <v>4301</v>
      </c>
      <c r="E35" s="604" t="str">
        <f>POAI!F57</f>
        <v>Fomento a la recreación, la actividad física y el deporte para desarrollar entornos de convivencia y paz "Tú y yo en la recreación y en deporte"</v>
      </c>
      <c r="F35" s="77">
        <f>POAI!AD57</f>
        <v>1836073375</v>
      </c>
      <c r="G35" s="77"/>
      <c r="H35" s="77"/>
      <c r="I35" s="77"/>
      <c r="J35" s="22"/>
      <c r="K35" s="1"/>
      <c r="L35" s="1"/>
      <c r="M35" s="1"/>
      <c r="N35" s="1"/>
      <c r="O35" s="1"/>
      <c r="P35" s="1"/>
    </row>
    <row r="36" spans="1:16" ht="30" customHeight="1" x14ac:dyDescent="0.2">
      <c r="A36" s="61"/>
      <c r="B36" s="60">
        <f>POAI!B59</f>
        <v>3</v>
      </c>
      <c r="C36" s="74" t="str">
        <f>POAI!C59</f>
        <v xml:space="preserve">TERRITORIO, AMBIENTE Y DESARROLLO SOSTENIBLE </v>
      </c>
      <c r="D36" s="74"/>
      <c r="E36" s="74"/>
      <c r="F36" s="74"/>
      <c r="G36" s="74"/>
      <c r="H36" s="75">
        <f>SUM(G37:G41)</f>
        <v>3913011221</v>
      </c>
      <c r="I36" s="74"/>
      <c r="J36" s="22"/>
      <c r="K36" s="1"/>
      <c r="L36" s="1"/>
      <c r="M36" s="1"/>
      <c r="N36" s="1"/>
      <c r="O36" s="1"/>
      <c r="P36" s="1"/>
    </row>
    <row r="37" spans="1:16" ht="30.75" customHeight="1" x14ac:dyDescent="0.2">
      <c r="A37" s="61"/>
      <c r="B37" s="81"/>
      <c r="C37" s="170">
        <f>POAI!C60</f>
        <v>24</v>
      </c>
      <c r="D37" s="182" t="str">
        <f>POAI!D60</f>
        <v>Transporte</v>
      </c>
      <c r="E37" s="165"/>
      <c r="F37" s="160"/>
      <c r="G37" s="163">
        <f>F38</f>
        <v>390000000</v>
      </c>
      <c r="H37" s="161"/>
      <c r="I37" s="160"/>
    </row>
    <row r="38" spans="1:16" ht="59.25" customHeight="1" x14ac:dyDescent="0.2">
      <c r="A38" s="61"/>
      <c r="B38" s="62"/>
      <c r="C38" s="62"/>
      <c r="D38" s="81">
        <f>POAI!E61</f>
        <v>2402</v>
      </c>
      <c r="E38" s="162" t="str">
        <f>POAI!F61</f>
        <v>Infraestructura red vial regional. "Tú y yo con movilidad vial"</v>
      </c>
      <c r="F38" s="77">
        <f>POAI!AD61</f>
        <v>390000000</v>
      </c>
      <c r="G38" s="77"/>
      <c r="H38" s="77"/>
      <c r="I38" s="77"/>
      <c r="J38" s="22"/>
      <c r="K38" s="1"/>
      <c r="L38" s="1"/>
      <c r="M38" s="1"/>
      <c r="N38" s="1"/>
      <c r="O38" s="1"/>
      <c r="P38" s="1"/>
    </row>
    <row r="39" spans="1:16" ht="25.5" customHeight="1" x14ac:dyDescent="0.2">
      <c r="A39" s="61"/>
      <c r="B39" s="81"/>
      <c r="C39" s="157">
        <f>POAI!C65</f>
        <v>32</v>
      </c>
      <c r="D39" s="153" t="str">
        <f>POAI!D65</f>
        <v>Ambiente y desarrollo sostenible</v>
      </c>
      <c r="E39" s="153"/>
      <c r="F39" s="160"/>
      <c r="G39" s="163">
        <f>F40</f>
        <v>200000000</v>
      </c>
      <c r="H39" s="161"/>
      <c r="I39" s="160"/>
    </row>
    <row r="40" spans="1:16" ht="54.75" customHeight="1" x14ac:dyDescent="0.2">
      <c r="A40" s="61"/>
      <c r="B40" s="62"/>
      <c r="C40" s="62"/>
      <c r="D40" s="81">
        <f>POAI!E66</f>
        <v>3205</v>
      </c>
      <c r="E40" s="162" t="str">
        <f>POAI!F66</f>
        <v>Ordenamiento Ambiental Territorial. "Tú y yo planificamos con sentido ambiental"</v>
      </c>
      <c r="F40" s="77">
        <f>POAI!AD66</f>
        <v>200000000</v>
      </c>
      <c r="G40" s="77"/>
      <c r="H40" s="77"/>
      <c r="I40" s="77"/>
      <c r="J40" s="22"/>
      <c r="K40" s="1"/>
      <c r="L40" s="1"/>
      <c r="M40" s="1"/>
      <c r="N40" s="1"/>
      <c r="O40" s="1"/>
      <c r="P40" s="1"/>
    </row>
    <row r="41" spans="1:16" ht="25.5" customHeight="1" x14ac:dyDescent="0.2">
      <c r="A41" s="61"/>
      <c r="B41" s="81"/>
      <c r="C41" s="157">
        <f>POAI!C69</f>
        <v>40</v>
      </c>
      <c r="D41" s="153" t="str">
        <f>POAI!D69</f>
        <v>Vivienda, Ciudad y Territorio</v>
      </c>
      <c r="E41" s="165"/>
      <c r="F41" s="160"/>
      <c r="G41" s="163">
        <f>SUM(F42:F43)</f>
        <v>3323011221</v>
      </c>
      <c r="H41" s="161"/>
      <c r="I41" s="160"/>
    </row>
    <row r="42" spans="1:16" ht="48.75" customHeight="1" x14ac:dyDescent="0.2">
      <c r="A42" s="61"/>
      <c r="B42" s="62"/>
      <c r="C42" s="62"/>
      <c r="D42" s="81">
        <f>POAI!E70</f>
        <v>4001</v>
      </c>
      <c r="E42" s="162" t="str">
        <f>POAI!F70</f>
        <v>Acceso a soluciones de vivienda. "Tú y yo con vivienda digna"</v>
      </c>
      <c r="F42" s="77">
        <f>POAI!AD70</f>
        <v>120000000</v>
      </c>
      <c r="G42" s="77"/>
      <c r="H42" s="77"/>
      <c r="I42" s="77"/>
      <c r="J42" s="22"/>
      <c r="K42" s="1"/>
      <c r="L42" s="1"/>
      <c r="M42" s="1"/>
      <c r="N42" s="1"/>
      <c r="O42" s="1"/>
      <c r="P42" s="1"/>
    </row>
    <row r="43" spans="1:16" ht="59.25" customHeight="1" x14ac:dyDescent="0.2">
      <c r="A43" s="61"/>
      <c r="B43" s="62"/>
      <c r="C43" s="62"/>
      <c r="D43" s="81">
        <f>POAI!E72</f>
        <v>4003</v>
      </c>
      <c r="E43" s="162" t="str">
        <f>POAI!F72</f>
        <v>Acceso de la población a los servicios de agua potable y saneamiento básico. "Tú y yo con calidad del agua"</v>
      </c>
      <c r="F43" s="77">
        <f>POAI!AD72</f>
        <v>3203011221</v>
      </c>
      <c r="G43" s="77"/>
      <c r="H43" s="77"/>
      <c r="I43" s="77"/>
      <c r="J43" s="22"/>
      <c r="K43" s="1"/>
      <c r="L43" s="1"/>
      <c r="M43" s="1"/>
      <c r="N43" s="1"/>
      <c r="O43" s="1"/>
      <c r="P43" s="1"/>
    </row>
    <row r="44" spans="1:16" ht="25.5" customHeight="1" x14ac:dyDescent="0.2">
      <c r="A44" s="61"/>
      <c r="B44" s="60">
        <f>POAI!B79</f>
        <v>4</v>
      </c>
      <c r="C44" s="74" t="str">
        <f>POAI!C79</f>
        <v xml:space="preserve">LIDERAZGO, GOBERNABILIDAD Y TRANSPARENCIA </v>
      </c>
      <c r="D44" s="74"/>
      <c r="E44" s="74"/>
      <c r="F44" s="74"/>
      <c r="G44" s="74"/>
      <c r="H44" s="75">
        <f>G45</f>
        <v>78000000</v>
      </c>
      <c r="I44" s="74"/>
      <c r="J44" s="22"/>
      <c r="K44" s="1"/>
      <c r="L44" s="1"/>
      <c r="M44" s="1"/>
      <c r="N44" s="1"/>
      <c r="O44" s="1"/>
      <c r="P44" s="1"/>
    </row>
    <row r="45" spans="1:16" ht="25.5" customHeight="1" x14ac:dyDescent="0.2">
      <c r="A45" s="61"/>
      <c r="B45" s="81"/>
      <c r="C45" s="157">
        <f>POAI!C80</f>
        <v>45</v>
      </c>
      <c r="D45" s="153" t="str">
        <f>POAI!D80</f>
        <v>Gobierno territorial</v>
      </c>
      <c r="E45" s="160"/>
      <c r="F45" s="160"/>
      <c r="G45" s="163">
        <f>SUM(F46:F47)</f>
        <v>78000000</v>
      </c>
      <c r="H45" s="161"/>
      <c r="I45" s="160"/>
    </row>
    <row r="46" spans="1:16" ht="66" customHeight="1" x14ac:dyDescent="0.2">
      <c r="A46" s="61"/>
      <c r="B46" s="62"/>
      <c r="C46" s="62"/>
      <c r="D46" s="81">
        <f>POAI!E81</f>
        <v>4599</v>
      </c>
      <c r="E46" s="162" t="str">
        <f>POAI!F81</f>
        <v>Fortalecimiento a la gestión y dirección de la administración pública territorial "Quindío con una administración al servicio de la ciudadanía "</v>
      </c>
      <c r="F46" s="77">
        <f>POAI!AD81</f>
        <v>40000000</v>
      </c>
      <c r="G46" s="77"/>
      <c r="H46" s="77"/>
      <c r="I46" s="77"/>
      <c r="J46" s="22"/>
      <c r="K46" s="1"/>
      <c r="L46" s="1"/>
      <c r="M46" s="1"/>
      <c r="N46" s="1"/>
      <c r="O46" s="1"/>
      <c r="P46" s="1"/>
    </row>
    <row r="47" spans="1:16" ht="53.25" customHeight="1" x14ac:dyDescent="0.2">
      <c r="A47" s="61"/>
      <c r="B47" s="62"/>
      <c r="C47" s="62"/>
      <c r="D47" s="81">
        <f>POAI!E83</f>
        <v>4502</v>
      </c>
      <c r="E47" s="162" t="str">
        <f>POAI!F83</f>
        <v>Fortalecimiento del buen gobierno para el respeto y garantía de los derechos humanos. "Quindío integrado y participativo"</v>
      </c>
      <c r="F47" s="77">
        <f>POAI!AD83</f>
        <v>38000000</v>
      </c>
      <c r="G47" s="77"/>
      <c r="H47" s="77"/>
      <c r="I47" s="77"/>
    </row>
    <row r="48" spans="1:16" s="11" customFormat="1" x14ac:dyDescent="0.2">
      <c r="A48" s="86"/>
      <c r="B48" s="87"/>
      <c r="C48" s="87"/>
      <c r="D48" s="87"/>
      <c r="E48" s="88"/>
      <c r="F48" s="88"/>
      <c r="G48" s="88"/>
      <c r="H48" s="88"/>
      <c r="I48" s="88"/>
      <c r="J48" s="98"/>
      <c r="K48" s="18"/>
      <c r="L48" s="18"/>
      <c r="M48" s="18"/>
      <c r="N48" s="18"/>
      <c r="O48" s="18"/>
      <c r="P48" s="18"/>
    </row>
    <row r="49" spans="1:16" ht="29.25" customHeight="1" x14ac:dyDescent="0.2">
      <c r="A49" s="56" t="s">
        <v>212</v>
      </c>
      <c r="B49" s="57"/>
      <c r="C49" s="57"/>
      <c r="D49" s="57"/>
      <c r="E49" s="58"/>
      <c r="F49" s="58"/>
      <c r="G49" s="58"/>
      <c r="H49" s="58"/>
      <c r="I49" s="58">
        <f>SUM(H50:H67)</f>
        <v>2706182726</v>
      </c>
    </row>
    <row r="50" spans="1:16" ht="21" customHeight="1" x14ac:dyDescent="0.2">
      <c r="A50" s="61"/>
      <c r="B50" s="60">
        <f>POAI!B87</f>
        <v>1</v>
      </c>
      <c r="C50" s="74" t="str">
        <f>POAI!C87</f>
        <v xml:space="preserve">INCLUSIÓN SOCIAL Y EQUIDAD </v>
      </c>
      <c r="D50" s="74"/>
      <c r="E50" s="74"/>
      <c r="F50" s="74"/>
      <c r="G50" s="74"/>
      <c r="H50" s="75">
        <f>SUM(G51:G60)</f>
        <v>2200182726</v>
      </c>
      <c r="I50" s="74"/>
    </row>
    <row r="51" spans="1:16" ht="25.5" customHeight="1" x14ac:dyDescent="0.2">
      <c r="A51" s="61"/>
      <c r="B51" s="81"/>
      <c r="C51" s="157">
        <f>POAI!C88</f>
        <v>12</v>
      </c>
      <c r="D51" s="153" t="str">
        <f>POAI!D88</f>
        <v>Justicia y del derecho</v>
      </c>
      <c r="E51" s="153"/>
      <c r="F51" s="160"/>
      <c r="G51" s="163">
        <f>SUM(F52:F54)</f>
        <v>186000000</v>
      </c>
      <c r="H51" s="161"/>
      <c r="I51" s="160"/>
    </row>
    <row r="52" spans="1:16" ht="34.5" customHeight="1" x14ac:dyDescent="0.2">
      <c r="A52" s="61"/>
      <c r="B52" s="62"/>
      <c r="C52" s="62"/>
      <c r="D52" s="81">
        <f>POAI!E89</f>
        <v>1202</v>
      </c>
      <c r="E52" s="162" t="str">
        <f>POAI!F89</f>
        <v>Promoción al acceso a la justicia. "Tú y yo con justicia"</v>
      </c>
      <c r="F52" s="77">
        <f>POAI!AD89</f>
        <v>114000000</v>
      </c>
      <c r="G52" s="77"/>
      <c r="H52" s="77"/>
      <c r="I52" s="77"/>
    </row>
    <row r="53" spans="1:16" ht="36.75" customHeight="1" x14ac:dyDescent="0.2">
      <c r="A53" s="61"/>
      <c r="B53" s="62"/>
      <c r="C53" s="62"/>
      <c r="D53" s="81">
        <f>POAI!E91</f>
        <v>1203</v>
      </c>
      <c r="E53" s="162" t="str">
        <f>POAI!F91</f>
        <v>Promoción de los métodos de resolución de conflictos. "Tú y yo resolvemos los conflictos"</v>
      </c>
      <c r="F53" s="77">
        <f>POAI!AD91</f>
        <v>36000000</v>
      </c>
      <c r="G53" s="77"/>
      <c r="H53" s="77"/>
      <c r="I53" s="77"/>
    </row>
    <row r="54" spans="1:16" ht="60" customHeight="1" x14ac:dyDescent="0.2">
      <c r="A54" s="61"/>
      <c r="B54" s="62"/>
      <c r="C54" s="62"/>
      <c r="D54" s="81">
        <f>POAI!E93</f>
        <v>1206</v>
      </c>
      <c r="E54" s="162" t="str">
        <f>POAI!F93</f>
        <v>Sistema penitenciario y carcelario en el marco de los derechos humanos. "Quindío respeta derechos penitenciarios"</v>
      </c>
      <c r="F54" s="77">
        <f>POAI!AD93</f>
        <v>36000000</v>
      </c>
      <c r="G54" s="77"/>
      <c r="H54" s="77"/>
      <c r="I54" s="77"/>
    </row>
    <row r="55" spans="1:16" ht="25.5" customHeight="1" x14ac:dyDescent="0.2">
      <c r="A55" s="61"/>
      <c r="B55" s="81"/>
      <c r="C55" s="157">
        <f>POAI!C95</f>
        <v>22</v>
      </c>
      <c r="D55" s="166" t="str">
        <f>POAI!D95</f>
        <v>Educación</v>
      </c>
      <c r="E55" s="165"/>
      <c r="F55" s="160"/>
      <c r="G55" s="163">
        <f>F56</f>
        <v>30000000</v>
      </c>
      <c r="H55" s="161"/>
      <c r="I55" s="160"/>
    </row>
    <row r="56" spans="1:16" ht="62.25" customHeight="1" x14ac:dyDescent="0.2">
      <c r="A56" s="61"/>
      <c r="B56" s="62"/>
      <c r="C56" s="62"/>
      <c r="D56" s="81">
        <f>POAI!E96</f>
        <v>2201</v>
      </c>
      <c r="E56" s="162" t="str">
        <f>POAI!F96</f>
        <v>Calidad, cobertura y fortalecimiento de la educación inicial, prescolar, básica y media." Tú y yo con educación y de calidad"</v>
      </c>
      <c r="F56" s="77">
        <f>POAI!AD96</f>
        <v>30000000</v>
      </c>
      <c r="G56" s="77"/>
      <c r="H56" s="77"/>
      <c r="I56" s="77"/>
    </row>
    <row r="57" spans="1:16" ht="25.5" customHeight="1" x14ac:dyDescent="0.2">
      <c r="A57" s="61"/>
      <c r="B57" s="81"/>
      <c r="C57" s="157">
        <f>POAI!C98</f>
        <v>41</v>
      </c>
      <c r="D57" s="153" t="str">
        <f>POAI!D98</f>
        <v xml:space="preserve">Inclusión social y Reconciliación </v>
      </c>
      <c r="E57" s="160"/>
      <c r="F57" s="160"/>
      <c r="G57" s="163">
        <f>SUM(F58:F59)</f>
        <v>224000000</v>
      </c>
      <c r="H57" s="161"/>
      <c r="I57" s="160"/>
    </row>
    <row r="58" spans="1:16" ht="44.25" customHeight="1" x14ac:dyDescent="0.2">
      <c r="A58" s="61"/>
      <c r="B58" s="62"/>
      <c r="C58" s="62"/>
      <c r="D58" s="81">
        <f>POAI!E99</f>
        <v>4101</v>
      </c>
      <c r="E58" s="162" t="str">
        <f>POAI!F99</f>
        <v>Atención, asistencia y reparación integral a las víctimas. "Tú y yo con reparación integral"</v>
      </c>
      <c r="F58" s="77">
        <f>POAI!AD99</f>
        <v>206000000</v>
      </c>
      <c r="G58" s="77"/>
      <c r="H58" s="77"/>
      <c r="I58" s="77"/>
    </row>
    <row r="59" spans="1:16" ht="57" customHeight="1" x14ac:dyDescent="0.2">
      <c r="A59" s="61"/>
      <c r="B59" s="62"/>
      <c r="C59" s="62"/>
      <c r="D59" s="81">
        <f>POAI!E105</f>
        <v>4103</v>
      </c>
      <c r="E59" s="162" t="str">
        <f>POAI!F105</f>
        <v>Inclusión social y productiva para la población en situación de vulnerabilidad. "Tú y yo, población vulnerable incluida"</v>
      </c>
      <c r="F59" s="77">
        <f>POAI!AD105</f>
        <v>18000000</v>
      </c>
      <c r="G59" s="77"/>
      <c r="H59" s="77"/>
      <c r="I59" s="77"/>
      <c r="J59" s="22"/>
      <c r="K59" s="1"/>
      <c r="L59" s="1"/>
      <c r="M59" s="1"/>
      <c r="N59" s="1"/>
      <c r="O59" s="1"/>
      <c r="P59" s="1"/>
    </row>
    <row r="60" spans="1:16" ht="25.5" customHeight="1" x14ac:dyDescent="0.2">
      <c r="A60" s="61"/>
      <c r="B60" s="81"/>
      <c r="C60" s="157">
        <f>POAI!C107</f>
        <v>45</v>
      </c>
      <c r="D60" s="153" t="str">
        <f>POAI!D107</f>
        <v>Gobierno territorial</v>
      </c>
      <c r="E60" s="160"/>
      <c r="F60" s="160"/>
      <c r="G60" s="163">
        <f>F61</f>
        <v>1760182726</v>
      </c>
      <c r="H60" s="161"/>
      <c r="I60" s="160"/>
    </row>
    <row r="61" spans="1:16" ht="53.25" customHeight="1" x14ac:dyDescent="0.2">
      <c r="A61" s="61"/>
      <c r="B61" s="62"/>
      <c r="C61" s="62"/>
      <c r="D61" s="81">
        <f>POAI!E108</f>
        <v>4501</v>
      </c>
      <c r="E61" s="162" t="str">
        <f>POAI!F108</f>
        <v>Fortalecimiento de la convivencia y la seguridad ciudadana. "Tú y yo seguros"</v>
      </c>
      <c r="F61" s="77">
        <f>POAI!AD108</f>
        <v>1760182726</v>
      </c>
      <c r="G61" s="77"/>
      <c r="H61" s="77"/>
      <c r="I61" s="77"/>
      <c r="J61" s="22"/>
      <c r="K61" s="1"/>
      <c r="L61" s="1"/>
      <c r="M61" s="1"/>
      <c r="N61" s="1"/>
      <c r="O61" s="1"/>
      <c r="P61" s="1"/>
    </row>
    <row r="62" spans="1:16" ht="20.25" customHeight="1" x14ac:dyDescent="0.2">
      <c r="A62" s="61"/>
      <c r="B62" s="60">
        <f>POAI!B111</f>
        <v>3</v>
      </c>
      <c r="C62" s="74" t="str">
        <f>POAI!C111</f>
        <v xml:space="preserve">TERRITORIO, AMBIENTE Y DESARROLLO SOSTENIBLE </v>
      </c>
      <c r="D62" s="74"/>
      <c r="E62" s="74"/>
      <c r="F62" s="74"/>
      <c r="G62" s="74"/>
      <c r="H62" s="75">
        <f>SUM(G63:G65)</f>
        <v>193000000</v>
      </c>
      <c r="I62" s="74"/>
      <c r="J62" s="22"/>
      <c r="K62" s="1"/>
      <c r="L62" s="1"/>
      <c r="M62" s="1"/>
      <c r="N62" s="1"/>
      <c r="O62" s="1"/>
      <c r="P62" s="1"/>
    </row>
    <row r="63" spans="1:16" ht="25.5" customHeight="1" x14ac:dyDescent="0.2">
      <c r="A63" s="61"/>
      <c r="B63" s="81"/>
      <c r="C63" s="157">
        <f>POAI!C112</f>
        <v>32</v>
      </c>
      <c r="D63" s="153" t="str">
        <f>POAI!D112</f>
        <v>Ambiente y desarrollo sostenible</v>
      </c>
      <c r="E63" s="153"/>
      <c r="F63" s="160"/>
      <c r="G63" s="163">
        <f>F64</f>
        <v>45000000</v>
      </c>
      <c r="H63" s="161"/>
      <c r="I63" s="160"/>
    </row>
    <row r="64" spans="1:16" s="82" customFormat="1" ht="46.5" customHeight="1" x14ac:dyDescent="0.2">
      <c r="A64" s="80"/>
      <c r="B64" s="81"/>
      <c r="C64" s="81"/>
      <c r="D64" s="81">
        <f>POAI!E113</f>
        <v>3205</v>
      </c>
      <c r="E64" s="162" t="str">
        <f>POAI!F113</f>
        <v>Ordenamiento Ambiental Territorial. "Tú y yo planificamos con sentido ambiental"</v>
      </c>
      <c r="F64" s="77">
        <f>POAI!AD113</f>
        <v>45000000</v>
      </c>
      <c r="G64" s="77"/>
      <c r="H64" s="77"/>
      <c r="I64" s="77"/>
      <c r="J64" s="97"/>
    </row>
    <row r="65" spans="1:16" ht="25.5" customHeight="1" x14ac:dyDescent="0.2">
      <c r="A65" s="61"/>
      <c r="B65" s="81"/>
      <c r="C65" s="157">
        <f>POAI!C115</f>
        <v>45</v>
      </c>
      <c r="D65" s="153" t="str">
        <f>POAI!D115</f>
        <v>Gobierno territorial</v>
      </c>
      <c r="E65" s="160"/>
      <c r="F65" s="160"/>
      <c r="G65" s="163">
        <f>F66</f>
        <v>148000000</v>
      </c>
      <c r="H65" s="161"/>
      <c r="I65" s="160"/>
    </row>
    <row r="66" spans="1:16" s="82" customFormat="1" ht="44.25" customHeight="1" x14ac:dyDescent="0.2">
      <c r="A66" s="80"/>
      <c r="B66" s="81"/>
      <c r="C66" s="81"/>
      <c r="D66" s="81">
        <f>POAI!E116</f>
        <v>4503</v>
      </c>
      <c r="E66" s="162" t="str">
        <f>POAI!F116</f>
        <v>Gestión del riesgo de desastres y emergencias."Tú y yo preparados en gestión del riesgo"</v>
      </c>
      <c r="F66" s="77">
        <f>POAI!AD116</f>
        <v>148000000</v>
      </c>
      <c r="G66" s="77"/>
      <c r="H66" s="77"/>
      <c r="I66" s="77"/>
      <c r="J66" s="97"/>
    </row>
    <row r="67" spans="1:16" ht="22.5" customHeight="1" x14ac:dyDescent="0.2">
      <c r="A67" s="61"/>
      <c r="B67" s="60">
        <f>POAI!B120</f>
        <v>4</v>
      </c>
      <c r="C67" s="74" t="str">
        <f>POAI!C120</f>
        <v xml:space="preserve">LIDERAZGO, GOBERNABILIDAD Y TRANSPARENCIA </v>
      </c>
      <c r="D67" s="74"/>
      <c r="E67" s="173"/>
      <c r="F67" s="74"/>
      <c r="G67" s="74"/>
      <c r="H67" s="75">
        <f>G68</f>
        <v>313000000</v>
      </c>
      <c r="I67" s="74"/>
      <c r="J67" s="22"/>
      <c r="K67" s="1"/>
      <c r="L67" s="1"/>
      <c r="M67" s="1"/>
      <c r="N67" s="1"/>
      <c r="O67" s="1"/>
      <c r="P67" s="1"/>
    </row>
    <row r="68" spans="1:16" ht="25.5" customHeight="1" x14ac:dyDescent="0.2">
      <c r="A68" s="61"/>
      <c r="B68" s="81"/>
      <c r="C68" s="157">
        <f>POAI!C121</f>
        <v>45</v>
      </c>
      <c r="D68" s="153" t="str">
        <f>POAI!D121</f>
        <v>Gobierno territorial</v>
      </c>
      <c r="E68" s="174"/>
      <c r="F68" s="160"/>
      <c r="G68" s="163">
        <f>F69</f>
        <v>313000000</v>
      </c>
      <c r="H68" s="161"/>
      <c r="I68" s="160"/>
    </row>
    <row r="69" spans="1:16" s="82" customFormat="1" ht="54.75" customHeight="1" x14ac:dyDescent="0.2">
      <c r="A69" s="80"/>
      <c r="B69" s="90"/>
      <c r="C69" s="90"/>
      <c r="D69" s="81">
        <f>POAI!E122</f>
        <v>4502</v>
      </c>
      <c r="E69" s="162" t="str">
        <f>POAI!F122</f>
        <v>Fortalecimiento del buen gobierno para el respeto y garantía de los derechos humanos. "Quindío integrado y participativo"</v>
      </c>
      <c r="F69" s="78">
        <f>POAI!AD122</f>
        <v>313000000</v>
      </c>
      <c r="G69" s="78"/>
      <c r="H69" s="78"/>
      <c r="I69" s="78"/>
      <c r="J69" s="97"/>
    </row>
    <row r="70" spans="1:16" s="11" customFormat="1" x14ac:dyDescent="0.2">
      <c r="A70" s="86"/>
      <c r="B70" s="87"/>
      <c r="C70" s="87"/>
      <c r="D70" s="87"/>
      <c r="E70" s="88"/>
      <c r="F70" s="88"/>
      <c r="G70" s="88"/>
      <c r="H70" s="88"/>
      <c r="I70" s="88"/>
      <c r="J70" s="98"/>
      <c r="K70" s="18"/>
      <c r="L70" s="18"/>
      <c r="M70" s="18"/>
      <c r="N70" s="18"/>
      <c r="O70" s="18"/>
      <c r="P70" s="18"/>
    </row>
    <row r="71" spans="1:16" ht="32.25" customHeight="1" x14ac:dyDescent="0.2">
      <c r="A71" s="56" t="s">
        <v>292</v>
      </c>
      <c r="B71" s="57"/>
      <c r="C71" s="57"/>
      <c r="D71" s="57"/>
      <c r="E71" s="58"/>
      <c r="F71" s="58"/>
      <c r="G71" s="58"/>
      <c r="H71" s="58"/>
      <c r="I71" s="58">
        <f>H72</f>
        <v>2529898101</v>
      </c>
      <c r="J71" s="22"/>
      <c r="K71" s="1"/>
      <c r="L71" s="1"/>
      <c r="M71" s="1"/>
      <c r="N71" s="1"/>
      <c r="O71" s="1"/>
      <c r="P71" s="1"/>
    </row>
    <row r="72" spans="1:16" ht="20.25" customHeight="1" x14ac:dyDescent="0.2">
      <c r="A72" s="61"/>
      <c r="B72" s="60">
        <f>POAI!B130</f>
        <v>1</v>
      </c>
      <c r="C72" s="74" t="str">
        <f>POAI!C130</f>
        <v xml:space="preserve">INCLUSIÓN SOCIAL Y EQUIDAD </v>
      </c>
      <c r="D72" s="74"/>
      <c r="E72" s="74"/>
      <c r="F72" s="74"/>
      <c r="G72" s="74"/>
      <c r="H72" s="75">
        <f>G73</f>
        <v>2529898101</v>
      </c>
      <c r="I72" s="74"/>
      <c r="J72" s="22"/>
      <c r="K72" s="1"/>
      <c r="L72" s="1"/>
      <c r="M72" s="1"/>
      <c r="N72" s="1"/>
      <c r="O72" s="1"/>
      <c r="P72" s="1"/>
    </row>
    <row r="73" spans="1:16" ht="25.5" customHeight="1" x14ac:dyDescent="0.2">
      <c r="A73" s="61"/>
      <c r="B73" s="81"/>
      <c r="C73" s="157">
        <f>POAI!C131</f>
        <v>33</v>
      </c>
      <c r="D73" s="166" t="str">
        <f>POAI!D131</f>
        <v>Cultura</v>
      </c>
      <c r="E73" s="165"/>
      <c r="F73" s="160"/>
      <c r="G73" s="163">
        <f>SUM(F74:F75)</f>
        <v>2529898101</v>
      </c>
      <c r="H73" s="161"/>
      <c r="I73" s="160"/>
    </row>
    <row r="74" spans="1:16" s="82" customFormat="1" ht="46.5" customHeight="1" x14ac:dyDescent="0.2">
      <c r="A74" s="80"/>
      <c r="B74" s="81"/>
      <c r="C74" s="81"/>
      <c r="D74" s="81">
        <f>POAI!E132</f>
        <v>3301</v>
      </c>
      <c r="E74" s="162" t="str">
        <f>POAI!F132</f>
        <v>Promoción y acceso efectivo a procesos culturales y artísticos. "Tú y yo somos cultura Quindiana"</v>
      </c>
      <c r="F74" s="77">
        <f>POAI!AD132</f>
        <v>2133859959</v>
      </c>
      <c r="G74" s="77"/>
      <c r="H74" s="77"/>
      <c r="I74" s="77"/>
      <c r="J74" s="97"/>
    </row>
    <row r="75" spans="1:16" s="82" customFormat="1" ht="51" customHeight="1" x14ac:dyDescent="0.2">
      <c r="A75" s="80"/>
      <c r="B75" s="81"/>
      <c r="C75" s="81"/>
      <c r="D75" s="81">
        <f>POAI!E141</f>
        <v>3302</v>
      </c>
      <c r="E75" s="162" t="str">
        <f>POAI!F141</f>
        <v>Gestión, protección y salvaguardia del patrimonio cultural colombiano. "Tú y yo protectores del patrimonio cultural"</v>
      </c>
      <c r="F75" s="78">
        <f>POAI!AD141</f>
        <v>396038142</v>
      </c>
      <c r="G75" s="78"/>
      <c r="H75" s="78"/>
      <c r="I75" s="78"/>
      <c r="J75" s="97"/>
    </row>
    <row r="76" spans="1:16" s="11" customFormat="1" x14ac:dyDescent="0.2">
      <c r="A76" s="86"/>
      <c r="B76" s="87"/>
      <c r="C76" s="87"/>
      <c r="D76" s="87"/>
      <c r="E76" s="88"/>
      <c r="F76" s="88"/>
      <c r="G76" s="88"/>
      <c r="H76" s="88"/>
      <c r="I76" s="88"/>
      <c r="J76" s="98"/>
      <c r="K76" s="18"/>
      <c r="L76" s="18"/>
      <c r="M76" s="18"/>
      <c r="N76" s="18"/>
      <c r="O76" s="18"/>
      <c r="P76" s="18"/>
    </row>
    <row r="77" spans="1:16" ht="28.5" customHeight="1" x14ac:dyDescent="0.2">
      <c r="A77" s="56" t="s">
        <v>331</v>
      </c>
      <c r="B77" s="57"/>
      <c r="C77" s="57"/>
      <c r="D77" s="57"/>
      <c r="E77" s="58"/>
      <c r="F77" s="58"/>
      <c r="G77" s="58"/>
      <c r="H77" s="58"/>
      <c r="I77" s="58">
        <f>SUM(H78)</f>
        <v>1427372304</v>
      </c>
      <c r="J77" s="22"/>
      <c r="K77" s="1"/>
      <c r="L77" s="1"/>
      <c r="M77" s="1"/>
      <c r="N77" s="1"/>
      <c r="O77" s="1"/>
      <c r="P77" s="1"/>
    </row>
    <row r="78" spans="1:16" ht="23.25" customHeight="1" x14ac:dyDescent="0.2">
      <c r="A78" s="61"/>
      <c r="B78" s="91">
        <f>POAI!B146</f>
        <v>2</v>
      </c>
      <c r="C78" s="74" t="str">
        <f>POAI!C146</f>
        <v>PRODUCTIVIDAD Y COMPETITIVIDAD</v>
      </c>
      <c r="D78" s="74"/>
      <c r="E78" s="74"/>
      <c r="F78" s="74"/>
      <c r="G78" s="74"/>
      <c r="H78" s="75">
        <f>SUM(G79:G81)</f>
        <v>1427372304</v>
      </c>
      <c r="I78" s="74"/>
      <c r="J78" s="22"/>
      <c r="K78" s="1"/>
      <c r="L78" s="1"/>
      <c r="M78" s="1"/>
      <c r="N78" s="1"/>
      <c r="O78" s="1"/>
      <c r="P78" s="1"/>
    </row>
    <row r="79" spans="1:16" ht="25.5" customHeight="1" x14ac:dyDescent="0.2">
      <c r="A79" s="61"/>
      <c r="B79" s="81"/>
      <c r="C79" s="157">
        <f>POAI!C147</f>
        <v>35</v>
      </c>
      <c r="D79" s="153" t="str">
        <f>POAI!D147</f>
        <v>Comercio, Industria y Turismo</v>
      </c>
      <c r="E79" s="160"/>
      <c r="F79" s="160"/>
      <c r="G79" s="163">
        <f>F80</f>
        <v>1189872304</v>
      </c>
      <c r="H79" s="161"/>
      <c r="I79" s="160"/>
    </row>
    <row r="80" spans="1:16" s="82" customFormat="1" ht="53.25" customHeight="1" x14ac:dyDescent="0.2">
      <c r="A80" s="80"/>
      <c r="B80" s="81"/>
      <c r="C80" s="81"/>
      <c r="D80" s="76">
        <f>POAI!E148</f>
        <v>3502</v>
      </c>
      <c r="E80" s="162" t="str">
        <f>POAI!F148</f>
        <v xml:space="preserve">Productividad y competitividad de las empresas colombianas. "Tú y yo con empresas competitivas" </v>
      </c>
      <c r="F80" s="77">
        <f>POAI!AD148</f>
        <v>1189872304</v>
      </c>
      <c r="G80" s="77"/>
      <c r="H80" s="77"/>
      <c r="I80" s="77"/>
      <c r="J80" s="97"/>
    </row>
    <row r="81" spans="1:16" ht="25.5" customHeight="1" x14ac:dyDescent="0.2">
      <c r="A81" s="61"/>
      <c r="B81" s="81"/>
      <c r="C81" s="157">
        <f>POAI!C157</f>
        <v>36</v>
      </c>
      <c r="D81" s="166" t="str">
        <f>POAI!D157</f>
        <v>Trabajo</v>
      </c>
      <c r="E81" s="165"/>
      <c r="F81" s="160"/>
      <c r="G81" s="163">
        <f>F82</f>
        <v>237500000</v>
      </c>
      <c r="H81" s="161"/>
      <c r="I81" s="160"/>
    </row>
    <row r="82" spans="1:16" s="82" customFormat="1" ht="53.25" customHeight="1" x14ac:dyDescent="0.2">
      <c r="A82" s="80"/>
      <c r="B82" s="81"/>
      <c r="C82" s="81"/>
      <c r="D82" s="76">
        <f>POAI!E158</f>
        <v>3602</v>
      </c>
      <c r="E82" s="162" t="str">
        <f>POAI!F158</f>
        <v>Generación y formalización del empleo. "Tú y yo con empleo de calidad"</v>
      </c>
      <c r="F82" s="77">
        <f>POAI!AD158</f>
        <v>237500000</v>
      </c>
      <c r="G82" s="77"/>
      <c r="H82" s="77"/>
      <c r="I82" s="77"/>
      <c r="J82" s="97"/>
    </row>
    <row r="83" spans="1:16" s="11" customFormat="1" x14ac:dyDescent="0.2">
      <c r="A83" s="86"/>
      <c r="B83" s="87"/>
      <c r="C83" s="87"/>
      <c r="D83" s="87"/>
      <c r="E83" s="88"/>
      <c r="F83" s="88"/>
      <c r="G83" s="88"/>
      <c r="H83" s="88"/>
      <c r="I83" s="88"/>
      <c r="J83" s="98"/>
      <c r="K83" s="18"/>
      <c r="L83" s="18"/>
      <c r="M83" s="18"/>
      <c r="N83" s="18"/>
      <c r="O83" s="18"/>
      <c r="P83" s="18"/>
    </row>
    <row r="84" spans="1:16" ht="23.25" customHeight="1" x14ac:dyDescent="0.2">
      <c r="A84" s="56" t="s">
        <v>377</v>
      </c>
      <c r="B84" s="57"/>
      <c r="C84" s="57"/>
      <c r="D84" s="57"/>
      <c r="E84" s="58"/>
      <c r="F84" s="58"/>
      <c r="G84" s="58"/>
      <c r="H84" s="58"/>
      <c r="I84" s="58">
        <f>SUM(H85:H96)</f>
        <v>2573248186</v>
      </c>
    </row>
    <row r="85" spans="1:16" ht="26.25" customHeight="1" x14ac:dyDescent="0.2">
      <c r="A85" s="61"/>
      <c r="B85" s="60">
        <f>POAI!B165</f>
        <v>2</v>
      </c>
      <c r="C85" s="74" t="str">
        <f>POAI!C165</f>
        <v>PRODUCTIVIDAD Y COMPETITIVIDAD</v>
      </c>
      <c r="D85" s="74"/>
      <c r="E85" s="74"/>
      <c r="F85" s="74"/>
      <c r="G85" s="74"/>
      <c r="H85" s="75">
        <f>SUM(G86:G94)</f>
        <v>1226000000</v>
      </c>
      <c r="I85" s="74"/>
      <c r="J85" s="23"/>
      <c r="K85" s="23"/>
      <c r="L85" s="23"/>
      <c r="M85" s="23"/>
      <c r="N85" s="23"/>
      <c r="O85" s="24"/>
    </row>
    <row r="86" spans="1:16" ht="25.5" customHeight="1" x14ac:dyDescent="0.2">
      <c r="A86" s="61"/>
      <c r="B86" s="81"/>
      <c r="C86" s="157">
        <v>17</v>
      </c>
      <c r="D86" s="153" t="str">
        <f>POAI!D166</f>
        <v>Agricultura y desarrollo rural</v>
      </c>
      <c r="E86" s="160"/>
      <c r="F86" s="160"/>
      <c r="G86" s="163">
        <f>SUM(F87:F93)</f>
        <v>1190000000</v>
      </c>
      <c r="H86" s="161"/>
      <c r="I86" s="160"/>
    </row>
    <row r="87" spans="1:16" ht="57.75" customHeight="1" x14ac:dyDescent="0.2">
      <c r="A87" s="61"/>
      <c r="B87" s="62"/>
      <c r="C87" s="62"/>
      <c r="D87" s="81">
        <f>POAI!E167</f>
        <v>1702</v>
      </c>
      <c r="E87" s="604" t="str">
        <f>POAI!F167</f>
        <v>Inclusión productiva de pequeños productores rurales. "Tú y yo con oportunidades para el pequeño campesino"</v>
      </c>
      <c r="F87" s="77">
        <f>POAI!AD167</f>
        <v>834000000</v>
      </c>
      <c r="G87" s="77"/>
      <c r="H87" s="77"/>
      <c r="I87" s="77"/>
      <c r="J87" s="23"/>
      <c r="K87" s="23"/>
      <c r="L87" s="23"/>
      <c r="M87" s="23"/>
      <c r="N87" s="23"/>
      <c r="O87" s="24"/>
    </row>
    <row r="88" spans="1:16" ht="54" customHeight="1" x14ac:dyDescent="0.2">
      <c r="A88" s="61"/>
      <c r="B88" s="62"/>
      <c r="C88" s="62"/>
      <c r="D88" s="81">
        <f>POAI!E179</f>
        <v>1703</v>
      </c>
      <c r="E88" s="162" t="str">
        <f>POAI!F179</f>
        <v>Servicios financieros y gestión del riesgo para las actividades agropecuarias y rurales. "Tú y yo con un campo protegido"</v>
      </c>
      <c r="F88" s="77">
        <f>POAI!AD179</f>
        <v>75000000</v>
      </c>
      <c r="G88" s="77"/>
      <c r="H88" s="77"/>
      <c r="I88" s="77"/>
      <c r="J88" s="23"/>
      <c r="K88" s="23"/>
      <c r="L88" s="23"/>
      <c r="M88" s="23"/>
      <c r="N88" s="23"/>
      <c r="O88" s="24"/>
      <c r="P88" s="1"/>
    </row>
    <row r="89" spans="1:16" ht="62.25" customHeight="1" x14ac:dyDescent="0.2">
      <c r="A89" s="61"/>
      <c r="B89" s="62"/>
      <c r="C89" s="62"/>
      <c r="D89" s="81">
        <f>POAI!E181</f>
        <v>1704</v>
      </c>
      <c r="E89" s="162" t="str">
        <f>POAI!F181</f>
        <v>Ordenamiento social y uso productivo del territorio rural. "Tú y yo con un campo planificado"</v>
      </c>
      <c r="F89" s="77">
        <f>POAI!AD181</f>
        <v>70000000</v>
      </c>
      <c r="G89" s="77"/>
      <c r="H89" s="77"/>
      <c r="I89" s="77"/>
      <c r="J89" s="26"/>
      <c r="K89" s="26"/>
      <c r="L89" s="26"/>
      <c r="M89" s="26"/>
      <c r="N89" s="26"/>
      <c r="O89" s="24"/>
      <c r="P89" s="1"/>
    </row>
    <row r="90" spans="1:16" ht="42" customHeight="1" x14ac:dyDescent="0.2">
      <c r="A90" s="61"/>
      <c r="B90" s="62"/>
      <c r="C90" s="62"/>
      <c r="D90" s="81">
        <f>POAI!E184</f>
        <v>1706</v>
      </c>
      <c r="E90" s="162" t="str">
        <f>POAI!F184</f>
        <v>Aprovechamiento de mercados externos. "Tú y yo a los mercados internacionales"</v>
      </c>
      <c r="F90" s="77">
        <f>POAI!AD184</f>
        <v>20000000</v>
      </c>
      <c r="G90" s="77"/>
      <c r="H90" s="77"/>
      <c r="I90" s="77"/>
      <c r="J90" s="23"/>
      <c r="K90" s="23"/>
      <c r="L90" s="23"/>
      <c r="M90" s="23"/>
      <c r="N90" s="23"/>
      <c r="O90" s="24"/>
      <c r="P90" s="1"/>
    </row>
    <row r="91" spans="1:16" ht="57" customHeight="1" x14ac:dyDescent="0.2">
      <c r="A91" s="61"/>
      <c r="B91" s="62"/>
      <c r="C91" s="62"/>
      <c r="D91" s="81">
        <f>POAI!E186</f>
        <v>1707</v>
      </c>
      <c r="E91" s="162" t="str">
        <f>POAI!F186</f>
        <v>Sanidad agropecuaria e inocuidad agroalimentaria. "Tú y yo con un agro saludable"</v>
      </c>
      <c r="F91" s="77">
        <f>POAI!AD186</f>
        <v>43000000</v>
      </c>
      <c r="G91" s="77"/>
      <c r="H91" s="77"/>
      <c r="I91" s="77"/>
      <c r="J91" s="23"/>
      <c r="K91" s="23"/>
      <c r="L91" s="23"/>
      <c r="M91" s="23"/>
      <c r="N91" s="23"/>
      <c r="O91" s="24"/>
      <c r="P91" s="1"/>
    </row>
    <row r="92" spans="1:16" ht="60.75" customHeight="1" x14ac:dyDescent="0.2">
      <c r="A92" s="61"/>
      <c r="B92" s="62"/>
      <c r="C92" s="62"/>
      <c r="D92" s="81">
        <f>POAI!E188</f>
        <v>1708</v>
      </c>
      <c r="E92" s="162" t="str">
        <f>POAI!F188</f>
        <v>Ciencia, tecnología e innovación agropecuaria. "Tú y yo con un agro interconectado"</v>
      </c>
      <c r="F92" s="77">
        <f>POAI!AD188</f>
        <v>40000000</v>
      </c>
      <c r="G92" s="77"/>
      <c r="H92" s="77"/>
      <c r="I92" s="77"/>
      <c r="J92" s="23"/>
      <c r="K92" s="23"/>
      <c r="L92" s="23"/>
      <c r="M92" s="23"/>
      <c r="N92" s="23"/>
      <c r="O92" s="24"/>
    </row>
    <row r="93" spans="1:16" ht="42" customHeight="1" x14ac:dyDescent="0.2">
      <c r="A93" s="61"/>
      <c r="B93" s="62"/>
      <c r="C93" s="62"/>
      <c r="D93" s="81">
        <f>POAI!E191</f>
        <v>1709</v>
      </c>
      <c r="E93" s="162" t="str">
        <f>POAI!F191</f>
        <v>Infraestructura productiva y comercialización. "Tú y yo con agro competitivo"</v>
      </c>
      <c r="F93" s="77">
        <f>POAI!AD191</f>
        <v>108000000</v>
      </c>
      <c r="G93" s="77"/>
      <c r="H93" s="77"/>
      <c r="I93" s="77"/>
      <c r="J93" s="26"/>
      <c r="K93" s="26"/>
      <c r="L93" s="26"/>
      <c r="M93" s="26"/>
      <c r="N93" s="26"/>
      <c r="O93" s="24"/>
    </row>
    <row r="94" spans="1:16" ht="25.5" customHeight="1" x14ac:dyDescent="0.2">
      <c r="A94" s="61"/>
      <c r="B94" s="81"/>
      <c r="C94" s="157">
        <f>POAI!C195</f>
        <v>35</v>
      </c>
      <c r="D94" s="153" t="str">
        <f>POAI!D195</f>
        <v>Comercio, Industria y Turismo</v>
      </c>
      <c r="E94" s="160"/>
      <c r="F94" s="160"/>
      <c r="G94" s="163">
        <f>F95</f>
        <v>36000000</v>
      </c>
      <c r="H94" s="161"/>
      <c r="I94" s="160"/>
    </row>
    <row r="95" spans="1:16" ht="73.5" customHeight="1" x14ac:dyDescent="0.2">
      <c r="A95" s="61"/>
      <c r="B95" s="62"/>
      <c r="C95" s="62"/>
      <c r="D95" s="81">
        <f>POAI!E196</f>
        <v>3502</v>
      </c>
      <c r="E95" s="162" t="str">
        <f>POAI!F196</f>
        <v xml:space="preserve">Productividad y competitividad de las empresas colombianas. "Tú y yo con empresas competitivas" </v>
      </c>
      <c r="F95" s="77">
        <f>POAI!AD196</f>
        <v>36000000</v>
      </c>
      <c r="G95" s="77"/>
      <c r="H95" s="77"/>
      <c r="I95" s="77"/>
      <c r="J95" s="23"/>
      <c r="K95" s="23"/>
      <c r="L95" s="23"/>
      <c r="M95" s="23"/>
      <c r="N95" s="23"/>
      <c r="O95" s="24"/>
    </row>
    <row r="96" spans="1:16" ht="24.75" customHeight="1" x14ac:dyDescent="0.2">
      <c r="A96" s="61"/>
      <c r="B96" s="60">
        <f>POAI!B199</f>
        <v>3</v>
      </c>
      <c r="C96" s="74" t="str">
        <f>POAI!C199</f>
        <v xml:space="preserve">TERRITORIO, AMBIENTE Y DESARROLLO SOSTENIBLE </v>
      </c>
      <c r="D96" s="74"/>
      <c r="E96" s="74"/>
      <c r="F96" s="74"/>
      <c r="G96" s="74"/>
      <c r="H96" s="75">
        <f>G97</f>
        <v>1347248186</v>
      </c>
      <c r="I96" s="74"/>
      <c r="J96" s="23"/>
      <c r="K96" s="23"/>
      <c r="L96" s="23"/>
      <c r="M96" s="23"/>
      <c r="N96" s="23"/>
      <c r="O96" s="24"/>
    </row>
    <row r="97" spans="1:16" ht="25.5" customHeight="1" x14ac:dyDescent="0.2">
      <c r="A97" s="61"/>
      <c r="B97" s="81"/>
      <c r="C97" s="157">
        <f>POAI!C200</f>
        <v>32</v>
      </c>
      <c r="D97" s="153" t="str">
        <f>POAI!D200</f>
        <v>Ambiente y desarrollo sostenible</v>
      </c>
      <c r="E97" s="160"/>
      <c r="F97" s="160"/>
      <c r="G97" s="163">
        <f>SUM(F98:F102)</f>
        <v>1347248186</v>
      </c>
      <c r="H97" s="161"/>
      <c r="I97" s="160"/>
    </row>
    <row r="98" spans="1:16" s="82" customFormat="1" ht="52.5" customHeight="1" x14ac:dyDescent="0.2">
      <c r="A98" s="80"/>
      <c r="B98" s="81"/>
      <c r="C98" s="81"/>
      <c r="D98" s="81" t="str">
        <f>POAI!E201</f>
        <v>3201</v>
      </c>
      <c r="E98" s="162" t="str">
        <f>POAI!F201</f>
        <v>Fortalecimiento del desempeño ambiental de los sectores productivos. "Tú y yo guardianes de la biodiversidad.</v>
      </c>
      <c r="F98" s="77">
        <f>POAI!AD201</f>
        <v>82000000</v>
      </c>
      <c r="G98" s="77"/>
      <c r="H98" s="77"/>
      <c r="I98" s="77"/>
      <c r="J98" s="89"/>
      <c r="K98" s="89"/>
      <c r="L98" s="89"/>
      <c r="M98" s="89"/>
      <c r="N98" s="89"/>
      <c r="O98" s="25"/>
    </row>
    <row r="99" spans="1:16" s="82" customFormat="1" ht="52.5" customHeight="1" x14ac:dyDescent="0.2">
      <c r="A99" s="80"/>
      <c r="B99" s="81"/>
      <c r="C99" s="81"/>
      <c r="D99" s="81">
        <f>POAI!E204</f>
        <v>3202</v>
      </c>
      <c r="E99" s="162" t="str">
        <f>POAI!F204</f>
        <v>Conservación de la biodiversidad y sus servicios ecosistémicos. "Tú y yo en territorios biodiversos"</v>
      </c>
      <c r="F99" s="77">
        <f>POAI!AD204</f>
        <v>945248186</v>
      </c>
      <c r="G99" s="77"/>
      <c r="H99" s="77"/>
      <c r="I99" s="77"/>
      <c r="J99" s="89"/>
      <c r="K99" s="89"/>
      <c r="L99" s="89"/>
      <c r="M99" s="89"/>
      <c r="N99" s="89"/>
      <c r="O99" s="25"/>
    </row>
    <row r="100" spans="1:16" s="82" customFormat="1" ht="52.5" customHeight="1" x14ac:dyDescent="0.2">
      <c r="A100" s="80"/>
      <c r="B100" s="81"/>
      <c r="C100" s="81"/>
      <c r="D100" s="81" t="str">
        <f>POAI!E211</f>
        <v>3204</v>
      </c>
      <c r="E100" s="162" t="str">
        <f>POAI!F211</f>
        <v>Gestión de la información y en conocimiento ambiental. "Tú y yo conscientes con la naturaleza"</v>
      </c>
      <c r="F100" s="77">
        <f>POAI!AD211</f>
        <v>120000000</v>
      </c>
      <c r="G100" s="77"/>
      <c r="H100" s="77"/>
      <c r="I100" s="77"/>
      <c r="J100" s="89"/>
      <c r="K100" s="89"/>
      <c r="L100" s="89"/>
      <c r="M100" s="89"/>
      <c r="N100" s="89"/>
      <c r="O100" s="25"/>
    </row>
    <row r="101" spans="1:16" s="82" customFormat="1" ht="52.5" customHeight="1" x14ac:dyDescent="0.2">
      <c r="A101" s="80"/>
      <c r="B101" s="81"/>
      <c r="C101" s="81"/>
      <c r="D101" s="81">
        <f>POAI!E213</f>
        <v>3205</v>
      </c>
      <c r="E101" s="162" t="str">
        <f>POAI!F213</f>
        <v>Ordenamiento Ambiental Territorial. "Tú y yo planificamos con sentido ambiental"</v>
      </c>
      <c r="F101" s="77">
        <f>POAI!AD213</f>
        <v>82000000</v>
      </c>
      <c r="G101" s="77"/>
      <c r="H101" s="77"/>
      <c r="I101" s="77"/>
      <c r="J101" s="89"/>
      <c r="K101" s="89"/>
      <c r="L101" s="89"/>
      <c r="M101" s="89"/>
      <c r="N101" s="89"/>
      <c r="O101" s="25"/>
    </row>
    <row r="102" spans="1:16" s="82" customFormat="1" ht="52.5" customHeight="1" x14ac:dyDescent="0.2">
      <c r="A102" s="80"/>
      <c r="B102" s="81"/>
      <c r="C102" s="81"/>
      <c r="D102" s="81" t="str">
        <f>POAI!E217</f>
        <v>3206</v>
      </c>
      <c r="E102" s="604" t="str">
        <f>POAI!F217</f>
        <v>Gestión del cambio climático para un desarrollo bajo en carbono y resiliente al clima. "Tú y yo preparados para el cambio climático"</v>
      </c>
      <c r="F102" s="77">
        <f>POAI!AD217</f>
        <v>118000000</v>
      </c>
      <c r="G102" s="77"/>
      <c r="H102" s="77"/>
      <c r="I102" s="77"/>
      <c r="J102" s="89"/>
      <c r="K102" s="89"/>
      <c r="L102" s="89"/>
      <c r="M102" s="89"/>
      <c r="N102" s="89"/>
      <c r="O102" s="25"/>
    </row>
    <row r="103" spans="1:16" s="11" customFormat="1" x14ac:dyDescent="0.2">
      <c r="A103" s="86"/>
      <c r="B103" s="87"/>
      <c r="C103" s="87"/>
      <c r="D103" s="87"/>
      <c r="E103" s="88"/>
      <c r="F103" s="88"/>
      <c r="G103" s="88"/>
      <c r="H103" s="88"/>
      <c r="I103" s="88"/>
      <c r="J103" s="98"/>
      <c r="K103" s="18"/>
      <c r="L103" s="18"/>
      <c r="M103" s="18"/>
      <c r="N103" s="18"/>
      <c r="O103" s="18"/>
      <c r="P103" s="18"/>
    </row>
    <row r="104" spans="1:16" ht="25.5" customHeight="1" x14ac:dyDescent="0.2">
      <c r="A104" s="56" t="s">
        <v>545</v>
      </c>
      <c r="B104" s="57"/>
      <c r="C104" s="57"/>
      <c r="D104" s="57"/>
      <c r="E104" s="58"/>
      <c r="F104" s="58"/>
      <c r="G104" s="58"/>
      <c r="H104" s="58"/>
      <c r="I104" s="58">
        <f>H105</f>
        <v>695000000</v>
      </c>
    </row>
    <row r="105" spans="1:16" ht="24" customHeight="1" x14ac:dyDescent="0.2">
      <c r="A105" s="61"/>
      <c r="B105" s="60">
        <f>POAI!B223</f>
        <v>4</v>
      </c>
      <c r="C105" s="74" t="str">
        <f>POAI!C223</f>
        <v xml:space="preserve">LIDERAZGO, GOBERNABILIDAD Y TRANSPARENCIA </v>
      </c>
      <c r="D105" s="74"/>
      <c r="E105" s="74"/>
      <c r="F105" s="74"/>
      <c r="G105" s="74"/>
      <c r="H105" s="75">
        <f>G106</f>
        <v>695000000</v>
      </c>
      <c r="I105" s="74"/>
    </row>
    <row r="106" spans="1:16" ht="25.5" customHeight="1" x14ac:dyDescent="0.2">
      <c r="A106" s="61"/>
      <c r="B106" s="81"/>
      <c r="C106" s="157">
        <f>POAI!C224</f>
        <v>45</v>
      </c>
      <c r="D106" s="153" t="str">
        <f>POAI!D224</f>
        <v>Gobierno territorial</v>
      </c>
      <c r="E106" s="160"/>
      <c r="F106" s="160"/>
      <c r="G106" s="163">
        <f>SUM(F107:F108)</f>
        <v>695000000</v>
      </c>
      <c r="H106" s="161"/>
      <c r="I106" s="160"/>
    </row>
    <row r="107" spans="1:16" s="92" customFormat="1" ht="74.25" customHeight="1" x14ac:dyDescent="0.25">
      <c r="A107" s="78"/>
      <c r="B107" s="81"/>
      <c r="C107" s="81"/>
      <c r="D107" s="81">
        <f>POAI!E225</f>
        <v>4599</v>
      </c>
      <c r="E107" s="162" t="str">
        <f>POAI!F225</f>
        <v>Fortalecimiento a la gestión y dirección de la administración pública territorial "Quindío con una administración al servicio de la ciudadanía"</v>
      </c>
      <c r="F107" s="77">
        <f>POAI!AD225</f>
        <v>550000000</v>
      </c>
      <c r="G107" s="77"/>
      <c r="H107" s="77"/>
      <c r="I107" s="77"/>
    </row>
    <row r="108" spans="1:16" s="82" customFormat="1" ht="54.75" customHeight="1" x14ac:dyDescent="0.2">
      <c r="A108" s="80"/>
      <c r="B108" s="81"/>
      <c r="C108" s="81"/>
      <c r="D108" s="81">
        <f>POAI!E228</f>
        <v>4502</v>
      </c>
      <c r="E108" s="162" t="str">
        <f>POAI!F228</f>
        <v>Fortalecimiento del buen gobierno para el respeto y garantía de los derechos humanos. "Quindío integrado y participativo"</v>
      </c>
      <c r="F108" s="78">
        <f>POAI!AD228</f>
        <v>145000000</v>
      </c>
      <c r="G108" s="78"/>
      <c r="H108" s="78"/>
      <c r="I108" s="78"/>
      <c r="J108" s="97"/>
    </row>
    <row r="109" spans="1:16" s="11" customFormat="1" x14ac:dyDescent="0.2">
      <c r="A109" s="86"/>
      <c r="B109" s="87"/>
      <c r="C109" s="87"/>
      <c r="D109" s="87"/>
      <c r="E109" s="88"/>
      <c r="F109" s="88"/>
      <c r="G109" s="88"/>
      <c r="H109" s="88"/>
      <c r="I109" s="88"/>
      <c r="J109" s="98"/>
      <c r="K109" s="18"/>
      <c r="L109" s="18"/>
      <c r="M109" s="18"/>
      <c r="N109" s="18"/>
      <c r="O109" s="18"/>
      <c r="P109" s="18"/>
    </row>
    <row r="110" spans="1:16" ht="27" customHeight="1" x14ac:dyDescent="0.2">
      <c r="A110" s="56" t="s">
        <v>562</v>
      </c>
      <c r="B110" s="57"/>
      <c r="C110" s="57"/>
      <c r="D110" s="57"/>
      <c r="E110" s="58"/>
      <c r="F110" s="58"/>
      <c r="G110" s="58"/>
      <c r="H110" s="58"/>
      <c r="I110" s="58">
        <f>SUM(H111:H115)</f>
        <v>188333124732</v>
      </c>
      <c r="J110" s="22"/>
      <c r="K110" s="1"/>
      <c r="L110" s="1"/>
      <c r="M110" s="1"/>
      <c r="N110" s="1"/>
      <c r="O110" s="1"/>
      <c r="P110" s="1"/>
    </row>
    <row r="111" spans="1:16" ht="24.75" customHeight="1" x14ac:dyDescent="0.2">
      <c r="A111" s="61"/>
      <c r="B111" s="60">
        <f>POAI!B232</f>
        <v>1</v>
      </c>
      <c r="C111" s="74" t="str">
        <f>POAI!C232</f>
        <v xml:space="preserve">INCLUSIÓN SOCIAL Y EQUIDAD </v>
      </c>
      <c r="D111" s="74"/>
      <c r="E111" s="74"/>
      <c r="F111" s="74"/>
      <c r="G111" s="74"/>
      <c r="H111" s="75">
        <f>SUM(G112)</f>
        <v>188325624732</v>
      </c>
      <c r="I111" s="74"/>
      <c r="J111" s="22"/>
      <c r="K111" s="1"/>
      <c r="L111" s="1"/>
      <c r="M111" s="1"/>
      <c r="N111" s="1"/>
      <c r="O111" s="1"/>
      <c r="P111" s="1"/>
    </row>
    <row r="112" spans="1:16" ht="25.5" customHeight="1" x14ac:dyDescent="0.2">
      <c r="A112" s="61"/>
      <c r="B112" s="81"/>
      <c r="C112" s="157">
        <f>POAI!C233</f>
        <v>22</v>
      </c>
      <c r="D112" s="157" t="str">
        <f>POAI!D233</f>
        <v>Educación</v>
      </c>
      <c r="E112" s="160"/>
      <c r="F112" s="160"/>
      <c r="G112" s="163">
        <f>SUM(F113:F114)</f>
        <v>188325624732</v>
      </c>
      <c r="H112" s="161"/>
      <c r="I112" s="160"/>
    </row>
    <row r="113" spans="1:16" s="82" customFormat="1" ht="55.5" customHeight="1" x14ac:dyDescent="0.2">
      <c r="A113" s="80"/>
      <c r="B113" s="81"/>
      <c r="C113" s="81"/>
      <c r="D113" s="76">
        <f>POAI!E234</f>
        <v>2201</v>
      </c>
      <c r="E113" s="162" t="str">
        <f>POAI!F234</f>
        <v>Calidad, cobertura y fortalecimiento de la educación inicial, prescolar, básica y media." Tú y yo con educación y de calidad"</v>
      </c>
      <c r="F113" s="78">
        <f>POAI!AD234</f>
        <v>188225624732</v>
      </c>
      <c r="G113" s="78"/>
      <c r="H113" s="78"/>
      <c r="I113" s="78"/>
      <c r="J113" s="97"/>
    </row>
    <row r="114" spans="1:16" s="82" customFormat="1" ht="55.5" customHeight="1" x14ac:dyDescent="0.2">
      <c r="A114" s="80"/>
      <c r="B114" s="81"/>
      <c r="C114" s="81"/>
      <c r="D114" s="81">
        <f>POAI!E269</f>
        <v>2202</v>
      </c>
      <c r="E114" s="162" t="str">
        <f>POAI!F269</f>
        <v>Calidad y formento de la Educación "Tú y yo preparados para la educación superior"</v>
      </c>
      <c r="F114" s="77">
        <f>POAI!AD269</f>
        <v>100000000</v>
      </c>
      <c r="G114" s="77"/>
      <c r="H114" s="77"/>
      <c r="I114" s="77"/>
      <c r="J114" s="97"/>
    </row>
    <row r="115" spans="1:16" ht="25.5" customHeight="1" x14ac:dyDescent="0.2">
      <c r="A115" s="61"/>
      <c r="B115" s="60">
        <f>POAI!B271</f>
        <v>2</v>
      </c>
      <c r="C115" s="74" t="str">
        <f>POAI!C271</f>
        <v>PRODUCTIVIDAD Y COMPETITIVIDAD</v>
      </c>
      <c r="D115" s="74"/>
      <c r="E115" s="74"/>
      <c r="F115" s="74"/>
      <c r="G115" s="74"/>
      <c r="H115" s="75">
        <f>G116</f>
        <v>7500000</v>
      </c>
      <c r="I115" s="74"/>
      <c r="J115" s="23"/>
      <c r="K115" s="23"/>
      <c r="L115" s="23"/>
      <c r="M115" s="23"/>
      <c r="N115" s="23"/>
      <c r="O115" s="24"/>
    </row>
    <row r="116" spans="1:16" ht="25.5" customHeight="1" x14ac:dyDescent="0.2">
      <c r="A116" s="61"/>
      <c r="B116" s="81"/>
      <c r="C116" s="157">
        <f>POAI!C272</f>
        <v>39</v>
      </c>
      <c r="D116" s="153" t="str">
        <f>POAI!D272</f>
        <v>Ciencia, Tecnolgía e Innovación</v>
      </c>
      <c r="E116" s="153"/>
      <c r="F116" s="160"/>
      <c r="G116" s="163">
        <f>SUM(F117)</f>
        <v>7500000</v>
      </c>
      <c r="H116" s="161"/>
      <c r="I116" s="160"/>
    </row>
    <row r="117" spans="1:16" s="82" customFormat="1" ht="39.75" customHeight="1" x14ac:dyDescent="0.2">
      <c r="A117" s="80"/>
      <c r="B117" s="81"/>
      <c r="C117" s="81"/>
      <c r="D117" s="81">
        <f>POAI!E273</f>
        <v>3904</v>
      </c>
      <c r="E117" s="162" t="str">
        <f>POAI!F273</f>
        <v>Generación de una cultura qué valora y gestiona en conocimiento y la innovación.</v>
      </c>
      <c r="F117" s="77">
        <f>POAI!AD273</f>
        <v>7500000</v>
      </c>
      <c r="G117" s="77"/>
      <c r="H117" s="77"/>
      <c r="I117" s="77"/>
      <c r="J117" s="97"/>
    </row>
    <row r="118" spans="1:16" s="11" customFormat="1" x14ac:dyDescent="0.2">
      <c r="A118" s="86"/>
      <c r="B118" s="87"/>
      <c r="C118" s="87"/>
      <c r="D118" s="87"/>
      <c r="E118" s="88"/>
      <c r="F118" s="88"/>
      <c r="G118" s="88"/>
      <c r="H118" s="88"/>
      <c r="I118" s="88"/>
      <c r="J118" s="98"/>
      <c r="K118" s="18"/>
      <c r="L118" s="18"/>
      <c r="M118" s="18"/>
      <c r="N118" s="18"/>
      <c r="O118" s="18"/>
      <c r="P118" s="18"/>
    </row>
    <row r="119" spans="1:16" s="11" customFormat="1" ht="24.75" customHeight="1" x14ac:dyDescent="0.2">
      <c r="A119" s="56" t="s">
        <v>670</v>
      </c>
      <c r="B119" s="57"/>
      <c r="C119" s="57"/>
      <c r="D119" s="57"/>
      <c r="E119" s="58"/>
      <c r="F119" s="58"/>
      <c r="G119" s="58"/>
      <c r="H119" s="58"/>
      <c r="I119" s="58">
        <f>SUM(H120:H134)</f>
        <v>5182789574</v>
      </c>
      <c r="J119" s="98"/>
      <c r="K119" s="18"/>
      <c r="L119" s="18"/>
      <c r="M119" s="18"/>
      <c r="N119" s="18"/>
      <c r="O119" s="18"/>
      <c r="P119" s="18"/>
    </row>
    <row r="120" spans="1:16" s="11" customFormat="1" ht="20.25" customHeight="1" x14ac:dyDescent="0.2">
      <c r="A120" s="63"/>
      <c r="B120" s="60">
        <f>POAI!B277</f>
        <v>1</v>
      </c>
      <c r="C120" s="74" t="str">
        <f>POAI!C277</f>
        <v xml:space="preserve">INCLUSIÓN SOCIAL Y EQUIDAD </v>
      </c>
      <c r="D120" s="74"/>
      <c r="E120" s="74"/>
      <c r="F120" s="74"/>
      <c r="G120" s="74"/>
      <c r="H120" s="75">
        <f>SUM(G121:G128)</f>
        <v>4791789574</v>
      </c>
      <c r="I120" s="74"/>
      <c r="J120" s="98"/>
      <c r="K120" s="18"/>
      <c r="L120" s="18"/>
      <c r="M120" s="18"/>
      <c r="N120" s="18"/>
      <c r="O120" s="18"/>
      <c r="P120" s="18"/>
    </row>
    <row r="121" spans="1:16" ht="25.5" customHeight="1" x14ac:dyDescent="0.2">
      <c r="A121" s="61"/>
      <c r="B121" s="81"/>
      <c r="C121" s="157">
        <f>POAI!C278</f>
        <v>19</v>
      </c>
      <c r="D121" s="153" t="str">
        <f>POAI!D278</f>
        <v>Salud y protección social</v>
      </c>
      <c r="E121" s="160"/>
      <c r="F121" s="160"/>
      <c r="G121" s="163">
        <f>F122</f>
        <v>175000000</v>
      </c>
      <c r="H121" s="161"/>
      <c r="I121" s="160"/>
    </row>
    <row r="122" spans="1:16" s="95" customFormat="1" ht="51" customHeight="1" x14ac:dyDescent="0.2">
      <c r="A122" s="93"/>
      <c r="B122" s="81"/>
      <c r="C122" s="81"/>
      <c r="D122" s="81">
        <f>POAI!E279</f>
        <v>1905</v>
      </c>
      <c r="E122" s="172" t="str">
        <f>POAI!F279</f>
        <v>Salud Pública, "Tú y yo con salud de calidad"</v>
      </c>
      <c r="F122" s="77">
        <f>POAI!AD279</f>
        <v>175000000</v>
      </c>
      <c r="G122" s="77"/>
      <c r="H122" s="94"/>
      <c r="I122" s="94"/>
      <c r="J122" s="99"/>
    </row>
    <row r="123" spans="1:16" ht="25.5" customHeight="1" x14ac:dyDescent="0.2">
      <c r="A123" s="61"/>
      <c r="B123" s="81"/>
      <c r="C123" s="157">
        <f>POAI!C282</f>
        <v>33</v>
      </c>
      <c r="D123" s="166" t="str">
        <f>POAI!D282</f>
        <v>Cultura</v>
      </c>
      <c r="E123" s="165"/>
      <c r="F123" s="160"/>
      <c r="G123" s="163">
        <f>F124</f>
        <v>14250000</v>
      </c>
      <c r="H123" s="161"/>
      <c r="I123" s="160"/>
    </row>
    <row r="124" spans="1:16" s="95" customFormat="1" ht="51.75" customHeight="1" x14ac:dyDescent="0.2">
      <c r="A124" s="93"/>
      <c r="B124" s="81"/>
      <c r="C124" s="81"/>
      <c r="D124" s="81">
        <f>POAI!E283</f>
        <v>3301</v>
      </c>
      <c r="E124" s="162" t="str">
        <f>POAI!F283</f>
        <v>Promoción y acceso efectivo a procesos culturales y artísticos. "Tú y yo somos cultura Quindiana"</v>
      </c>
      <c r="F124" s="77">
        <f>POAI!AD283</f>
        <v>14250000</v>
      </c>
      <c r="G124" s="77"/>
      <c r="H124" s="77"/>
      <c r="I124" s="77"/>
      <c r="J124" s="99"/>
    </row>
    <row r="125" spans="1:16" ht="25.5" customHeight="1" x14ac:dyDescent="0.2">
      <c r="A125" s="61"/>
      <c r="B125" s="81"/>
      <c r="C125" s="157">
        <f>POAI!C285</f>
        <v>41</v>
      </c>
      <c r="D125" s="153" t="str">
        <f>POAI!D285</f>
        <v>Inclusión social y Reconciliación</v>
      </c>
      <c r="E125" s="160"/>
      <c r="F125" s="160"/>
      <c r="G125" s="163">
        <f>SUM(F126:F128)</f>
        <v>4602539574</v>
      </c>
      <c r="H125" s="161"/>
      <c r="I125" s="160"/>
    </row>
    <row r="126" spans="1:16" s="95" customFormat="1" ht="53.25" customHeight="1" x14ac:dyDescent="0.2">
      <c r="A126" s="93"/>
      <c r="B126" s="81"/>
      <c r="C126" s="81"/>
      <c r="D126" s="81">
        <f>POAI!E286</f>
        <v>4102</v>
      </c>
      <c r="E126" s="162" t="str">
        <f>POAI!F286</f>
        <v>Desarrollo Integral de Niños, Niñas, Adolescentes y sus Familias. "Tú y yo niños, niñas y adolescentes con desarrollo integral"</v>
      </c>
      <c r="F126" s="77">
        <f>POAI!AD286</f>
        <v>748000000</v>
      </c>
      <c r="G126" s="77"/>
      <c r="H126" s="77"/>
      <c r="I126" s="77"/>
      <c r="J126" s="99"/>
    </row>
    <row r="127" spans="1:16" s="95" customFormat="1" ht="48.75" customHeight="1" x14ac:dyDescent="0.2">
      <c r="A127" s="93"/>
      <c r="B127" s="81"/>
      <c r="C127" s="81"/>
      <c r="D127" s="81">
        <f>POAI!E297</f>
        <v>4103</v>
      </c>
      <c r="E127" s="162" t="str">
        <f>POAI!F297</f>
        <v>Inclusión social y productiva para la población en situación de vulnerabilidad. "Tú y yo, población vulnerable incluida"</v>
      </c>
      <c r="F127" s="77">
        <f>POAI!AD297</f>
        <v>175000000</v>
      </c>
      <c r="G127" s="77"/>
      <c r="H127" s="77"/>
      <c r="I127" s="77"/>
      <c r="J127" s="99"/>
    </row>
    <row r="128" spans="1:16" s="95" customFormat="1" ht="51.75" customHeight="1" x14ac:dyDescent="0.2">
      <c r="A128" s="93"/>
      <c r="B128" s="81"/>
      <c r="C128" s="81"/>
      <c r="D128" s="81">
        <f>POAI!E305</f>
        <v>4104</v>
      </c>
      <c r="E128" s="162" t="str">
        <f>POAI!F305</f>
        <v>Atención integral de población en situación permanente de desprotección social y/o familiar "Tú y yo con atención integral"</v>
      </c>
      <c r="F128" s="77">
        <f>POAI!AD305</f>
        <v>3679539574</v>
      </c>
      <c r="G128" s="77"/>
      <c r="H128" s="77"/>
      <c r="I128" s="77"/>
      <c r="J128" s="99"/>
    </row>
    <row r="129" spans="1:16" s="11" customFormat="1" ht="20.25" customHeight="1" x14ac:dyDescent="0.2">
      <c r="A129" s="63"/>
      <c r="B129" s="60">
        <f>POAI!B311</f>
        <v>2</v>
      </c>
      <c r="C129" s="74" t="str">
        <f>POAI!C311</f>
        <v>PRODUCTIVIDAD Y COMPETITIVIDAD</v>
      </c>
      <c r="D129" s="74"/>
      <c r="E129" s="74"/>
      <c r="F129" s="74"/>
      <c r="G129" s="74"/>
      <c r="H129" s="75">
        <f>SUM(G130:G132)</f>
        <v>36000000</v>
      </c>
      <c r="I129" s="74"/>
      <c r="J129" s="98"/>
      <c r="K129" s="18"/>
      <c r="L129" s="18"/>
      <c r="M129" s="18"/>
      <c r="N129" s="18"/>
      <c r="O129" s="18"/>
      <c r="P129" s="18"/>
    </row>
    <row r="130" spans="1:16" ht="25.5" customHeight="1" x14ac:dyDescent="0.2">
      <c r="A130" s="61"/>
      <c r="B130" s="81"/>
      <c r="C130" s="157">
        <f>POAI!C312</f>
        <v>17</v>
      </c>
      <c r="D130" s="153" t="str">
        <f>POAI!D312</f>
        <v>Agricultura y desarrollo rural</v>
      </c>
      <c r="E130" s="160"/>
      <c r="F130" s="160"/>
      <c r="G130" s="163">
        <f>F131</f>
        <v>18000000</v>
      </c>
      <c r="H130" s="161"/>
      <c r="I130" s="160"/>
    </row>
    <row r="131" spans="1:16" s="95" customFormat="1" ht="51.75" customHeight="1" x14ac:dyDescent="0.2">
      <c r="A131" s="93"/>
      <c r="B131" s="81"/>
      <c r="C131" s="81"/>
      <c r="D131" s="81">
        <f>POAI!E313</f>
        <v>1702</v>
      </c>
      <c r="E131" s="604" t="str">
        <f>POAI!F313</f>
        <v>Inclusión productiva de pequeños productores rurales. "Tú y yo con oportunidades para el pequeño campesino"</v>
      </c>
      <c r="F131" s="77">
        <f>POAI!AD313</f>
        <v>18000000</v>
      </c>
      <c r="G131" s="77"/>
      <c r="H131" s="77"/>
      <c r="I131" s="77"/>
      <c r="J131" s="99"/>
    </row>
    <row r="132" spans="1:16" ht="25.5" customHeight="1" x14ac:dyDescent="0.2">
      <c r="A132" s="61"/>
      <c r="B132" s="81"/>
      <c r="C132" s="157">
        <f>POAI!C315</f>
        <v>36</v>
      </c>
      <c r="D132" s="166" t="str">
        <f>POAI!D315</f>
        <v>Trabajo</v>
      </c>
      <c r="E132" s="165"/>
      <c r="F132" s="160"/>
      <c r="G132" s="163">
        <f>F133</f>
        <v>18000000</v>
      </c>
      <c r="H132" s="161"/>
      <c r="I132" s="160"/>
    </row>
    <row r="133" spans="1:16" s="95" customFormat="1" ht="51" customHeight="1" x14ac:dyDescent="0.2">
      <c r="A133" s="93"/>
      <c r="B133" s="81"/>
      <c r="C133" s="81"/>
      <c r="D133" s="81">
        <f>POAI!E316</f>
        <v>3604</v>
      </c>
      <c r="E133" s="162" t="str">
        <f>POAI!F316</f>
        <v>Derechos fundamentales del trabajo y fortalecimiento del diálogo social. "Tú y yo con una niñez protegida"</v>
      </c>
      <c r="F133" s="77">
        <f>POAI!AD316</f>
        <v>18000000</v>
      </c>
      <c r="G133" s="77"/>
      <c r="H133" s="77"/>
      <c r="I133" s="77"/>
      <c r="J133" s="99"/>
    </row>
    <row r="134" spans="1:16" s="11" customFormat="1" ht="21" customHeight="1" x14ac:dyDescent="0.2">
      <c r="A134" s="63"/>
      <c r="B134" s="60">
        <f>POAI!B318</f>
        <v>4</v>
      </c>
      <c r="C134" s="74" t="str">
        <f>POAI!C318</f>
        <v xml:space="preserve">LIDERAZGO, GOBERNABILIDAD Y TRANSPARENCIA </v>
      </c>
      <c r="D134" s="74"/>
      <c r="E134" s="74"/>
      <c r="F134" s="74"/>
      <c r="G134" s="74"/>
      <c r="H134" s="75">
        <f>G135</f>
        <v>355000000</v>
      </c>
      <c r="I134" s="74"/>
      <c r="J134" s="98"/>
      <c r="K134" s="18"/>
      <c r="L134" s="18"/>
      <c r="M134" s="18"/>
      <c r="N134" s="18"/>
      <c r="O134" s="18"/>
      <c r="P134" s="18"/>
    </row>
    <row r="135" spans="1:16" ht="25.5" customHeight="1" x14ac:dyDescent="0.2">
      <c r="A135" s="247"/>
      <c r="B135" s="240"/>
      <c r="C135" s="248">
        <f>POAI!C319</f>
        <v>45</v>
      </c>
      <c r="D135" s="249" t="str">
        <f>POAI!D319</f>
        <v>Gobierno Territorial</v>
      </c>
      <c r="E135" s="250"/>
      <c r="F135" s="250"/>
      <c r="G135" s="242">
        <f>SUM(F136:F137)</f>
        <v>355000000</v>
      </c>
      <c r="H135" s="251"/>
      <c r="I135" s="250"/>
    </row>
    <row r="136" spans="1:16" ht="50.25" customHeight="1" x14ac:dyDescent="0.2">
      <c r="A136" s="252"/>
      <c r="B136" s="253"/>
      <c r="C136" s="254"/>
      <c r="D136" s="253">
        <f>POAI!E320</f>
        <v>4502</v>
      </c>
      <c r="E136" s="255" t="str">
        <f>POAI!F320</f>
        <v>Fortalecimiento del buen gobierno para el respeto y garantía de los derechos humanos. "Quindío integrado y participativo"</v>
      </c>
      <c r="F136" s="256">
        <f>POAI!AD320</f>
        <v>251000000</v>
      </c>
      <c r="G136" s="241"/>
      <c r="H136" s="257"/>
      <c r="I136" s="258"/>
    </row>
    <row r="137" spans="1:16" ht="76.5" customHeight="1" x14ac:dyDescent="0.2">
      <c r="A137" s="252"/>
      <c r="B137" s="253"/>
      <c r="C137" s="254"/>
      <c r="D137" s="253">
        <f>POAI!E326</f>
        <v>4599</v>
      </c>
      <c r="E137" s="259" t="str">
        <f>POAI!F326</f>
        <v>Fortalecimiento a la gestión y dirección de la administración pública territorial "Quindío con una administración al servicio de la ciudadanía"</v>
      </c>
      <c r="F137" s="256">
        <f>POAI!AD326</f>
        <v>104000000</v>
      </c>
      <c r="G137" s="241"/>
      <c r="H137" s="257"/>
      <c r="I137" s="258"/>
    </row>
    <row r="138" spans="1:16" s="11" customFormat="1" x14ac:dyDescent="0.2">
      <c r="A138" s="86"/>
      <c r="B138" s="87"/>
      <c r="C138" s="87"/>
      <c r="D138" s="87"/>
      <c r="E138" s="88"/>
      <c r="F138" s="88"/>
      <c r="G138" s="88"/>
      <c r="H138" s="88"/>
      <c r="I138" s="88"/>
      <c r="J138" s="98"/>
      <c r="K138" s="18"/>
      <c r="L138" s="18"/>
      <c r="M138" s="18"/>
      <c r="N138" s="18"/>
      <c r="O138" s="18"/>
      <c r="P138" s="18"/>
    </row>
    <row r="139" spans="1:16" ht="30.75" customHeight="1" x14ac:dyDescent="0.2">
      <c r="A139" s="56" t="s">
        <v>830</v>
      </c>
      <c r="B139" s="57"/>
      <c r="C139" s="57"/>
      <c r="D139" s="57"/>
      <c r="E139" s="58"/>
      <c r="F139" s="58"/>
      <c r="G139" s="58"/>
      <c r="H139" s="58"/>
      <c r="I139" s="58">
        <f>H140</f>
        <v>46024178134</v>
      </c>
    </row>
    <row r="140" spans="1:16" ht="28.5" customHeight="1" x14ac:dyDescent="0.2">
      <c r="A140" s="61"/>
      <c r="B140" s="60">
        <f>POAI!B333</f>
        <v>1</v>
      </c>
      <c r="C140" s="74" t="str">
        <f>POAI!C333</f>
        <v xml:space="preserve">INCLUSIÓN SOCIAL Y EQUIDAD </v>
      </c>
      <c r="D140" s="74"/>
      <c r="E140" s="74"/>
      <c r="F140" s="74"/>
      <c r="G140" s="74"/>
      <c r="H140" s="75">
        <f>G141</f>
        <v>46024178134</v>
      </c>
      <c r="I140" s="74"/>
    </row>
    <row r="141" spans="1:16" ht="25.5" customHeight="1" x14ac:dyDescent="0.2">
      <c r="A141" s="61"/>
      <c r="B141" s="81"/>
      <c r="C141" s="157">
        <f>POAI!C334</f>
        <v>19</v>
      </c>
      <c r="D141" s="153" t="str">
        <f>POAI!D334</f>
        <v>Salud y protección social</v>
      </c>
      <c r="E141" s="160"/>
      <c r="F141" s="160"/>
      <c r="G141" s="163">
        <f>SUM(F142:F144)</f>
        <v>46024178134</v>
      </c>
      <c r="H141" s="161"/>
      <c r="I141" s="160"/>
    </row>
    <row r="142" spans="1:16" s="82" customFormat="1" ht="35.25" customHeight="1" x14ac:dyDescent="0.2">
      <c r="A142" s="80"/>
      <c r="B142" s="81"/>
      <c r="C142" s="81"/>
      <c r="D142" s="81">
        <f>POAI!E335</f>
        <v>1903</v>
      </c>
      <c r="E142" s="162" t="str">
        <f>POAI!F335</f>
        <v xml:space="preserve">Inspección, vigilancia y control. "Tú y yo con salud certificada" </v>
      </c>
      <c r="F142" s="77">
        <f>POAI!AD335</f>
        <v>2487272453</v>
      </c>
      <c r="G142" s="77"/>
      <c r="H142" s="77"/>
      <c r="I142" s="77"/>
      <c r="J142" s="97"/>
    </row>
    <row r="143" spans="1:16" s="82" customFormat="1" ht="31.5" customHeight="1" x14ac:dyDescent="0.2">
      <c r="A143" s="80"/>
      <c r="B143" s="81"/>
      <c r="C143" s="81"/>
      <c r="D143" s="81">
        <f>POAI!E358</f>
        <v>1905</v>
      </c>
      <c r="E143" s="162" t="str">
        <f>POAI!F358</f>
        <v>Salud Pública, "Tú y yo con salud de calidad"</v>
      </c>
      <c r="F143" s="77">
        <f>POAI!AD358</f>
        <v>4169118457</v>
      </c>
      <c r="G143" s="77"/>
      <c r="H143" s="77"/>
      <c r="I143" s="77"/>
      <c r="J143" s="97"/>
    </row>
    <row r="144" spans="1:16" s="82" customFormat="1" ht="57.75" customHeight="1" x14ac:dyDescent="0.2">
      <c r="A144" s="80"/>
      <c r="B144" s="81"/>
      <c r="C144" s="81"/>
      <c r="D144" s="81">
        <f>POAI!E388</f>
        <v>1906</v>
      </c>
      <c r="E144" s="162" t="str">
        <f>POAI!F388</f>
        <v>Aseguramiento y Prestación integral de servicios de salud "Tú y yo con servicios de salud"</v>
      </c>
      <c r="F144" s="77">
        <f>POAI!AD388</f>
        <v>39367787224</v>
      </c>
      <c r="G144" s="77"/>
      <c r="H144" s="77"/>
      <c r="I144" s="77"/>
      <c r="J144" s="97"/>
    </row>
    <row r="145" spans="1:16" s="11" customFormat="1" x14ac:dyDescent="0.2">
      <c r="A145" s="86"/>
      <c r="B145" s="87"/>
      <c r="C145" s="87"/>
      <c r="D145" s="87"/>
      <c r="E145" s="88"/>
      <c r="F145" s="88"/>
      <c r="G145" s="88"/>
      <c r="H145" s="88"/>
      <c r="I145" s="88"/>
      <c r="J145" s="98"/>
      <c r="K145" s="18"/>
      <c r="L145" s="18"/>
      <c r="M145" s="18"/>
      <c r="N145" s="18"/>
      <c r="O145" s="18"/>
      <c r="P145" s="18"/>
    </row>
    <row r="146" spans="1:16" s="9" customFormat="1" ht="29.25" customHeight="1" x14ac:dyDescent="0.25">
      <c r="A146" s="56" t="s">
        <v>1018</v>
      </c>
      <c r="B146" s="57"/>
      <c r="C146" s="57"/>
      <c r="D146" s="57"/>
      <c r="E146" s="58"/>
      <c r="F146" s="58"/>
      <c r="G146" s="58"/>
      <c r="H146" s="58"/>
      <c r="I146" s="58">
        <f>SUM(H147:H155)</f>
        <v>896000000</v>
      </c>
      <c r="J146" s="8"/>
      <c r="K146" s="8"/>
      <c r="L146" s="8"/>
      <c r="M146" s="8"/>
      <c r="N146" s="8"/>
      <c r="O146" s="8"/>
      <c r="P146" s="8"/>
    </row>
    <row r="147" spans="1:16" s="9" customFormat="1" ht="25.5" customHeight="1" x14ac:dyDescent="0.25">
      <c r="A147" s="59"/>
      <c r="B147" s="60">
        <f>POAI!B401</f>
        <v>1</v>
      </c>
      <c r="C147" s="74" t="str">
        <f>POAI!C401</f>
        <v xml:space="preserve">INCLUSIÓN SOCIAL Y EQUIDAD </v>
      </c>
      <c r="D147" s="74"/>
      <c r="E147" s="74"/>
      <c r="F147" s="74"/>
      <c r="G147" s="74"/>
      <c r="H147" s="75">
        <f>G148</f>
        <v>520000000</v>
      </c>
      <c r="I147" s="74"/>
      <c r="J147" s="8"/>
      <c r="K147" s="8"/>
      <c r="L147" s="8"/>
      <c r="M147" s="8"/>
      <c r="N147" s="8"/>
      <c r="O147" s="8"/>
      <c r="P147" s="8"/>
    </row>
    <row r="148" spans="1:16" ht="25.5" customHeight="1" x14ac:dyDescent="0.2">
      <c r="A148" s="61"/>
      <c r="B148" s="81"/>
      <c r="C148" s="157">
        <f>POAI!C402</f>
        <v>23</v>
      </c>
      <c r="D148" s="153" t="str">
        <f>POAI!D402</f>
        <v>Tecnologías de la información y las comunicaciones</v>
      </c>
      <c r="E148" s="160"/>
      <c r="F148" s="160"/>
      <c r="G148" s="163">
        <f>SUM(F149:F150)</f>
        <v>520000000</v>
      </c>
      <c r="H148" s="161"/>
      <c r="I148" s="160"/>
    </row>
    <row r="149" spans="1:16" s="92" customFormat="1" ht="75.75" customHeight="1" x14ac:dyDescent="0.25">
      <c r="A149" s="78"/>
      <c r="B149" s="81"/>
      <c r="C149" s="81"/>
      <c r="D149" s="76">
        <f>POAI!E403</f>
        <v>2301</v>
      </c>
      <c r="E149" s="162" t="str">
        <f>POAI!F403</f>
        <v>Facilitar en acceso y uso de las Tecnologías de la Información y las Comunicaciones (TIC)  en todo el territorio nacional.  "Tú y yo somos ciudadanos TIC"</v>
      </c>
      <c r="F149" s="77">
        <f>POAI!AD403</f>
        <v>374000000</v>
      </c>
      <c r="G149" s="77"/>
      <c r="H149" s="77"/>
      <c r="I149" s="77"/>
    </row>
    <row r="150" spans="1:16" s="92" customFormat="1" ht="76.5" customHeight="1" x14ac:dyDescent="0.25">
      <c r="A150" s="78"/>
      <c r="B150" s="81"/>
      <c r="C150" s="81"/>
      <c r="D150" s="76">
        <f>POAI!E413</f>
        <v>2302</v>
      </c>
      <c r="E150" s="162" t="str">
        <f>POAI!F413</f>
        <v>Fomento del desarrollo de aplicaciones, software y contenidos para impulsar la apropiación de las Tecnologías de la Información y las Comunicaciones (TIC) "Quindío paraiso empresarial TIC-Quindío TIC"</v>
      </c>
      <c r="F150" s="77">
        <f>POAI!AD413</f>
        <v>146000000</v>
      </c>
      <c r="G150" s="77"/>
      <c r="H150" s="77"/>
      <c r="I150" s="77"/>
    </row>
    <row r="151" spans="1:16" s="9" customFormat="1" ht="26.25" customHeight="1" x14ac:dyDescent="0.25">
      <c r="A151" s="59"/>
      <c r="B151" s="60">
        <f>POAI!B419</f>
        <v>2</v>
      </c>
      <c r="C151" s="74" t="str">
        <f>POAI!C419</f>
        <v>PRODUCTIVIDAD Y COMPETITIVIDAD</v>
      </c>
      <c r="D151" s="74"/>
      <c r="E151" s="74"/>
      <c r="F151" s="74"/>
      <c r="G151" s="74"/>
      <c r="H151" s="75">
        <f>G152</f>
        <v>78000000</v>
      </c>
      <c r="I151" s="74"/>
      <c r="J151" s="8"/>
      <c r="K151" s="8"/>
      <c r="L151" s="8"/>
      <c r="M151" s="8"/>
      <c r="N151" s="8"/>
      <c r="O151" s="8"/>
      <c r="P151" s="8"/>
    </row>
    <row r="152" spans="1:16" ht="25.5" customHeight="1" x14ac:dyDescent="0.2">
      <c r="A152" s="61"/>
      <c r="B152" s="81"/>
      <c r="C152" s="157">
        <f>POAI!C420</f>
        <v>39</v>
      </c>
      <c r="D152" s="153" t="str">
        <f>POAI!D420</f>
        <v>Ciencia, Tecnolgía e Innovación</v>
      </c>
      <c r="E152" s="160"/>
      <c r="F152" s="160"/>
      <c r="G152" s="163">
        <f>SUM(F153:F154)</f>
        <v>78000000</v>
      </c>
      <c r="H152" s="161"/>
      <c r="I152" s="160"/>
    </row>
    <row r="153" spans="1:16" s="92" customFormat="1" ht="44.25" customHeight="1" x14ac:dyDescent="0.25">
      <c r="A153" s="78"/>
      <c r="B153" s="81"/>
      <c r="C153" s="81"/>
      <c r="D153" s="76" t="str">
        <f>POAI!E421</f>
        <v>3903</v>
      </c>
      <c r="E153" s="604" t="str">
        <f>POAI!F421</f>
        <v xml:space="preserve">Desarrollo tecnológico e innovación para el crecimiento empresarial </v>
      </c>
      <c r="F153" s="77">
        <f>POAI!AD421</f>
        <v>60000000</v>
      </c>
      <c r="G153" s="77"/>
      <c r="H153" s="77"/>
      <c r="I153" s="77"/>
    </row>
    <row r="154" spans="1:16" s="92" customFormat="1" ht="44.25" customHeight="1" x14ac:dyDescent="0.25">
      <c r="A154" s="78"/>
      <c r="B154" s="81"/>
      <c r="C154" s="81"/>
      <c r="D154" s="76">
        <f>POAI!E425</f>
        <v>3904</v>
      </c>
      <c r="E154" s="604" t="str">
        <f>POAI!F425</f>
        <v>Generación de una cultura qué valora y gestiona en conocimiento y la innovación.</v>
      </c>
      <c r="F154" s="77">
        <f>POAI!AD425</f>
        <v>18000000</v>
      </c>
      <c r="G154" s="77"/>
      <c r="H154" s="77"/>
      <c r="I154" s="77"/>
    </row>
    <row r="155" spans="1:16" s="9" customFormat="1" ht="21" customHeight="1" x14ac:dyDescent="0.25">
      <c r="A155" s="59"/>
      <c r="B155" s="60">
        <f>POAI!B427</f>
        <v>4</v>
      </c>
      <c r="C155" s="74" t="str">
        <f>POAI!C427</f>
        <v xml:space="preserve">LIDERAZGO, GOBERNABILIDAD Y TRANSPARENCIA </v>
      </c>
      <c r="D155" s="74"/>
      <c r="E155" s="74"/>
      <c r="F155" s="74"/>
      <c r="G155" s="74"/>
      <c r="H155" s="75">
        <f>G156</f>
        <v>298000000</v>
      </c>
      <c r="I155" s="74"/>
      <c r="J155" s="8"/>
      <c r="K155" s="8"/>
      <c r="L155" s="8"/>
      <c r="M155" s="8"/>
      <c r="N155" s="8"/>
      <c r="O155" s="8"/>
      <c r="P155" s="8"/>
    </row>
    <row r="156" spans="1:16" ht="25.5" customHeight="1" x14ac:dyDescent="0.2">
      <c r="A156" s="61"/>
      <c r="B156" s="81"/>
      <c r="C156" s="157">
        <f>POAI!C428</f>
        <v>23</v>
      </c>
      <c r="D156" s="153" t="str">
        <f>POAI!D428</f>
        <v>Tecnologías de la información y las comunicaciones</v>
      </c>
      <c r="E156" s="153"/>
      <c r="F156" s="160"/>
      <c r="G156" s="163">
        <f>F157</f>
        <v>298000000</v>
      </c>
      <c r="H156" s="161"/>
      <c r="I156" s="160"/>
    </row>
    <row r="157" spans="1:16" s="92" customFormat="1" ht="99.75" customHeight="1" x14ac:dyDescent="0.25">
      <c r="A157" s="78"/>
      <c r="B157" s="81"/>
      <c r="C157" s="81"/>
      <c r="D157" s="76">
        <f>POAI!E429</f>
        <v>2302</v>
      </c>
      <c r="E157" s="162" t="str">
        <f>POAI!F429</f>
        <v>Fomento del desarrollo de aplicaciones, software y contenidos para impulsar la apropiación de las Tecnologías de la Información y las Comunicaciones (TIC) "Quindío paraiso empresarial TIC-Quindío TIC"</v>
      </c>
      <c r="F157" s="77">
        <f>POAI!AD429</f>
        <v>298000000</v>
      </c>
      <c r="G157" s="77"/>
      <c r="H157" s="77"/>
      <c r="I157" s="77"/>
    </row>
    <row r="158" spans="1:16" s="11" customFormat="1" ht="18.75" customHeight="1" x14ac:dyDescent="0.2">
      <c r="A158" s="86"/>
      <c r="B158" s="87"/>
      <c r="C158" s="87"/>
      <c r="D158" s="87"/>
      <c r="E158" s="88"/>
      <c r="F158" s="88"/>
      <c r="G158" s="88"/>
      <c r="H158" s="88"/>
      <c r="I158" s="88"/>
      <c r="J158" s="98"/>
      <c r="K158" s="18"/>
      <c r="L158" s="18"/>
      <c r="M158" s="18"/>
      <c r="N158" s="18"/>
      <c r="O158" s="18"/>
      <c r="P158" s="18"/>
    </row>
    <row r="159" spans="1:16" s="29" customFormat="1" ht="39" customHeight="1" x14ac:dyDescent="0.25">
      <c r="A159" s="100" t="s">
        <v>1089</v>
      </c>
      <c r="B159" s="101"/>
      <c r="C159" s="101"/>
      <c r="D159" s="100"/>
      <c r="E159" s="67"/>
      <c r="F159" s="96">
        <f>SUM(F7:F157)</f>
        <v>261618885573</v>
      </c>
      <c r="G159" s="96">
        <f>SUM(G7:G157)</f>
        <v>261618885573</v>
      </c>
      <c r="H159" s="96">
        <f>SUM(H7:H157)</f>
        <v>261618885573</v>
      </c>
      <c r="I159" s="96">
        <f>SUM(I7:I157)</f>
        <v>261618885573</v>
      </c>
      <c r="J159" s="8"/>
      <c r="K159" s="28"/>
      <c r="L159" s="28"/>
      <c r="M159" s="28"/>
      <c r="N159" s="28"/>
      <c r="O159" s="28"/>
      <c r="P159" s="28"/>
    </row>
    <row r="160" spans="1:16" s="11" customFormat="1" ht="29.25" customHeight="1" x14ac:dyDescent="0.2">
      <c r="A160" s="86"/>
      <c r="B160" s="87"/>
      <c r="C160" s="87"/>
      <c r="D160" s="87"/>
      <c r="E160" s="88"/>
      <c r="F160" s="88"/>
      <c r="G160" s="88"/>
      <c r="H160" s="88"/>
      <c r="I160" s="88"/>
      <c r="J160" s="98"/>
      <c r="K160" s="18"/>
      <c r="L160" s="18"/>
      <c r="M160" s="18"/>
      <c r="N160" s="18"/>
      <c r="O160" s="18"/>
      <c r="P160" s="18"/>
    </row>
    <row r="161" spans="1:16" ht="30.75" customHeight="1" x14ac:dyDescent="0.2">
      <c r="A161" s="56" t="s">
        <v>1090</v>
      </c>
      <c r="B161" s="57"/>
      <c r="C161" s="57"/>
      <c r="D161" s="57"/>
      <c r="E161" s="58"/>
      <c r="F161" s="58"/>
      <c r="G161" s="58"/>
      <c r="H161" s="58"/>
      <c r="I161" s="58">
        <f>H162</f>
        <v>3493730254.2199998</v>
      </c>
    </row>
    <row r="162" spans="1:16" ht="24" customHeight="1" x14ac:dyDescent="0.2">
      <c r="A162" s="61"/>
      <c r="B162" s="60">
        <f>POAI!B439</f>
        <v>1</v>
      </c>
      <c r="C162" s="74" t="str">
        <f>POAI!C439</f>
        <v xml:space="preserve">INCLUSIÓN SOCIAL Y EQUIDAD </v>
      </c>
      <c r="D162" s="74"/>
      <c r="E162" s="74"/>
      <c r="F162" s="74"/>
      <c r="G162" s="74"/>
      <c r="H162" s="75">
        <f>G163</f>
        <v>3493730254.2199998</v>
      </c>
      <c r="I162" s="74"/>
    </row>
    <row r="163" spans="1:16" ht="25.5" customHeight="1" x14ac:dyDescent="0.2">
      <c r="A163" s="61"/>
      <c r="B163" s="81"/>
      <c r="C163" s="157">
        <f>POAI!C440</f>
        <v>43</v>
      </c>
      <c r="D163" s="156" t="str">
        <f>POAI!D440</f>
        <v>Deporte y recreación</v>
      </c>
      <c r="E163" s="160"/>
      <c r="F163" s="160"/>
      <c r="G163" s="163">
        <f>SUM(F164:F165)</f>
        <v>3493730254.2199998</v>
      </c>
      <c r="H163" s="161"/>
      <c r="I163" s="160"/>
    </row>
    <row r="164" spans="1:16" s="82" customFormat="1" ht="76.5" customHeight="1" x14ac:dyDescent="0.2">
      <c r="A164" s="80"/>
      <c r="B164" s="81"/>
      <c r="C164" s="81"/>
      <c r="D164" s="81">
        <f>POAI!E441</f>
        <v>4301</v>
      </c>
      <c r="E164" s="614" t="str">
        <f>POAI!F441</f>
        <v>Fomento a la recreación, la actividad física y el deporte para desarrollar entornos de convivencia y paz "Tú y yo en la recreación y en deporte"</v>
      </c>
      <c r="F164" s="77">
        <f>POAI!AD441</f>
        <v>2486249518.2199998</v>
      </c>
      <c r="G164" s="77"/>
      <c r="H164" s="77"/>
      <c r="I164" s="77"/>
      <c r="J164" s="97"/>
    </row>
    <row r="165" spans="1:16" s="82" customFormat="1" ht="37.5" customHeight="1" x14ac:dyDescent="0.2">
      <c r="A165" s="80"/>
      <c r="B165" s="81"/>
      <c r="C165" s="81"/>
      <c r="D165" s="81">
        <f>POAI!E446</f>
        <v>4302</v>
      </c>
      <c r="E165" s="171" t="str">
        <f>POAI!F446</f>
        <v>Formación y preparación de deportistas. "Tú y yo campeones"</v>
      </c>
      <c r="F165" s="77">
        <f>POAI!AD446</f>
        <v>1007480736</v>
      </c>
      <c r="G165" s="77"/>
      <c r="H165" s="77"/>
      <c r="I165" s="77"/>
      <c r="J165" s="97"/>
    </row>
    <row r="166" spans="1:16" s="11" customFormat="1" ht="18.75" customHeight="1" x14ac:dyDescent="0.2">
      <c r="A166" s="86"/>
      <c r="B166" s="87"/>
      <c r="C166" s="87"/>
      <c r="D166" s="87"/>
      <c r="E166" s="88"/>
      <c r="F166" s="88"/>
      <c r="G166" s="88"/>
      <c r="H166" s="88"/>
      <c r="I166" s="88"/>
      <c r="J166" s="98"/>
      <c r="K166" s="18"/>
      <c r="L166" s="18"/>
      <c r="M166" s="18"/>
      <c r="N166" s="18"/>
      <c r="O166" s="18"/>
      <c r="P166" s="18"/>
    </row>
    <row r="167" spans="1:16" s="11" customFormat="1" ht="27.75" customHeight="1" x14ac:dyDescent="0.2">
      <c r="A167" s="56" t="s">
        <v>1110</v>
      </c>
      <c r="B167" s="57"/>
      <c r="C167" s="57"/>
      <c r="D167" s="57"/>
      <c r="E167" s="58"/>
      <c r="F167" s="58"/>
      <c r="G167" s="58"/>
      <c r="H167" s="58"/>
      <c r="I167" s="58">
        <f>SUM(H168:H177)</f>
        <v>2024983199</v>
      </c>
      <c r="J167" s="98"/>
      <c r="K167" s="18"/>
      <c r="L167" s="18"/>
      <c r="M167" s="18"/>
      <c r="N167" s="18"/>
      <c r="O167" s="18"/>
      <c r="P167" s="18"/>
    </row>
    <row r="168" spans="1:16" s="11" customFormat="1" ht="24" customHeight="1" x14ac:dyDescent="0.2">
      <c r="A168" s="63"/>
      <c r="B168" s="60">
        <f>POAI!B451</f>
        <v>1</v>
      </c>
      <c r="C168" s="74" t="str">
        <f>POAI!C451</f>
        <v xml:space="preserve">INCLUSIÓN SOCIAL Y EQUIDAD </v>
      </c>
      <c r="D168" s="74"/>
      <c r="E168" s="74"/>
      <c r="F168" s="74"/>
      <c r="G168" s="74"/>
      <c r="H168" s="75">
        <f>G169+G171</f>
        <v>616604845.79999995</v>
      </c>
      <c r="I168" s="74"/>
      <c r="J168" s="98"/>
      <c r="K168" s="18"/>
      <c r="L168" s="18"/>
      <c r="M168" s="18"/>
      <c r="N168" s="18"/>
      <c r="O168" s="18"/>
      <c r="P168" s="18"/>
    </row>
    <row r="169" spans="1:16" ht="25.5" customHeight="1" x14ac:dyDescent="0.2">
      <c r="A169" s="61"/>
      <c r="B169" s="81"/>
      <c r="C169" s="170">
        <f>POAI!C452</f>
        <v>43</v>
      </c>
      <c r="D169" s="662" t="str">
        <f>POAI!D452</f>
        <v>Deporte y recreación</v>
      </c>
      <c r="E169" s="160"/>
      <c r="F169" s="160"/>
      <c r="G169" s="163">
        <f>F170</f>
        <v>308302422.89999998</v>
      </c>
      <c r="H169" s="161"/>
      <c r="I169" s="160"/>
    </row>
    <row r="170" spans="1:16" s="95" customFormat="1" ht="76.5" customHeight="1" x14ac:dyDescent="0.2">
      <c r="A170" s="93"/>
      <c r="B170" s="76"/>
      <c r="C170" s="76"/>
      <c r="D170" s="81">
        <f>POAI!E453</f>
        <v>4301</v>
      </c>
      <c r="E170" s="604" t="str">
        <f>POAI!F453</f>
        <v>Fomento a la recreación, la actividad física y el deporte para desarrollar entornos de convivencia y paz "Tú y yo en la recreación y en deporte"</v>
      </c>
      <c r="F170" s="77">
        <f>POAI!AD453</f>
        <v>308302422.89999998</v>
      </c>
      <c r="G170" s="77"/>
      <c r="H170" s="77"/>
      <c r="I170" s="77"/>
      <c r="J170" s="99"/>
    </row>
    <row r="171" spans="1:16" ht="25.5" customHeight="1" x14ac:dyDescent="0.2">
      <c r="A171" s="61"/>
      <c r="B171" s="81"/>
      <c r="C171" s="170">
        <f>POAI!C455</f>
        <v>22</v>
      </c>
      <c r="D171" s="169" t="str">
        <f>POAI!D455</f>
        <v>Educación</v>
      </c>
      <c r="E171" s="160"/>
      <c r="F171" s="160"/>
      <c r="G171" s="163">
        <f>F172</f>
        <v>308302422.89999998</v>
      </c>
      <c r="H171" s="161"/>
      <c r="I171" s="160"/>
    </row>
    <row r="172" spans="1:16" s="95" customFormat="1" ht="53.25" customHeight="1" x14ac:dyDescent="0.2">
      <c r="A172" s="93"/>
      <c r="B172" s="76"/>
      <c r="C172" s="76"/>
      <c r="D172" s="81">
        <f>POAI!E456</f>
        <v>2201</v>
      </c>
      <c r="E172" s="162" t="str">
        <f>POAI!F456</f>
        <v>Calidad, cobertura y fortalecimiento de la educación inicial, prescolar, básica y media." Tú y yo con educación y de calidad"</v>
      </c>
      <c r="F172" s="77">
        <f>POAI!AD456</f>
        <v>308302422.89999998</v>
      </c>
      <c r="G172" s="77"/>
      <c r="H172" s="77"/>
      <c r="I172" s="77"/>
      <c r="J172" s="99"/>
    </row>
    <row r="173" spans="1:16" s="11" customFormat="1" ht="21" customHeight="1" x14ac:dyDescent="0.2">
      <c r="A173" s="63"/>
      <c r="B173" s="60">
        <f>POAI!B458</f>
        <v>3</v>
      </c>
      <c r="C173" s="74" t="str">
        <f>POAI!C458</f>
        <v xml:space="preserve">TERRITORIO, AMBIENTE Y DESARROLLO SOSTENIBLE </v>
      </c>
      <c r="D173" s="74"/>
      <c r="E173" s="74"/>
      <c r="F173" s="74"/>
      <c r="G173" s="74"/>
      <c r="H173" s="75">
        <f>G174+G176</f>
        <v>1408378353.2</v>
      </c>
      <c r="I173" s="74"/>
      <c r="J173" s="98"/>
      <c r="K173" s="18"/>
      <c r="L173" s="18"/>
      <c r="M173" s="18"/>
      <c r="N173" s="18"/>
      <c r="O173" s="18"/>
      <c r="P173" s="18"/>
    </row>
    <row r="174" spans="1:16" ht="25.5" customHeight="1" x14ac:dyDescent="0.2">
      <c r="A174" s="61"/>
      <c r="B174" s="81"/>
      <c r="C174" s="170">
        <f>POAI!C459</f>
        <v>24</v>
      </c>
      <c r="D174" s="169" t="str">
        <f>POAI!D459</f>
        <v>Transporte</v>
      </c>
      <c r="E174" s="165"/>
      <c r="F174" s="160"/>
      <c r="G174" s="163">
        <f>F175</f>
        <v>199461691.20000002</v>
      </c>
      <c r="H174" s="161"/>
      <c r="I174" s="160"/>
    </row>
    <row r="175" spans="1:16" s="11" customFormat="1" ht="42" customHeight="1" x14ac:dyDescent="0.2">
      <c r="A175" s="63"/>
      <c r="B175" s="65"/>
      <c r="C175" s="65"/>
      <c r="D175" s="81">
        <f>POAI!E460</f>
        <v>2402</v>
      </c>
      <c r="E175" s="167" t="str">
        <f>POAI!F460</f>
        <v>Infraestructura red vial regional. "Tú y yo con movilidad vial"</v>
      </c>
      <c r="F175" s="66">
        <f>POAI!AD460</f>
        <v>199461691.20000002</v>
      </c>
      <c r="G175" s="66"/>
      <c r="H175" s="102"/>
      <c r="I175" s="102"/>
      <c r="J175" s="98"/>
      <c r="K175" s="18"/>
      <c r="L175" s="18"/>
      <c r="M175" s="18"/>
      <c r="N175" s="18"/>
      <c r="O175" s="18"/>
      <c r="P175" s="18"/>
    </row>
    <row r="176" spans="1:16" ht="25.5" customHeight="1" x14ac:dyDescent="0.2">
      <c r="A176" s="61"/>
      <c r="B176" s="81"/>
      <c r="C176" s="170">
        <f>POAI!C462</f>
        <v>40</v>
      </c>
      <c r="D176" s="662" t="str">
        <f>POAI!D462</f>
        <v>Vivienda, Ciudad y Territorio</v>
      </c>
      <c r="E176" s="165"/>
      <c r="F176" s="160"/>
      <c r="G176" s="163">
        <f>F177</f>
        <v>1208916662</v>
      </c>
      <c r="H176" s="161"/>
      <c r="I176" s="160"/>
    </row>
    <row r="177" spans="1:16" s="11" customFormat="1" ht="44.25" customHeight="1" x14ac:dyDescent="0.2">
      <c r="A177" s="63"/>
      <c r="B177" s="65"/>
      <c r="C177" s="65"/>
      <c r="D177" s="81">
        <f>POAI!E463</f>
        <v>4001</v>
      </c>
      <c r="E177" s="168" t="str">
        <f>POAI!F463</f>
        <v>Acceso a soluciones de vivienda. "Tú y yo con vivienda digna"</v>
      </c>
      <c r="F177" s="66">
        <f>POAI!AD463</f>
        <v>1208916662</v>
      </c>
      <c r="G177" s="66"/>
      <c r="H177" s="102"/>
      <c r="I177" s="102"/>
      <c r="J177" s="98"/>
      <c r="K177" s="18"/>
      <c r="L177" s="18"/>
      <c r="M177" s="18"/>
      <c r="N177" s="18"/>
      <c r="O177" s="18"/>
      <c r="P177" s="18"/>
    </row>
    <row r="178" spans="1:16" s="11" customFormat="1" ht="18.75" customHeight="1" x14ac:dyDescent="0.2">
      <c r="A178" s="86"/>
      <c r="B178" s="87"/>
      <c r="C178" s="87"/>
      <c r="D178" s="87"/>
      <c r="E178" s="88"/>
      <c r="F178" s="88"/>
      <c r="G178" s="88"/>
      <c r="H178" s="88"/>
      <c r="I178" s="88"/>
      <c r="J178" s="98"/>
      <c r="K178" s="18"/>
      <c r="L178" s="18"/>
      <c r="M178" s="18"/>
      <c r="N178" s="18"/>
      <c r="O178" s="18"/>
      <c r="P178" s="18"/>
    </row>
    <row r="179" spans="1:16" ht="25.5" customHeight="1" x14ac:dyDescent="0.2">
      <c r="A179" s="56" t="s">
        <v>1136</v>
      </c>
      <c r="B179" s="57"/>
      <c r="C179" s="57"/>
      <c r="D179" s="57"/>
      <c r="E179" s="58"/>
      <c r="F179" s="58"/>
      <c r="G179" s="58"/>
      <c r="H179" s="58"/>
      <c r="I179" s="58">
        <f>H180</f>
        <v>110210000</v>
      </c>
    </row>
    <row r="180" spans="1:16" ht="24" customHeight="1" x14ac:dyDescent="0.2">
      <c r="A180" s="61"/>
      <c r="B180" s="60">
        <f>POAI!B473</f>
        <v>3</v>
      </c>
      <c r="C180" s="74" t="str">
        <f>POAI!C473</f>
        <v xml:space="preserve">TERRITORIO, AMBIENTE Y DESARROLLO SOSTENIBLE </v>
      </c>
      <c r="D180" s="74"/>
      <c r="E180" s="74"/>
      <c r="F180" s="74"/>
      <c r="G180" s="74"/>
      <c r="H180" s="75">
        <f>G181</f>
        <v>110210000</v>
      </c>
      <c r="I180" s="74"/>
    </row>
    <row r="181" spans="1:16" ht="25.5" customHeight="1" x14ac:dyDescent="0.2">
      <c r="A181" s="61"/>
      <c r="B181" s="81"/>
      <c r="C181" s="157">
        <f>POAI!C474</f>
        <v>24</v>
      </c>
      <c r="D181" s="164" t="str">
        <f>POAI!D474</f>
        <v>Transporte</v>
      </c>
      <c r="E181" s="165"/>
      <c r="F181" s="160"/>
      <c r="G181" s="163">
        <f>F182</f>
        <v>110210000</v>
      </c>
      <c r="H181" s="161"/>
      <c r="I181" s="160"/>
    </row>
    <row r="182" spans="1:16" s="82" customFormat="1" ht="54" customHeight="1" x14ac:dyDescent="0.2">
      <c r="A182" s="80"/>
      <c r="B182" s="81"/>
      <c r="C182" s="81"/>
      <c r="D182" s="81">
        <f>POAI!E475</f>
        <v>2409</v>
      </c>
      <c r="E182" s="162" t="str">
        <f>POAI!F475</f>
        <v>Seguridad de Transporte. "Tú y yo seguros en la vía"</v>
      </c>
      <c r="F182" s="77">
        <f>POAI!AD472</f>
        <v>110210000</v>
      </c>
      <c r="G182" s="77"/>
      <c r="H182" s="77"/>
      <c r="I182" s="77"/>
      <c r="J182" s="97"/>
    </row>
    <row r="183" spans="1:16" s="103" customFormat="1" ht="23.25" customHeight="1" x14ac:dyDescent="0.2">
      <c r="A183" s="104"/>
      <c r="B183" s="105"/>
      <c r="C183" s="105"/>
      <c r="D183" s="105"/>
      <c r="E183" s="106"/>
      <c r="F183" s="106"/>
      <c r="G183" s="106"/>
      <c r="H183" s="106"/>
      <c r="I183" s="106"/>
      <c r="J183" s="107"/>
      <c r="K183" s="108"/>
      <c r="L183" s="108"/>
      <c r="M183" s="108"/>
      <c r="N183" s="108"/>
      <c r="O183" s="108"/>
      <c r="P183" s="108"/>
    </row>
    <row r="184" spans="1:16" s="30" customFormat="1" ht="26.25" customHeight="1" x14ac:dyDescent="0.25">
      <c r="A184" s="100" t="s">
        <v>1147</v>
      </c>
      <c r="B184" s="100"/>
      <c r="C184" s="100"/>
      <c r="D184" s="100"/>
      <c r="E184" s="100"/>
      <c r="F184" s="109">
        <f>SUM(F161:F182)</f>
        <v>5628923453.2200003</v>
      </c>
      <c r="G184" s="109">
        <f>SUM(G161:G182)</f>
        <v>5628923453.2200003</v>
      </c>
      <c r="H184" s="110">
        <f>SUM(H161:H182)</f>
        <v>5628923453.2199993</v>
      </c>
      <c r="I184" s="110">
        <f>SUM(I161:I182)</f>
        <v>5628923453.2199993</v>
      </c>
      <c r="J184" s="8"/>
      <c r="K184" s="28"/>
      <c r="L184" s="28"/>
      <c r="M184" s="28"/>
      <c r="N184" s="28"/>
      <c r="O184" s="28"/>
      <c r="P184" s="28"/>
    </row>
    <row r="185" spans="1:16" s="41" customFormat="1" ht="16.5" thickBot="1" x14ac:dyDescent="0.3">
      <c r="A185" s="37"/>
      <c r="B185" s="38"/>
      <c r="C185" s="38"/>
      <c r="D185" s="38"/>
      <c r="E185" s="39"/>
      <c r="F185" s="39"/>
      <c r="G185" s="39"/>
      <c r="H185" s="39"/>
      <c r="I185" s="39"/>
      <c r="J185" s="92"/>
    </row>
    <row r="186" spans="1:16" s="633" customFormat="1" ht="27" customHeight="1" thickBot="1" x14ac:dyDescent="0.3">
      <c r="A186" s="634" t="s">
        <v>1148</v>
      </c>
      <c r="B186" s="635"/>
      <c r="C186" s="635"/>
      <c r="D186" s="635"/>
      <c r="E186" s="636"/>
      <c r="F186" s="637">
        <f>F159+F184</f>
        <v>267247809026.22</v>
      </c>
      <c r="G186" s="637">
        <f>G159+G184</f>
        <v>267247809026.22</v>
      </c>
      <c r="H186" s="637">
        <f>H159+H184</f>
        <v>267247809026.22</v>
      </c>
      <c r="I186" s="638">
        <f>I159+I184</f>
        <v>267247809026.22</v>
      </c>
      <c r="J186" s="8"/>
      <c r="K186" s="28"/>
      <c r="L186" s="28"/>
      <c r="M186" s="28"/>
      <c r="N186" s="28"/>
      <c r="O186" s="28"/>
      <c r="P186" s="28"/>
    </row>
  </sheetData>
  <sheetProtection algorithmName="SHA-512" hashValue="PA0jlyXbShneDJUNTrWvbGytyOhF0AJqLIC9hs4PH5hQ6EFZLgSU2GqWnfzhXlNQZ/WS6HNa8LreFU7NDFAq+Q==" saltValue="zd+41KaVtoLTlIcZfyBI+A==" spinCount="100000" sheet="1" objects="1" scenarios="1"/>
  <mergeCells count="3">
    <mergeCell ref="A1:I3"/>
    <mergeCell ref="F5:I5"/>
    <mergeCell ref="D5:E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2"/>
  <sheetViews>
    <sheetView showGridLines="0" zoomScale="60" zoomScaleNormal="60" workbookViewId="0">
      <selection sqref="A1:F3"/>
    </sheetView>
  </sheetViews>
  <sheetFormatPr baseColWidth="10" defaultColWidth="11.42578125" defaultRowHeight="15" x14ac:dyDescent="0.2"/>
  <cols>
    <col min="1" max="1" width="15.85546875" style="1" customWidth="1"/>
    <col min="2" max="2" width="18.5703125" style="13" customWidth="1"/>
    <col min="3" max="3" width="13.85546875" style="13" customWidth="1"/>
    <col min="4" max="4" width="15" style="13" customWidth="1"/>
    <col min="5" max="5" width="70.7109375" style="14" customWidth="1"/>
    <col min="6" max="6" width="35.85546875" style="14" customWidth="1"/>
    <col min="7" max="7" width="35.140625" style="21" customWidth="1"/>
    <col min="8" max="8" width="33.5703125" style="4" customWidth="1"/>
    <col min="9" max="9" width="36.28515625" style="4" customWidth="1"/>
    <col min="10" max="10" width="32.140625" style="4" customWidth="1"/>
    <col min="11" max="11" width="33.140625" style="4" customWidth="1"/>
    <col min="12" max="12" width="25.42578125" style="117" customWidth="1"/>
    <col min="13" max="13" width="28.85546875" style="1" customWidth="1"/>
    <col min="14" max="14" width="27.140625" style="1" customWidth="1"/>
    <col min="15" max="15" width="26.42578125" style="1" customWidth="1"/>
    <col min="16" max="16" width="25.5703125" style="1" customWidth="1"/>
    <col min="17" max="17" width="24.28515625" style="1" customWidth="1"/>
    <col min="18" max="18" width="26.140625" style="1" customWidth="1"/>
    <col min="19" max="16384" width="11.42578125" style="1"/>
  </cols>
  <sheetData>
    <row r="1" spans="1:12" ht="42" customHeight="1" x14ac:dyDescent="0.2">
      <c r="A1" s="776" t="s">
        <v>1265</v>
      </c>
      <c r="B1" s="776"/>
      <c r="C1" s="776"/>
      <c r="D1" s="776"/>
      <c r="E1" s="776"/>
      <c r="F1" s="776"/>
      <c r="G1" s="613"/>
      <c r="H1" s="613"/>
    </row>
    <row r="2" spans="1:12" ht="27.75" customHeight="1" x14ac:dyDescent="0.2">
      <c r="A2" s="776"/>
      <c r="B2" s="776"/>
      <c r="C2" s="776"/>
      <c r="D2" s="776"/>
      <c r="E2" s="776"/>
      <c r="F2" s="776"/>
      <c r="G2" s="613"/>
      <c r="H2" s="613"/>
    </row>
    <row r="3" spans="1:12" ht="27.75" customHeight="1" x14ac:dyDescent="0.2">
      <c r="A3" s="776"/>
      <c r="B3" s="776"/>
      <c r="C3" s="776"/>
      <c r="D3" s="776"/>
      <c r="E3" s="776"/>
      <c r="F3" s="776"/>
      <c r="G3" s="613"/>
      <c r="H3" s="613"/>
    </row>
    <row r="4" spans="1:12" ht="24.75" customHeight="1" x14ac:dyDescent="0.2">
      <c r="B4" s="35"/>
      <c r="C4" s="36"/>
      <c r="D4" s="36"/>
      <c r="E4" s="36"/>
      <c r="F4" s="36"/>
    </row>
    <row r="5" spans="1:12" s="7" customFormat="1" ht="36" customHeight="1" x14ac:dyDescent="0.25">
      <c r="A5" s="48" t="s">
        <v>7</v>
      </c>
      <c r="B5" s="48" t="s">
        <v>8</v>
      </c>
      <c r="C5" s="639" t="s">
        <v>1293</v>
      </c>
      <c r="D5" s="112" t="s">
        <v>1149</v>
      </c>
      <c r="E5" s="132" t="s">
        <v>10</v>
      </c>
      <c r="F5" s="49" t="s">
        <v>1151</v>
      </c>
      <c r="G5" s="6"/>
      <c r="H5" s="6"/>
      <c r="I5" s="6"/>
      <c r="J5" s="6"/>
      <c r="K5" s="6"/>
      <c r="L5" s="118"/>
    </row>
    <row r="6" spans="1:12" s="9" customFormat="1" ht="26.25" customHeight="1" x14ac:dyDescent="0.25">
      <c r="A6" s="55" t="s">
        <v>36</v>
      </c>
      <c r="B6" s="57"/>
      <c r="C6" s="57"/>
      <c r="D6" s="57"/>
      <c r="E6" s="58"/>
      <c r="F6" s="85">
        <f>F7</f>
        <v>176000000</v>
      </c>
      <c r="G6" s="8"/>
      <c r="H6" s="8"/>
      <c r="I6" s="8"/>
      <c r="J6" s="8"/>
      <c r="K6" s="8"/>
      <c r="L6" s="119"/>
    </row>
    <row r="7" spans="1:12" s="9" customFormat="1" ht="21.75" customHeight="1" x14ac:dyDescent="0.25">
      <c r="A7" s="59"/>
      <c r="B7" s="60">
        <f>POAI!B8</f>
        <v>4</v>
      </c>
      <c r="C7" s="74" t="str">
        <f>POAI!C8</f>
        <v xml:space="preserve">LIDERAZGO, GOBERNABILIDAD Y TRANSPARENCIA </v>
      </c>
      <c r="D7" s="74"/>
      <c r="E7" s="74"/>
      <c r="F7" s="75">
        <f>F8</f>
        <v>176000000</v>
      </c>
      <c r="G7" s="8"/>
      <c r="H7" s="8"/>
      <c r="I7" s="8"/>
      <c r="J7" s="8"/>
      <c r="K7" s="8"/>
      <c r="L7" s="119"/>
    </row>
    <row r="8" spans="1:12" s="9" customFormat="1" ht="21.75" customHeight="1" x14ac:dyDescent="0.25">
      <c r="A8" s="59"/>
      <c r="B8" s="62"/>
      <c r="C8" s="157">
        <f>POAI!C9</f>
        <v>45</v>
      </c>
      <c r="D8" s="153" t="str">
        <f>POAI!D9</f>
        <v>Gobierno territorial</v>
      </c>
      <c r="E8" s="160"/>
      <c r="F8" s="163">
        <f>SUM(F9:F10)</f>
        <v>176000000</v>
      </c>
      <c r="G8" s="8"/>
      <c r="H8" s="8"/>
      <c r="I8" s="8"/>
      <c r="J8" s="8"/>
      <c r="K8" s="8"/>
      <c r="L8" s="119"/>
    </row>
    <row r="9" spans="1:12" ht="52.5" customHeight="1" x14ac:dyDescent="0.2">
      <c r="A9" s="61"/>
      <c r="B9" s="62"/>
      <c r="C9" s="62"/>
      <c r="D9" s="76">
        <f>POAI!E10</f>
        <v>4599</v>
      </c>
      <c r="E9" s="162" t="str">
        <f>POAI!F10</f>
        <v>Fortalecimiento a la gestión y dirección de la administración pública territorial "Quindío con una administración al servicio de la ciudadanía "</v>
      </c>
      <c r="F9" s="77">
        <f>POAI!AA10</f>
        <v>136000000</v>
      </c>
    </row>
    <row r="10" spans="1:12" ht="59.25" customHeight="1" x14ac:dyDescent="0.2">
      <c r="A10" s="61"/>
      <c r="B10" s="62"/>
      <c r="C10" s="62"/>
      <c r="D10" s="76">
        <f>POAI!E14</f>
        <v>4502</v>
      </c>
      <c r="E10" s="162" t="str">
        <f>POAI!F14</f>
        <v>Fortalecimiento del buen gobierno para el respeto y garantía de los derechos humanos. "Quindío integrado y participativo"</v>
      </c>
      <c r="F10" s="78">
        <f>POAI!AA14</f>
        <v>40000000</v>
      </c>
    </row>
    <row r="11" spans="1:12" ht="18" customHeight="1" x14ac:dyDescent="0.2">
      <c r="A11" s="86"/>
      <c r="B11" s="87"/>
      <c r="C11" s="87"/>
      <c r="D11" s="87"/>
      <c r="E11" s="176"/>
      <c r="F11" s="88"/>
    </row>
    <row r="12" spans="1:12" s="7" customFormat="1" ht="33" customHeight="1" x14ac:dyDescent="0.25">
      <c r="A12" s="48" t="s">
        <v>7</v>
      </c>
      <c r="B12" s="48" t="s">
        <v>8</v>
      </c>
      <c r="C12" s="639" t="s">
        <v>1293</v>
      </c>
      <c r="D12" s="112" t="s">
        <v>1149</v>
      </c>
      <c r="E12" s="132" t="s">
        <v>10</v>
      </c>
      <c r="F12" s="49" t="s">
        <v>1151</v>
      </c>
      <c r="G12" s="6"/>
      <c r="H12" s="6"/>
      <c r="I12" s="6"/>
      <c r="J12" s="6"/>
      <c r="K12" s="6"/>
      <c r="L12" s="118"/>
    </row>
    <row r="13" spans="1:12" s="9" customFormat="1" ht="30.75" customHeight="1" x14ac:dyDescent="0.25">
      <c r="A13" s="56" t="s">
        <v>65</v>
      </c>
      <c r="B13" s="57"/>
      <c r="C13" s="57"/>
      <c r="D13" s="57"/>
      <c r="E13" s="175"/>
      <c r="F13" s="85">
        <f>F14</f>
        <v>983000000</v>
      </c>
      <c r="G13" s="8"/>
      <c r="H13" s="8"/>
      <c r="I13" s="8"/>
      <c r="J13" s="8"/>
      <c r="K13" s="8"/>
      <c r="L13" s="119"/>
    </row>
    <row r="14" spans="1:12" ht="25.5" customHeight="1" x14ac:dyDescent="0.2">
      <c r="A14" s="61"/>
      <c r="B14" s="60">
        <f>POAI!B18</f>
        <v>4</v>
      </c>
      <c r="C14" s="74" t="str">
        <f>POAI!C18</f>
        <v xml:space="preserve">LIDERAZGO, GOBERNABILIDAD Y TRANSPARENCIA </v>
      </c>
      <c r="D14" s="74"/>
      <c r="E14" s="173"/>
      <c r="F14" s="75">
        <f>F15</f>
        <v>983000000</v>
      </c>
    </row>
    <row r="15" spans="1:12" ht="25.5" customHeight="1" x14ac:dyDescent="0.2">
      <c r="A15" s="61"/>
      <c r="B15" s="62"/>
      <c r="C15" s="157">
        <f>POAI!C19</f>
        <v>45</v>
      </c>
      <c r="D15" s="153" t="str">
        <f>POAI!D19</f>
        <v>Gobierno territorial</v>
      </c>
      <c r="E15" s="160"/>
      <c r="F15" s="163">
        <f>SUM(F16:F17)</f>
        <v>983000000</v>
      </c>
    </row>
    <row r="16" spans="1:12" s="82" customFormat="1" ht="58.5" customHeight="1" x14ac:dyDescent="0.2">
      <c r="A16" s="80"/>
      <c r="B16" s="81"/>
      <c r="C16" s="81"/>
      <c r="D16" s="76">
        <f>POAI!E20</f>
        <v>4502</v>
      </c>
      <c r="E16" s="162" t="str">
        <f>POAI!F20</f>
        <v>Fortalecimiento del buen gobierno para el respeto y garantía de los derechos humanos. "Quindío integrado y participativo"</v>
      </c>
      <c r="F16" s="77">
        <f>POAI!AA20</f>
        <v>175000000</v>
      </c>
      <c r="G16" s="97"/>
      <c r="L16" s="120"/>
    </row>
    <row r="17" spans="1:12" s="82" customFormat="1" ht="60.75" customHeight="1" x14ac:dyDescent="0.2">
      <c r="A17" s="80"/>
      <c r="B17" s="81"/>
      <c r="C17" s="81"/>
      <c r="D17" s="76">
        <f>POAI!E23</f>
        <v>4599</v>
      </c>
      <c r="E17" s="162" t="str">
        <f>POAI!F23</f>
        <v>Fortalecimiento a la gestión y dirección de la administración pública territorial "Quindío con una administración al servicio de la ciudadanía "</v>
      </c>
      <c r="F17" s="77">
        <f>POAI!AA23</f>
        <v>808000000</v>
      </c>
      <c r="G17" s="97"/>
      <c r="L17" s="120"/>
    </row>
    <row r="18" spans="1:12" ht="18" customHeight="1" x14ac:dyDescent="0.2">
      <c r="A18" s="86"/>
      <c r="B18" s="87"/>
      <c r="C18" s="87"/>
      <c r="D18" s="87"/>
      <c r="E18" s="176"/>
      <c r="F18" s="88"/>
    </row>
    <row r="19" spans="1:12" ht="31.5" customHeight="1" x14ac:dyDescent="0.2">
      <c r="A19" s="111" t="s">
        <v>7</v>
      </c>
      <c r="B19" s="112" t="s">
        <v>8</v>
      </c>
      <c r="C19" s="639" t="s">
        <v>1293</v>
      </c>
      <c r="D19" s="112" t="s">
        <v>1149</v>
      </c>
      <c r="E19" s="132" t="s">
        <v>10</v>
      </c>
      <c r="F19" s="113" t="s">
        <v>1151</v>
      </c>
      <c r="G19" s="115" t="s">
        <v>1152</v>
      </c>
      <c r="H19" s="114" t="s">
        <v>1153</v>
      </c>
    </row>
    <row r="20" spans="1:12" ht="31.5" customHeight="1" x14ac:dyDescent="0.2">
      <c r="A20" s="83" t="s">
        <v>109</v>
      </c>
      <c r="B20" s="84"/>
      <c r="C20" s="84"/>
      <c r="D20" s="84"/>
      <c r="E20" s="177"/>
      <c r="F20" s="85">
        <f t="shared" ref="F20:H21" si="0">F21</f>
        <v>1840000000</v>
      </c>
      <c r="G20" s="85">
        <f t="shared" si="0"/>
        <v>250000000</v>
      </c>
      <c r="H20" s="85">
        <f t="shared" si="0"/>
        <v>2090000000</v>
      </c>
    </row>
    <row r="21" spans="1:12" ht="24" customHeight="1" x14ac:dyDescent="0.2">
      <c r="A21" s="61"/>
      <c r="B21" s="60">
        <f>POAI!B36</f>
        <v>4</v>
      </c>
      <c r="C21" s="74" t="str">
        <f>POAI!C36</f>
        <v xml:space="preserve">LIDERAZGO, GOBERNABILIDAD Y TRANSPARENCIA </v>
      </c>
      <c r="D21" s="74"/>
      <c r="E21" s="173"/>
      <c r="F21" s="75">
        <f>F22</f>
        <v>1840000000</v>
      </c>
      <c r="G21" s="75">
        <f t="shared" si="0"/>
        <v>250000000</v>
      </c>
      <c r="H21" s="75">
        <f>H22</f>
        <v>2090000000</v>
      </c>
    </row>
    <row r="22" spans="1:12" ht="24" customHeight="1" x14ac:dyDescent="0.2">
      <c r="A22" s="61"/>
      <c r="B22" s="62"/>
      <c r="C22" s="157">
        <f>POAI!C37</f>
        <v>45</v>
      </c>
      <c r="D22" s="153" t="str">
        <f>POAI!D37</f>
        <v>Gobierno territorial</v>
      </c>
      <c r="E22" s="160"/>
      <c r="F22" s="163">
        <f>F23</f>
        <v>1840000000</v>
      </c>
      <c r="G22" s="163">
        <f>G23</f>
        <v>250000000</v>
      </c>
      <c r="H22" s="163">
        <f>H23</f>
        <v>2090000000</v>
      </c>
    </row>
    <row r="23" spans="1:12" ht="54.75" customHeight="1" x14ac:dyDescent="0.2">
      <c r="A23" s="61"/>
      <c r="B23" s="62"/>
      <c r="C23" s="62"/>
      <c r="D23" s="76">
        <f>POAI!E38</f>
        <v>4599</v>
      </c>
      <c r="E23" s="162" t="str">
        <f>POAI!F38</f>
        <v>Fortalecimiento a la gestión y dirección de la administración pública territorial "Quindío con una administración al servicio de la ciudadanía "</v>
      </c>
      <c r="F23" s="77">
        <f>POAI!AA35</f>
        <v>1840000000</v>
      </c>
      <c r="G23" s="77">
        <f>POAI!AC35</f>
        <v>250000000</v>
      </c>
      <c r="H23" s="77">
        <f>SUM(F23:G23)</f>
        <v>2090000000</v>
      </c>
    </row>
    <row r="24" spans="1:12" s="11" customFormat="1" x14ac:dyDescent="0.2">
      <c r="A24" s="86"/>
      <c r="B24" s="87"/>
      <c r="C24" s="87"/>
      <c r="D24" s="87"/>
      <c r="E24" s="178"/>
      <c r="F24" s="88"/>
      <c r="G24" s="98"/>
      <c r="H24" s="18"/>
      <c r="I24" s="18"/>
      <c r="J24" s="18"/>
      <c r="K24" s="18"/>
      <c r="L24" s="121"/>
    </row>
    <row r="25" spans="1:12" s="11" customFormat="1" ht="30" customHeight="1" x14ac:dyDescent="0.2">
      <c r="A25" s="48" t="s">
        <v>7</v>
      </c>
      <c r="B25" s="48" t="s">
        <v>8</v>
      </c>
      <c r="C25" s="639" t="s">
        <v>1293</v>
      </c>
      <c r="D25" s="112" t="s">
        <v>1149</v>
      </c>
      <c r="E25" s="132" t="s">
        <v>10</v>
      </c>
      <c r="F25" s="115" t="s">
        <v>1154</v>
      </c>
      <c r="G25" s="115" t="s">
        <v>1155</v>
      </c>
      <c r="H25" s="115" t="s">
        <v>1156</v>
      </c>
      <c r="I25" s="114" t="s">
        <v>1153</v>
      </c>
      <c r="J25" s="18"/>
      <c r="K25" s="18"/>
      <c r="L25" s="121"/>
    </row>
    <row r="26" spans="1:12" ht="30" customHeight="1" x14ac:dyDescent="0.2">
      <c r="A26" s="56" t="s">
        <v>119</v>
      </c>
      <c r="B26" s="57"/>
      <c r="C26" s="57"/>
      <c r="D26" s="57"/>
      <c r="E26" s="175"/>
      <c r="F26" s="85">
        <f>F27+F38+F46</f>
        <v>4469330595</v>
      </c>
      <c r="G26" s="85">
        <f>G27+G38+G46</f>
        <v>2753011221</v>
      </c>
      <c r="H26" s="85">
        <f>H27+H38+H46</f>
        <v>779750000</v>
      </c>
      <c r="I26" s="85">
        <f>I27+I38+I46</f>
        <v>8002091816</v>
      </c>
      <c r="K26" s="21"/>
    </row>
    <row r="27" spans="1:12" ht="20.25" customHeight="1" x14ac:dyDescent="0.2">
      <c r="A27" s="61"/>
      <c r="B27" s="60">
        <f>POAI!B43</f>
        <v>1</v>
      </c>
      <c r="C27" s="74" t="str">
        <f>POAI!C43</f>
        <v xml:space="preserve">INCLUSIÓN SOCIAL Y EQUIDAD </v>
      </c>
      <c r="D27" s="74"/>
      <c r="E27" s="173"/>
      <c r="F27" s="75">
        <f>F28+F30+F32+F34+F36</f>
        <v>3919330595</v>
      </c>
      <c r="G27" s="75">
        <f>G28+G30+G32+G34+G36</f>
        <v>0</v>
      </c>
      <c r="H27" s="75">
        <f>H28+H30+H32+H34+H36</f>
        <v>91750000</v>
      </c>
      <c r="I27" s="75">
        <f>I28+I30+I32+I34+I36</f>
        <v>4011080595</v>
      </c>
    </row>
    <row r="28" spans="1:12" ht="20.25" customHeight="1" x14ac:dyDescent="0.2">
      <c r="A28" s="61"/>
      <c r="B28" s="62"/>
      <c r="C28" s="157">
        <f>POAI!C44</f>
        <v>12</v>
      </c>
      <c r="D28" s="153" t="str">
        <f>POAI!D44</f>
        <v>Justicia y del derecho</v>
      </c>
      <c r="E28" s="153"/>
      <c r="F28" s="179">
        <f>F29</f>
        <v>0</v>
      </c>
      <c r="G28" s="179">
        <f>G29</f>
        <v>0</v>
      </c>
      <c r="H28" s="179">
        <f>H29</f>
        <v>23750000</v>
      </c>
      <c r="I28" s="179">
        <f>I29</f>
        <v>23750000</v>
      </c>
    </row>
    <row r="29" spans="1:12" ht="44.25" customHeight="1" x14ac:dyDescent="0.2">
      <c r="A29" s="61"/>
      <c r="B29" s="62"/>
      <c r="C29" s="62"/>
      <c r="D29" s="81">
        <f>POAI!E45</f>
        <v>1202</v>
      </c>
      <c r="E29" s="162" t="str">
        <f>POAI!F45</f>
        <v>Promoción al acceso a la justicia. "Tú y yo con justicia"</v>
      </c>
      <c r="F29" s="77">
        <f>POAI!Q45</f>
        <v>0</v>
      </c>
      <c r="G29" s="77">
        <f>POAI!Z45</f>
        <v>0</v>
      </c>
      <c r="H29" s="77">
        <f>POAI!AA45</f>
        <v>23750000</v>
      </c>
      <c r="I29" s="77">
        <f>SUM(F29:H29)</f>
        <v>23750000</v>
      </c>
    </row>
    <row r="30" spans="1:12" ht="25.5" customHeight="1" x14ac:dyDescent="0.2">
      <c r="A30" s="61"/>
      <c r="B30" s="62"/>
      <c r="C30" s="157">
        <f>POAI!C47</f>
        <v>19</v>
      </c>
      <c r="D30" s="153" t="str">
        <f>POAI!D47</f>
        <v>Salud y protección social</v>
      </c>
      <c r="E30" s="160"/>
      <c r="F30" s="163">
        <f>F31</f>
        <v>0</v>
      </c>
      <c r="G30" s="163">
        <f>G31</f>
        <v>0</v>
      </c>
      <c r="H30" s="163">
        <f>H31</f>
        <v>38000000</v>
      </c>
      <c r="I30" s="163">
        <f>I31</f>
        <v>38000000</v>
      </c>
    </row>
    <row r="31" spans="1:12" ht="31.5" x14ac:dyDescent="0.2">
      <c r="A31" s="61"/>
      <c r="B31" s="62"/>
      <c r="C31" s="62"/>
      <c r="D31" s="81">
        <f>POAI!E48</f>
        <v>1906</v>
      </c>
      <c r="E31" s="162" t="str">
        <f>POAI!F48</f>
        <v>Aseguramiento y Prestación integral de servicios de salud "Tú y yo con servicios de salud"</v>
      </c>
      <c r="F31" s="77">
        <f>POAI!Q48</f>
        <v>0</v>
      </c>
      <c r="G31" s="77">
        <f>POAI!Z48</f>
        <v>0</v>
      </c>
      <c r="H31" s="77">
        <f>POAI!AA48</f>
        <v>38000000</v>
      </c>
      <c r="I31" s="77">
        <f>SUM(F31:H31)</f>
        <v>38000000</v>
      </c>
    </row>
    <row r="32" spans="1:12" ht="22.5" customHeight="1" x14ac:dyDescent="0.2">
      <c r="A32" s="61"/>
      <c r="B32" s="62"/>
      <c r="C32" s="157">
        <f>POAI!C50</f>
        <v>22</v>
      </c>
      <c r="D32" s="166" t="str">
        <f>POAI!D50</f>
        <v>Educación</v>
      </c>
      <c r="E32" s="165"/>
      <c r="F32" s="180">
        <f>F33</f>
        <v>2083257220</v>
      </c>
      <c r="G32" s="180">
        <f>G33</f>
        <v>0</v>
      </c>
      <c r="H32" s="180">
        <f>H33</f>
        <v>0</v>
      </c>
      <c r="I32" s="180">
        <f>I33</f>
        <v>2083257220</v>
      </c>
    </row>
    <row r="33" spans="1:12" ht="31.5" x14ac:dyDescent="0.2">
      <c r="A33" s="61"/>
      <c r="B33" s="62"/>
      <c r="C33" s="62"/>
      <c r="D33" s="81">
        <f>POAI!E51</f>
        <v>2201</v>
      </c>
      <c r="E33" s="162" t="str">
        <f>POAI!F51</f>
        <v>Calidad, cobertura y fortalecimiento de la educación inicial, prescolar, básica y media." Tú y yo con educación y  calidad"</v>
      </c>
      <c r="F33" s="77">
        <f>POAI!Q51</f>
        <v>2083257220</v>
      </c>
      <c r="G33" s="77">
        <f>POAI!Z51</f>
        <v>0</v>
      </c>
      <c r="H33" s="77">
        <f>POAI!AA51</f>
        <v>0</v>
      </c>
      <c r="I33" s="77">
        <f>SUM(F33:H33)</f>
        <v>2083257220</v>
      </c>
    </row>
    <row r="34" spans="1:12" ht="19.5" customHeight="1" x14ac:dyDescent="0.2">
      <c r="A34" s="61"/>
      <c r="B34" s="62"/>
      <c r="C34" s="157">
        <f>POAI!C53</f>
        <v>33</v>
      </c>
      <c r="D34" s="166" t="str">
        <f>POAI!D53</f>
        <v>Cultura</v>
      </c>
      <c r="E34" s="165"/>
      <c r="F34" s="180">
        <f>SUM(F35)</f>
        <v>0</v>
      </c>
      <c r="G34" s="180">
        <f>SUM(G35)</f>
        <v>0</v>
      </c>
      <c r="H34" s="180">
        <f>SUM(H35)</f>
        <v>30000000</v>
      </c>
      <c r="I34" s="180">
        <f>SUM(I35)</f>
        <v>30000000</v>
      </c>
    </row>
    <row r="35" spans="1:12" ht="31.5" x14ac:dyDescent="0.2">
      <c r="A35" s="61"/>
      <c r="B35" s="62"/>
      <c r="C35" s="62"/>
      <c r="D35" s="81">
        <f>POAI!E54</f>
        <v>3301</v>
      </c>
      <c r="E35" s="162" t="str">
        <f>POAI!F54</f>
        <v>Promoción y acceso efectivo a procesos culturales y artísticos. "Tú y yo somos cultura Quindiana"</v>
      </c>
      <c r="F35" s="77">
        <f>POAI!Q54</f>
        <v>0</v>
      </c>
      <c r="G35" s="77">
        <f>POAI!Z54</f>
        <v>0</v>
      </c>
      <c r="H35" s="77">
        <f>POAI!AA54</f>
        <v>30000000</v>
      </c>
      <c r="I35" s="77">
        <f>SUM(F35:H35)</f>
        <v>30000000</v>
      </c>
    </row>
    <row r="36" spans="1:12" ht="21" customHeight="1" x14ac:dyDescent="0.2">
      <c r="A36" s="61"/>
      <c r="B36" s="62"/>
      <c r="C36" s="157">
        <f>POAI!C56</f>
        <v>43</v>
      </c>
      <c r="D36" s="153" t="str">
        <f>POAI!D56</f>
        <v>Deporte y recreación</v>
      </c>
      <c r="E36" s="154"/>
      <c r="F36" s="181">
        <f>SUM(F37)</f>
        <v>1836073375</v>
      </c>
      <c r="G36" s="181">
        <f>SUM(G37)</f>
        <v>0</v>
      </c>
      <c r="H36" s="181">
        <f>SUM(H37)</f>
        <v>0</v>
      </c>
      <c r="I36" s="181">
        <f>SUM(I37)</f>
        <v>1836073375</v>
      </c>
    </row>
    <row r="37" spans="1:12" ht="69.75" customHeight="1" x14ac:dyDescent="0.2">
      <c r="A37" s="61"/>
      <c r="B37" s="62"/>
      <c r="C37" s="62"/>
      <c r="D37" s="81">
        <f>POAI!E57</f>
        <v>4301</v>
      </c>
      <c r="E37" s="604" t="str">
        <f>POAI!F57</f>
        <v>Fomento a la recreación, la actividad física y el deporte para desarrollar entornos de convivencia y paz "Tú y yo en la recreación y en deporte"</v>
      </c>
      <c r="F37" s="77">
        <f>POAI!Q57</f>
        <v>1836073375</v>
      </c>
      <c r="G37" s="77">
        <f>POAI!Z57</f>
        <v>0</v>
      </c>
      <c r="H37" s="77">
        <f>POAI!AA57</f>
        <v>0</v>
      </c>
      <c r="I37" s="77">
        <f>SUM(F37:H37)</f>
        <v>1836073375</v>
      </c>
      <c r="J37" s="1"/>
      <c r="K37" s="1"/>
      <c r="L37" s="122"/>
    </row>
    <row r="38" spans="1:12" ht="20.25" customHeight="1" x14ac:dyDescent="0.2">
      <c r="A38" s="61"/>
      <c r="B38" s="60">
        <f>POAI!B59</f>
        <v>3</v>
      </c>
      <c r="C38" s="74" t="str">
        <f>POAI!C59</f>
        <v xml:space="preserve">TERRITORIO, AMBIENTE Y DESARROLLO SOSTENIBLE </v>
      </c>
      <c r="D38" s="74"/>
      <c r="E38" s="173"/>
      <c r="F38" s="75">
        <f>F39+F41+F43</f>
        <v>550000000</v>
      </c>
      <c r="G38" s="75">
        <f>G39+G41+G43</f>
        <v>2753011221</v>
      </c>
      <c r="H38" s="75">
        <f>H39+H41+H43</f>
        <v>610000000</v>
      </c>
      <c r="I38" s="75">
        <f>I39+I41+I43</f>
        <v>3913011221</v>
      </c>
      <c r="J38" s="1"/>
      <c r="K38" s="1"/>
      <c r="L38" s="122"/>
    </row>
    <row r="39" spans="1:12" ht="30" customHeight="1" x14ac:dyDescent="0.2">
      <c r="A39" s="61"/>
      <c r="B39" s="62"/>
      <c r="C39" s="170">
        <f>POAI!C60</f>
        <v>24</v>
      </c>
      <c r="D39" s="153" t="str">
        <f>POAI!D60</f>
        <v>Transporte</v>
      </c>
      <c r="E39" s="160"/>
      <c r="F39" s="163">
        <f>F40</f>
        <v>0</v>
      </c>
      <c r="G39" s="163">
        <f>G40</f>
        <v>0</v>
      </c>
      <c r="H39" s="163">
        <f>H40</f>
        <v>390000000</v>
      </c>
      <c r="I39" s="163">
        <f>I40</f>
        <v>390000000</v>
      </c>
      <c r="J39" s="1"/>
      <c r="K39" s="1"/>
      <c r="L39" s="122"/>
    </row>
    <row r="40" spans="1:12" ht="48" customHeight="1" x14ac:dyDescent="0.2">
      <c r="A40" s="61"/>
      <c r="B40" s="62"/>
      <c r="C40" s="62"/>
      <c r="D40" s="81">
        <f>POAI!E61</f>
        <v>2402</v>
      </c>
      <c r="E40" s="162" t="str">
        <f>POAI!F61</f>
        <v>Infraestructura red vial regional. "Tú y yo con movilidad vial"</v>
      </c>
      <c r="F40" s="77">
        <f>POAI!Q61</f>
        <v>0</v>
      </c>
      <c r="G40" s="77">
        <f>POAI!Z61</f>
        <v>0</v>
      </c>
      <c r="H40" s="77">
        <f>POAI!AA61</f>
        <v>390000000</v>
      </c>
      <c r="I40" s="77">
        <f>SUM(F40:H40)</f>
        <v>390000000</v>
      </c>
      <c r="J40" s="1"/>
      <c r="K40" s="1"/>
      <c r="L40" s="122"/>
    </row>
    <row r="41" spans="1:12" ht="30" customHeight="1" x14ac:dyDescent="0.2">
      <c r="A41" s="61"/>
      <c r="B41" s="62"/>
      <c r="C41" s="157">
        <f>POAI!C65</f>
        <v>32</v>
      </c>
      <c r="D41" s="153" t="str">
        <f>POAI!D65</f>
        <v>Ambiente y desarrollo sostenible</v>
      </c>
      <c r="E41" s="154"/>
      <c r="F41" s="181">
        <f>F42</f>
        <v>0</v>
      </c>
      <c r="G41" s="181">
        <f>G42</f>
        <v>0</v>
      </c>
      <c r="H41" s="181">
        <f>H42</f>
        <v>200000000</v>
      </c>
      <c r="I41" s="181">
        <f>I42</f>
        <v>200000000</v>
      </c>
      <c r="J41" s="1"/>
      <c r="K41" s="1"/>
      <c r="L41" s="122"/>
    </row>
    <row r="42" spans="1:12" ht="41.25" customHeight="1" x14ac:dyDescent="0.2">
      <c r="A42" s="61"/>
      <c r="B42" s="62"/>
      <c r="C42" s="62"/>
      <c r="D42" s="81">
        <f>POAI!E66</f>
        <v>3205</v>
      </c>
      <c r="E42" s="162" t="str">
        <f>POAI!F66</f>
        <v>Ordenamiento Ambiental Territorial. "Tú y yo planificamos con sentido ambiental"</v>
      </c>
      <c r="F42" s="77">
        <f>POAI!Q66</f>
        <v>0</v>
      </c>
      <c r="G42" s="77">
        <f>POAI!Z66</f>
        <v>0</v>
      </c>
      <c r="H42" s="77">
        <f>POAI!AA66</f>
        <v>200000000</v>
      </c>
      <c r="I42" s="77">
        <f>SUM(F42:H42)</f>
        <v>200000000</v>
      </c>
      <c r="J42" s="1"/>
      <c r="K42" s="1"/>
      <c r="L42" s="122"/>
    </row>
    <row r="43" spans="1:12" ht="28.5" customHeight="1" x14ac:dyDescent="0.2">
      <c r="A43" s="61"/>
      <c r="B43" s="62"/>
      <c r="C43" s="157">
        <f>POAI!C69</f>
        <v>40</v>
      </c>
      <c r="D43" s="166" t="str">
        <f>POAI!D69</f>
        <v>Vivienda, Ciudad y Territorio</v>
      </c>
      <c r="E43" s="154"/>
      <c r="F43" s="181">
        <f>SUM(F44:F45)</f>
        <v>550000000</v>
      </c>
      <c r="G43" s="181">
        <f>SUM(G44:G45)</f>
        <v>2753011221</v>
      </c>
      <c r="H43" s="181">
        <f>SUM(H44:H45)</f>
        <v>20000000</v>
      </c>
      <c r="I43" s="181">
        <f>SUM(I44:I45)</f>
        <v>3323011221</v>
      </c>
      <c r="J43" s="1"/>
      <c r="K43" s="1"/>
      <c r="L43" s="122"/>
    </row>
    <row r="44" spans="1:12" ht="42" customHeight="1" x14ac:dyDescent="0.2">
      <c r="A44" s="61"/>
      <c r="B44" s="62"/>
      <c r="C44" s="62"/>
      <c r="D44" s="81">
        <f>POAI!E70</f>
        <v>4001</v>
      </c>
      <c r="E44" s="162" t="str">
        <f>POAI!F70</f>
        <v>Acceso a soluciones de vivienda. "Tú y yo con vivienda digna"</v>
      </c>
      <c r="F44" s="77">
        <f>POAI!Q70</f>
        <v>100000000</v>
      </c>
      <c r="G44" s="77">
        <f>POAI!Z70</f>
        <v>0</v>
      </c>
      <c r="H44" s="77">
        <f>POAI!AA70</f>
        <v>20000000</v>
      </c>
      <c r="I44" s="77">
        <f>SUM(F44:H44)</f>
        <v>120000000</v>
      </c>
      <c r="J44" s="1"/>
      <c r="K44" s="1"/>
      <c r="L44" s="122"/>
    </row>
    <row r="45" spans="1:12" ht="51.75" customHeight="1" x14ac:dyDescent="0.2">
      <c r="A45" s="61"/>
      <c r="B45" s="62"/>
      <c r="C45" s="62"/>
      <c r="D45" s="81">
        <f>POAI!E72</f>
        <v>4003</v>
      </c>
      <c r="E45" s="162" t="str">
        <f>POAI!F72</f>
        <v>Acceso de la población a los servicios de agua potable y saneamiento básico. "Tú y yo con calidad del agua"</v>
      </c>
      <c r="F45" s="77">
        <f>POAI!Q72</f>
        <v>450000000</v>
      </c>
      <c r="G45" s="77">
        <f>POAI!Z72</f>
        <v>2753011221</v>
      </c>
      <c r="H45" s="77">
        <f>POAI!AA72</f>
        <v>0</v>
      </c>
      <c r="I45" s="77">
        <f>SUM(F45:H45)</f>
        <v>3203011221</v>
      </c>
      <c r="J45" s="1"/>
      <c r="K45" s="1"/>
      <c r="L45" s="122"/>
    </row>
    <row r="46" spans="1:12" ht="25.5" customHeight="1" x14ac:dyDescent="0.2">
      <c r="A46" s="61"/>
      <c r="B46" s="60">
        <f>POAI!B79</f>
        <v>4</v>
      </c>
      <c r="C46" s="74" t="str">
        <f>POAI!C79</f>
        <v xml:space="preserve">LIDERAZGO, GOBERNABILIDAD Y TRANSPARENCIA </v>
      </c>
      <c r="D46" s="74"/>
      <c r="E46" s="173"/>
      <c r="F46" s="75">
        <f>F47</f>
        <v>0</v>
      </c>
      <c r="G46" s="75">
        <f>G47</f>
        <v>0</v>
      </c>
      <c r="H46" s="75">
        <f>H47</f>
        <v>78000000</v>
      </c>
      <c r="I46" s="75">
        <f>I47</f>
        <v>78000000</v>
      </c>
      <c r="J46" s="1"/>
      <c r="K46" s="1"/>
      <c r="L46" s="122"/>
    </row>
    <row r="47" spans="1:12" ht="25.5" customHeight="1" x14ac:dyDescent="0.2">
      <c r="A47" s="61"/>
      <c r="B47" s="81"/>
      <c r="C47" s="157">
        <f>POAI!C80</f>
        <v>45</v>
      </c>
      <c r="D47" s="153" t="str">
        <f>POAI!D80</f>
        <v>Gobierno territorial</v>
      </c>
      <c r="E47" s="160"/>
      <c r="F47" s="163">
        <f>SUM(F48:F49)</f>
        <v>0</v>
      </c>
      <c r="G47" s="163">
        <f>SUM(G48:G49)</f>
        <v>0</v>
      </c>
      <c r="H47" s="163">
        <f>SUM(H48:H49)</f>
        <v>78000000</v>
      </c>
      <c r="I47" s="163">
        <f>SUM(I48:I49)</f>
        <v>78000000</v>
      </c>
      <c r="J47" s="1"/>
      <c r="K47" s="1"/>
      <c r="L47" s="122"/>
    </row>
    <row r="48" spans="1:12" ht="69" customHeight="1" x14ac:dyDescent="0.2">
      <c r="A48" s="61"/>
      <c r="B48" s="62"/>
      <c r="C48" s="62"/>
      <c r="D48" s="81">
        <f>POAI!E81</f>
        <v>4599</v>
      </c>
      <c r="E48" s="162" t="str">
        <f>POAI!F81</f>
        <v>Fortalecimiento a la gestión y dirección de la administración pública territorial "Quindío con una administración al servicio de la ciudadanía "</v>
      </c>
      <c r="F48" s="77">
        <f>POAI!Q81</f>
        <v>0</v>
      </c>
      <c r="G48" s="77">
        <f>POAI!Z61</f>
        <v>0</v>
      </c>
      <c r="H48" s="77">
        <f>POAI!AA81</f>
        <v>40000000</v>
      </c>
      <c r="I48" s="77">
        <f>SUM(F48:H48)</f>
        <v>40000000</v>
      </c>
      <c r="J48" s="1"/>
      <c r="K48" s="1"/>
      <c r="L48" s="122"/>
    </row>
    <row r="49" spans="1:12" ht="51.75" customHeight="1" x14ac:dyDescent="0.2">
      <c r="A49" s="61"/>
      <c r="B49" s="62"/>
      <c r="C49" s="62"/>
      <c r="D49" s="81">
        <f>POAI!E83</f>
        <v>4502</v>
      </c>
      <c r="E49" s="162" t="str">
        <f>POAI!F83</f>
        <v>Fortalecimiento del buen gobierno para el respeto y garantía de los derechos humanos. "Quindío integrado y participativo"</v>
      </c>
      <c r="F49" s="77">
        <f>POAI!Q83</f>
        <v>0</v>
      </c>
      <c r="G49" s="77">
        <f>POAI!Z83</f>
        <v>0</v>
      </c>
      <c r="H49" s="77">
        <f>POAI!AA83</f>
        <v>38000000</v>
      </c>
      <c r="I49" s="77">
        <f>SUM(F49:H49)</f>
        <v>38000000</v>
      </c>
    </row>
    <row r="50" spans="1:12" s="11" customFormat="1" x14ac:dyDescent="0.2">
      <c r="A50" s="86"/>
      <c r="B50" s="87"/>
      <c r="C50" s="87"/>
      <c r="D50" s="87"/>
      <c r="E50" s="178"/>
      <c r="F50" s="88"/>
      <c r="G50" s="98"/>
      <c r="H50" s="18"/>
      <c r="I50" s="18"/>
      <c r="J50" s="18"/>
      <c r="K50" s="18"/>
      <c r="L50" s="121"/>
    </row>
    <row r="51" spans="1:12" ht="38.25" customHeight="1" x14ac:dyDescent="0.2">
      <c r="A51" s="111" t="s">
        <v>7</v>
      </c>
      <c r="B51" s="112" t="s">
        <v>8</v>
      </c>
      <c r="C51" s="639" t="s">
        <v>1293</v>
      </c>
      <c r="D51" s="112" t="s">
        <v>1149</v>
      </c>
      <c r="E51" s="132" t="s">
        <v>10</v>
      </c>
      <c r="F51" s="113" t="s">
        <v>1157</v>
      </c>
      <c r="G51" s="115" t="s">
        <v>1151</v>
      </c>
      <c r="H51" s="114" t="s">
        <v>1153</v>
      </c>
    </row>
    <row r="52" spans="1:12" ht="29.25" customHeight="1" x14ac:dyDescent="0.2">
      <c r="A52" s="56" t="s">
        <v>212</v>
      </c>
      <c r="B52" s="57"/>
      <c r="C52" s="57"/>
      <c r="D52" s="57"/>
      <c r="E52" s="175"/>
      <c r="F52" s="58">
        <f>F53+F65+F70</f>
        <v>1724182726</v>
      </c>
      <c r="G52" s="58">
        <f>G53+G65+G70</f>
        <v>982000000</v>
      </c>
      <c r="H52" s="58">
        <f>H53+H65+H70</f>
        <v>2706182726</v>
      </c>
      <c r="K52" s="21"/>
    </row>
    <row r="53" spans="1:12" ht="21" customHeight="1" x14ac:dyDescent="0.2">
      <c r="A53" s="61"/>
      <c r="B53" s="60">
        <f>POAI!B87</f>
        <v>1</v>
      </c>
      <c r="C53" s="74" t="str">
        <f>POAI!C87</f>
        <v xml:space="preserve">INCLUSIÓN SOCIAL Y EQUIDAD </v>
      </c>
      <c r="D53" s="74"/>
      <c r="E53" s="173"/>
      <c r="F53" s="75">
        <f>F54+F58+F60+F63</f>
        <v>1724182726</v>
      </c>
      <c r="G53" s="75">
        <f>G54+G58+G60+G63</f>
        <v>476000000</v>
      </c>
      <c r="H53" s="75">
        <f>H54+H58+H60+H63</f>
        <v>2200182726</v>
      </c>
    </row>
    <row r="54" spans="1:12" ht="21" customHeight="1" x14ac:dyDescent="0.2">
      <c r="A54" s="61"/>
      <c r="B54" s="81"/>
      <c r="C54" s="157">
        <f>POAI!C88</f>
        <v>12</v>
      </c>
      <c r="D54" s="153" t="str">
        <f>POAI!D88</f>
        <v>Justicia y del derecho</v>
      </c>
      <c r="E54" s="153"/>
      <c r="F54" s="163">
        <f>SUM(F55:F57)</f>
        <v>0</v>
      </c>
      <c r="G54" s="163">
        <f>SUM(G55:G57)</f>
        <v>186000000</v>
      </c>
      <c r="H54" s="163">
        <f>SUM(H55:H57)</f>
        <v>186000000</v>
      </c>
    </row>
    <row r="55" spans="1:12" ht="31.5" customHeight="1" x14ac:dyDescent="0.2">
      <c r="A55" s="61"/>
      <c r="B55" s="62"/>
      <c r="C55" s="62"/>
      <c r="D55" s="81">
        <f>POAI!E89</f>
        <v>1202</v>
      </c>
      <c r="E55" s="162" t="str">
        <f>POAI!F89</f>
        <v>Promoción al acceso a la justicia. "Tú y yo con justicia"</v>
      </c>
      <c r="F55" s="77">
        <f>POAI!R89</f>
        <v>0</v>
      </c>
      <c r="G55" s="77">
        <f>POAI!AA89</f>
        <v>114000000</v>
      </c>
      <c r="H55" s="77">
        <f>SUM(F55:G55)</f>
        <v>114000000</v>
      </c>
    </row>
    <row r="56" spans="1:12" ht="36.75" customHeight="1" x14ac:dyDescent="0.2">
      <c r="A56" s="61"/>
      <c r="B56" s="62"/>
      <c r="C56" s="62"/>
      <c r="D56" s="81">
        <f>POAI!E91</f>
        <v>1203</v>
      </c>
      <c r="E56" s="162" t="str">
        <f>POAI!F91</f>
        <v>Promoción de los métodos de resolución de conflictos. "Tú y yo resolvemos los conflictos"</v>
      </c>
      <c r="F56" s="77">
        <f>POAI!R91</f>
        <v>0</v>
      </c>
      <c r="G56" s="77">
        <f>POAI!AA91</f>
        <v>36000000</v>
      </c>
      <c r="H56" s="77">
        <f t="shared" ref="H56:H64" si="1">SUM(F56:G56)</f>
        <v>36000000</v>
      </c>
    </row>
    <row r="57" spans="1:12" ht="57" customHeight="1" x14ac:dyDescent="0.2">
      <c r="A57" s="61"/>
      <c r="B57" s="62"/>
      <c r="C57" s="62"/>
      <c r="D57" s="81">
        <f>POAI!E93</f>
        <v>1206</v>
      </c>
      <c r="E57" s="162" t="str">
        <f>POAI!F93</f>
        <v>Sistema penitenciario y carcelario en el marco de los derechos humanos. "Quindío respeta derechos penitenciarios"</v>
      </c>
      <c r="F57" s="77">
        <f>POAI!R91</f>
        <v>0</v>
      </c>
      <c r="G57" s="77">
        <f>POAI!AA93</f>
        <v>36000000</v>
      </c>
      <c r="H57" s="77">
        <f t="shared" si="1"/>
        <v>36000000</v>
      </c>
    </row>
    <row r="58" spans="1:12" ht="27.75" customHeight="1" x14ac:dyDescent="0.2">
      <c r="A58" s="61"/>
      <c r="B58" s="62"/>
      <c r="C58" s="157">
        <f>POAI!C95</f>
        <v>22</v>
      </c>
      <c r="D58" s="153" t="str">
        <f>POAI!D95</f>
        <v>Educación</v>
      </c>
      <c r="E58" s="183"/>
      <c r="F58" s="180">
        <f>F59</f>
        <v>0</v>
      </c>
      <c r="G58" s="180">
        <f>G59</f>
        <v>30000000</v>
      </c>
      <c r="H58" s="180">
        <f>H59</f>
        <v>30000000</v>
      </c>
    </row>
    <row r="59" spans="1:12" ht="64.5" customHeight="1" x14ac:dyDescent="0.2">
      <c r="A59" s="61"/>
      <c r="B59" s="62"/>
      <c r="C59" s="62"/>
      <c r="D59" s="81">
        <f>POAI!E96</f>
        <v>2201</v>
      </c>
      <c r="E59" s="162" t="str">
        <f>POAI!F96</f>
        <v>Calidad, cobertura y fortalecimiento de la educación inicial, prescolar, básica y media." Tú y yo con educación y de calidad"</v>
      </c>
      <c r="F59" s="77">
        <f>POAI!R96</f>
        <v>0</v>
      </c>
      <c r="G59" s="77">
        <f>POAI!AA96</f>
        <v>30000000</v>
      </c>
      <c r="H59" s="77">
        <f t="shared" si="1"/>
        <v>30000000</v>
      </c>
    </row>
    <row r="60" spans="1:12" ht="32.25" customHeight="1" x14ac:dyDescent="0.2">
      <c r="A60" s="61"/>
      <c r="B60" s="62"/>
      <c r="C60" s="157">
        <f>POAI!C98</f>
        <v>41</v>
      </c>
      <c r="D60" s="153" t="str">
        <f>POAI!D98</f>
        <v xml:space="preserve">Inclusión social y Reconciliación </v>
      </c>
      <c r="E60" s="153"/>
      <c r="F60" s="163">
        <f>SUM(F61:F62)</f>
        <v>0</v>
      </c>
      <c r="G60" s="163">
        <f>SUM(G61:G62)</f>
        <v>224000000</v>
      </c>
      <c r="H60" s="163">
        <f>SUM(H61:H62)</f>
        <v>224000000</v>
      </c>
    </row>
    <row r="61" spans="1:12" ht="41.25" customHeight="1" x14ac:dyDescent="0.2">
      <c r="A61" s="61"/>
      <c r="B61" s="62"/>
      <c r="C61" s="62"/>
      <c r="D61" s="81">
        <f>POAI!E99</f>
        <v>4101</v>
      </c>
      <c r="E61" s="162" t="str">
        <f>POAI!F99</f>
        <v>Atención, asistencia y reparación integral a las víctimas. "Tú y yo con reparación integral"</v>
      </c>
      <c r="F61" s="77">
        <f>POAI!R99</f>
        <v>0</v>
      </c>
      <c r="G61" s="77">
        <f>POAI!AA99</f>
        <v>206000000</v>
      </c>
      <c r="H61" s="77">
        <f t="shared" si="1"/>
        <v>206000000</v>
      </c>
    </row>
    <row r="62" spans="1:12" ht="51" customHeight="1" x14ac:dyDescent="0.2">
      <c r="A62" s="61"/>
      <c r="B62" s="62"/>
      <c r="C62" s="62"/>
      <c r="D62" s="81">
        <f>POAI!E105</f>
        <v>4103</v>
      </c>
      <c r="E62" s="162" t="str">
        <f>POAI!F105</f>
        <v>Inclusión social y productiva para la población en situación de vulnerabilidad. "Tú y yo, población vulnerable incluida"</v>
      </c>
      <c r="F62" s="77">
        <f>POAI!R105</f>
        <v>0</v>
      </c>
      <c r="G62" s="77">
        <f>POAI!AA105</f>
        <v>18000000</v>
      </c>
      <c r="H62" s="77">
        <f t="shared" si="1"/>
        <v>18000000</v>
      </c>
      <c r="I62" s="1"/>
      <c r="J62" s="1"/>
      <c r="K62" s="1"/>
      <c r="L62" s="122"/>
    </row>
    <row r="63" spans="1:12" ht="30.75" customHeight="1" x14ac:dyDescent="0.2">
      <c r="A63" s="61"/>
      <c r="B63" s="62"/>
      <c r="C63" s="157">
        <f>POAI!C107</f>
        <v>45</v>
      </c>
      <c r="D63" s="153" t="str">
        <f>POAI!D107</f>
        <v>Gobierno territorial</v>
      </c>
      <c r="E63" s="153"/>
      <c r="F63" s="163">
        <f>F64</f>
        <v>1724182726</v>
      </c>
      <c r="G63" s="163">
        <f>G64</f>
        <v>36000000</v>
      </c>
      <c r="H63" s="163">
        <f>H64</f>
        <v>1760182726</v>
      </c>
      <c r="I63" s="1"/>
      <c r="J63" s="1"/>
      <c r="K63" s="1"/>
      <c r="L63" s="122"/>
    </row>
    <row r="64" spans="1:12" ht="42" customHeight="1" x14ac:dyDescent="0.2">
      <c r="A64" s="61"/>
      <c r="B64" s="62"/>
      <c r="C64" s="62"/>
      <c r="D64" s="81">
        <f>POAI!E108</f>
        <v>4501</v>
      </c>
      <c r="E64" s="162" t="str">
        <f>POAI!F108</f>
        <v>Fortalecimiento de la convivencia y la seguridad ciudadana. "Tú y yo seguros"</v>
      </c>
      <c r="F64" s="77">
        <f>POAI!R108</f>
        <v>1724182726</v>
      </c>
      <c r="G64" s="77">
        <f>POAI!AA108</f>
        <v>36000000</v>
      </c>
      <c r="H64" s="77">
        <f t="shared" si="1"/>
        <v>1760182726</v>
      </c>
      <c r="I64" s="1"/>
      <c r="J64" s="1"/>
      <c r="K64" s="1"/>
      <c r="L64" s="122"/>
    </row>
    <row r="65" spans="1:12" ht="20.25" customHeight="1" x14ac:dyDescent="0.2">
      <c r="A65" s="61"/>
      <c r="B65" s="60">
        <f>POAI!B111</f>
        <v>3</v>
      </c>
      <c r="C65" s="74" t="str">
        <f>POAI!C111</f>
        <v xml:space="preserve">TERRITORIO, AMBIENTE Y DESARROLLO SOSTENIBLE </v>
      </c>
      <c r="D65" s="74"/>
      <c r="E65" s="173"/>
      <c r="F65" s="75">
        <f>F66+F68</f>
        <v>0</v>
      </c>
      <c r="G65" s="75">
        <f>G66+G68</f>
        <v>193000000</v>
      </c>
      <c r="H65" s="75">
        <f>H66+H68</f>
        <v>193000000</v>
      </c>
      <c r="I65" s="1"/>
      <c r="J65" s="1"/>
      <c r="K65" s="1"/>
      <c r="L65" s="122"/>
    </row>
    <row r="66" spans="1:12" ht="20.25" customHeight="1" x14ac:dyDescent="0.2">
      <c r="A66" s="61"/>
      <c r="B66" s="81"/>
      <c r="C66" s="157">
        <f>POAI!C112</f>
        <v>32</v>
      </c>
      <c r="D66" s="153" t="str">
        <f>POAI!D112</f>
        <v>Ambiente y desarrollo sostenible</v>
      </c>
      <c r="E66" s="165"/>
      <c r="F66" s="163">
        <f>F67</f>
        <v>0</v>
      </c>
      <c r="G66" s="163">
        <f>G67</f>
        <v>45000000</v>
      </c>
      <c r="H66" s="163">
        <f>H67</f>
        <v>45000000</v>
      </c>
      <c r="I66" s="1"/>
      <c r="J66" s="1"/>
      <c r="K66" s="1"/>
      <c r="L66" s="122"/>
    </row>
    <row r="67" spans="1:12" s="82" customFormat="1" ht="48.75" customHeight="1" x14ac:dyDescent="0.2">
      <c r="A67" s="80"/>
      <c r="B67" s="81"/>
      <c r="C67" s="81"/>
      <c r="D67" s="81">
        <f>POAI!E113</f>
        <v>3205</v>
      </c>
      <c r="E67" s="162" t="str">
        <f>POAI!D112</f>
        <v>Ambiente y desarrollo sostenible</v>
      </c>
      <c r="F67" s="77">
        <f>POAI!R113</f>
        <v>0</v>
      </c>
      <c r="G67" s="77">
        <f>POAI!AA113</f>
        <v>45000000</v>
      </c>
      <c r="H67" s="77">
        <f>SUM(F67:G67)</f>
        <v>45000000</v>
      </c>
      <c r="L67" s="120"/>
    </row>
    <row r="68" spans="1:12" s="82" customFormat="1" ht="24" customHeight="1" x14ac:dyDescent="0.2">
      <c r="A68" s="80"/>
      <c r="B68" s="81"/>
      <c r="C68" s="157">
        <f>POAI!C115</f>
        <v>45</v>
      </c>
      <c r="D68" s="153" t="str">
        <f>POAI!D115</f>
        <v>Gobierno territorial</v>
      </c>
      <c r="E68" s="160"/>
      <c r="F68" s="163">
        <f>F69</f>
        <v>0</v>
      </c>
      <c r="G68" s="163">
        <f>G69</f>
        <v>148000000</v>
      </c>
      <c r="H68" s="163">
        <f>H69</f>
        <v>148000000</v>
      </c>
      <c r="L68" s="120"/>
    </row>
    <row r="69" spans="1:12" s="82" customFormat="1" ht="45.75" customHeight="1" x14ac:dyDescent="0.2">
      <c r="A69" s="80"/>
      <c r="B69" s="81"/>
      <c r="C69" s="81"/>
      <c r="D69" s="81">
        <f>POAI!E116</f>
        <v>4503</v>
      </c>
      <c r="E69" s="162" t="str">
        <f>POAI!F116</f>
        <v>Gestión del riesgo de desastres y emergencias."Tú y yo preparados en gestión del riesgo"</v>
      </c>
      <c r="F69" s="77">
        <f>POAI!R116</f>
        <v>0</v>
      </c>
      <c r="G69" s="77">
        <f>POAI!AA116</f>
        <v>148000000</v>
      </c>
      <c r="H69" s="77">
        <f>SUM(F69:G69)</f>
        <v>148000000</v>
      </c>
      <c r="L69" s="120"/>
    </row>
    <row r="70" spans="1:12" ht="22.5" customHeight="1" x14ac:dyDescent="0.2">
      <c r="A70" s="61"/>
      <c r="B70" s="60">
        <f>POAI!B120</f>
        <v>4</v>
      </c>
      <c r="C70" s="74" t="str">
        <f>POAI!C120</f>
        <v xml:space="preserve">LIDERAZGO, GOBERNABILIDAD Y TRANSPARENCIA </v>
      </c>
      <c r="D70" s="74"/>
      <c r="E70" s="173"/>
      <c r="F70" s="75">
        <f t="shared" ref="F70:H71" si="2">F71</f>
        <v>0</v>
      </c>
      <c r="G70" s="75">
        <f t="shared" si="2"/>
        <v>313000000</v>
      </c>
      <c r="H70" s="75">
        <f t="shared" si="2"/>
        <v>313000000</v>
      </c>
      <c r="I70" s="1"/>
      <c r="J70" s="1"/>
      <c r="K70" s="1"/>
      <c r="L70" s="122"/>
    </row>
    <row r="71" spans="1:12" ht="22.5" customHeight="1" x14ac:dyDescent="0.2">
      <c r="A71" s="61"/>
      <c r="B71" s="81"/>
      <c r="C71" s="157">
        <f>POAI!C121</f>
        <v>45</v>
      </c>
      <c r="D71" s="153" t="str">
        <f>POAI!D121</f>
        <v>Gobierno territorial</v>
      </c>
      <c r="E71" s="160"/>
      <c r="F71" s="163">
        <f t="shared" si="2"/>
        <v>0</v>
      </c>
      <c r="G71" s="163">
        <f t="shared" si="2"/>
        <v>313000000</v>
      </c>
      <c r="H71" s="163">
        <f t="shared" si="2"/>
        <v>313000000</v>
      </c>
      <c r="I71" s="1"/>
      <c r="J71" s="1"/>
      <c r="K71" s="1"/>
      <c r="L71" s="122"/>
    </row>
    <row r="72" spans="1:12" s="82" customFormat="1" ht="55.5" customHeight="1" x14ac:dyDescent="0.2">
      <c r="A72" s="80"/>
      <c r="B72" s="90"/>
      <c r="C72" s="90"/>
      <c r="D72" s="81">
        <f>POAI!E122</f>
        <v>4502</v>
      </c>
      <c r="E72" s="162" t="str">
        <f>POAI!F122</f>
        <v>Fortalecimiento del buen gobierno para el respeto y garantía de los derechos humanos. "Quindío integrado y participativo"</v>
      </c>
      <c r="F72" s="78">
        <f>POAI!R122</f>
        <v>0</v>
      </c>
      <c r="G72" s="78">
        <f>POAI!AA122</f>
        <v>313000000</v>
      </c>
      <c r="H72" s="77">
        <f>SUM(F72:G72)</f>
        <v>313000000</v>
      </c>
      <c r="L72" s="120"/>
    </row>
    <row r="73" spans="1:12" s="11" customFormat="1" x14ac:dyDescent="0.2">
      <c r="A73" s="86"/>
      <c r="B73" s="87"/>
      <c r="C73" s="87"/>
      <c r="D73" s="87"/>
      <c r="E73" s="178"/>
      <c r="F73" s="88"/>
      <c r="G73" s="98"/>
      <c r="H73" s="18"/>
      <c r="I73" s="18"/>
      <c r="J73" s="18"/>
      <c r="K73" s="18"/>
      <c r="L73" s="121"/>
    </row>
    <row r="74" spans="1:12" ht="35.25" customHeight="1" x14ac:dyDescent="0.2">
      <c r="A74" s="111" t="s">
        <v>7</v>
      </c>
      <c r="B74" s="112" t="s">
        <v>8</v>
      </c>
      <c r="C74" s="639" t="s">
        <v>1293</v>
      </c>
      <c r="D74" s="112" t="s">
        <v>1149</v>
      </c>
      <c r="E74" s="132" t="s">
        <v>10</v>
      </c>
      <c r="F74" s="113" t="s">
        <v>1158</v>
      </c>
      <c r="G74" s="115" t="s">
        <v>1151</v>
      </c>
      <c r="H74" s="114" t="s">
        <v>1159</v>
      </c>
      <c r="I74" s="114" t="s">
        <v>1153</v>
      </c>
    </row>
    <row r="75" spans="1:12" ht="32.25" customHeight="1" x14ac:dyDescent="0.2">
      <c r="A75" s="56" t="s">
        <v>292</v>
      </c>
      <c r="B75" s="57"/>
      <c r="C75" s="57"/>
      <c r="D75" s="57"/>
      <c r="E75" s="175"/>
      <c r="F75" s="58">
        <f>F76</f>
        <v>1471859959</v>
      </c>
      <c r="G75" s="58">
        <f t="shared" ref="G75:I76" si="3">G76</f>
        <v>795000000</v>
      </c>
      <c r="H75" s="58">
        <f t="shared" si="3"/>
        <v>263038142</v>
      </c>
      <c r="I75" s="58">
        <f t="shared" si="3"/>
        <v>2529898101</v>
      </c>
      <c r="J75" s="22"/>
      <c r="K75" s="1"/>
      <c r="L75" s="122"/>
    </row>
    <row r="76" spans="1:12" ht="20.25" customHeight="1" x14ac:dyDescent="0.2">
      <c r="A76" s="61"/>
      <c r="B76" s="60">
        <f>POAI!B130</f>
        <v>1</v>
      </c>
      <c r="C76" s="74" t="str">
        <f>POAI!C130</f>
        <v xml:space="preserve">INCLUSIÓN SOCIAL Y EQUIDAD </v>
      </c>
      <c r="D76" s="74"/>
      <c r="E76" s="173"/>
      <c r="F76" s="75">
        <f>F77</f>
        <v>1471859959</v>
      </c>
      <c r="G76" s="75">
        <f t="shared" si="3"/>
        <v>795000000</v>
      </c>
      <c r="H76" s="75">
        <f t="shared" si="3"/>
        <v>263038142</v>
      </c>
      <c r="I76" s="75">
        <f>I77</f>
        <v>2529898101</v>
      </c>
      <c r="J76" s="1"/>
      <c r="K76" s="1"/>
      <c r="L76" s="122"/>
    </row>
    <row r="77" spans="1:12" ht="20.25" customHeight="1" x14ac:dyDescent="0.2">
      <c r="A77" s="61"/>
      <c r="B77" s="81"/>
      <c r="C77" s="157">
        <f>POAI!C131</f>
        <v>33</v>
      </c>
      <c r="D77" s="166" t="str">
        <f>POAI!D131</f>
        <v>Cultura</v>
      </c>
      <c r="E77" s="165"/>
      <c r="F77" s="163">
        <f>SUM(F78:F79)</f>
        <v>1471859959</v>
      </c>
      <c r="G77" s="163">
        <f>SUM(G78:G79)</f>
        <v>795000000</v>
      </c>
      <c r="H77" s="163">
        <f>SUM(H78:H79)</f>
        <v>263038142</v>
      </c>
      <c r="I77" s="163">
        <f>SUM(I78:I79)</f>
        <v>2529898101</v>
      </c>
      <c r="J77" s="1"/>
      <c r="K77" s="1"/>
      <c r="L77" s="122"/>
    </row>
    <row r="78" spans="1:12" s="82" customFormat="1" ht="54.75" customHeight="1" x14ac:dyDescent="0.2">
      <c r="A78" s="80"/>
      <c r="B78" s="81"/>
      <c r="C78" s="81"/>
      <c r="D78" s="81">
        <f>POAI!E132</f>
        <v>3301</v>
      </c>
      <c r="E78" s="162" t="str">
        <f>POAI!F132</f>
        <v>Promoción y acceso efectivo a procesos culturales y artísticos. "Tú y yo somos cultura Quindiana"</v>
      </c>
      <c r="F78" s="77">
        <f>POAI!Q132</f>
        <v>1471859959</v>
      </c>
      <c r="G78" s="77">
        <f>POAI!AA132</f>
        <v>662000000</v>
      </c>
      <c r="H78" s="77">
        <f>POAI!AB132</f>
        <v>0</v>
      </c>
      <c r="I78" s="77">
        <f>SUM(F78:H78)</f>
        <v>2133859959</v>
      </c>
      <c r="L78" s="120"/>
    </row>
    <row r="79" spans="1:12" s="82" customFormat="1" ht="60" customHeight="1" x14ac:dyDescent="0.2">
      <c r="A79" s="80"/>
      <c r="B79" s="81"/>
      <c r="C79" s="81"/>
      <c r="D79" s="81">
        <f>POAI!E141</f>
        <v>3302</v>
      </c>
      <c r="E79" s="162" t="str">
        <f>POAI!F141</f>
        <v>Gestión, protección y salvaguardia del patrimonio cultural colombiano. "Tú y yo protectores del patrimonio cultural"</v>
      </c>
      <c r="F79" s="78">
        <f>POAI!Q141</f>
        <v>0</v>
      </c>
      <c r="G79" s="78">
        <f>POAI!AA141</f>
        <v>133000000</v>
      </c>
      <c r="H79" s="78">
        <f>POAI!AB141</f>
        <v>263038142</v>
      </c>
      <c r="I79" s="77">
        <f>SUM(F79:H79)</f>
        <v>396038142</v>
      </c>
      <c r="L79" s="120"/>
    </row>
    <row r="80" spans="1:12" s="11" customFormat="1" x14ac:dyDescent="0.2">
      <c r="A80" s="86"/>
      <c r="B80" s="87"/>
      <c r="C80" s="87"/>
      <c r="D80" s="87"/>
      <c r="E80" s="178"/>
      <c r="F80" s="88"/>
      <c r="G80" s="98"/>
      <c r="H80" s="18"/>
      <c r="I80" s="18"/>
      <c r="J80" s="18"/>
      <c r="K80" s="18"/>
      <c r="L80" s="121"/>
    </row>
    <row r="81" spans="1:12" ht="33.75" customHeight="1" x14ac:dyDescent="0.2">
      <c r="A81" s="111" t="s">
        <v>7</v>
      </c>
      <c r="B81" s="112" t="s">
        <v>8</v>
      </c>
      <c r="C81" s="639" t="s">
        <v>1293</v>
      </c>
      <c r="D81" s="112" t="s">
        <v>1149</v>
      </c>
      <c r="E81" s="132" t="s">
        <v>10</v>
      </c>
      <c r="F81" s="113" t="s">
        <v>1151</v>
      </c>
      <c r="G81" s="115" t="s">
        <v>1160</v>
      </c>
      <c r="H81" s="114" t="s">
        <v>1153</v>
      </c>
    </row>
    <row r="82" spans="1:12" ht="36.75" customHeight="1" x14ac:dyDescent="0.2">
      <c r="A82" s="56" t="s">
        <v>331</v>
      </c>
      <c r="B82" s="57"/>
      <c r="C82" s="57"/>
      <c r="D82" s="57"/>
      <c r="E82" s="175"/>
      <c r="F82" s="58">
        <f>F83</f>
        <v>762500000</v>
      </c>
      <c r="G82" s="58">
        <f>G83</f>
        <v>664872304</v>
      </c>
      <c r="H82" s="58">
        <f>H83</f>
        <v>1427372304</v>
      </c>
      <c r="I82" s="22"/>
      <c r="J82" s="1"/>
      <c r="K82" s="1"/>
      <c r="L82" s="122"/>
    </row>
    <row r="83" spans="1:12" ht="23.25" customHeight="1" x14ac:dyDescent="0.2">
      <c r="A83" s="61"/>
      <c r="B83" s="91">
        <f>POAI!B146</f>
        <v>2</v>
      </c>
      <c r="C83" s="74" t="str">
        <f>POAI!C146</f>
        <v>PRODUCTIVIDAD Y COMPETITIVIDAD</v>
      </c>
      <c r="D83" s="74"/>
      <c r="E83" s="173"/>
      <c r="F83" s="75">
        <f>F84+F86</f>
        <v>762500000</v>
      </c>
      <c r="G83" s="75">
        <f>G84+G86</f>
        <v>664872304</v>
      </c>
      <c r="H83" s="75">
        <f>H84+H86</f>
        <v>1427372304</v>
      </c>
      <c r="I83" s="1"/>
      <c r="J83" s="1"/>
      <c r="K83" s="1"/>
      <c r="L83" s="122"/>
    </row>
    <row r="84" spans="1:12" ht="23.25" customHeight="1" x14ac:dyDescent="0.2">
      <c r="A84" s="61"/>
      <c r="B84" s="81"/>
      <c r="C84" s="157">
        <f>POAI!C147</f>
        <v>35</v>
      </c>
      <c r="D84" s="153" t="str">
        <f>POAI!D147</f>
        <v>Comercio, Industria y Turismo</v>
      </c>
      <c r="E84" s="160"/>
      <c r="F84" s="163">
        <f>F85</f>
        <v>525000000</v>
      </c>
      <c r="G84" s="163">
        <f>G85</f>
        <v>664872304</v>
      </c>
      <c r="H84" s="163">
        <f>H85</f>
        <v>1189872304</v>
      </c>
      <c r="I84" s="1"/>
      <c r="J84" s="1"/>
      <c r="K84" s="1"/>
      <c r="L84" s="122"/>
    </row>
    <row r="85" spans="1:12" s="82" customFormat="1" ht="44.25" customHeight="1" x14ac:dyDescent="0.2">
      <c r="A85" s="80"/>
      <c r="B85" s="81"/>
      <c r="C85" s="81"/>
      <c r="D85" s="76">
        <f>POAI!E148</f>
        <v>3502</v>
      </c>
      <c r="E85" s="162" t="str">
        <f>POAI!F148</f>
        <v xml:space="preserve">Productividad y competitividad de las empresas colombianas. "Tú y yo con empresas competitivas" </v>
      </c>
      <c r="F85" s="77">
        <f>POAI!AA148</f>
        <v>525000000</v>
      </c>
      <c r="G85" s="77">
        <f>POAI!AB148</f>
        <v>664872304</v>
      </c>
      <c r="H85" s="77">
        <f>SUM(F85:G85)</f>
        <v>1189872304</v>
      </c>
      <c r="L85" s="120"/>
    </row>
    <row r="86" spans="1:12" s="82" customFormat="1" ht="26.25" customHeight="1" x14ac:dyDescent="0.2">
      <c r="A86" s="80"/>
      <c r="B86" s="81"/>
      <c r="C86" s="157">
        <f>POAI!C157</f>
        <v>36</v>
      </c>
      <c r="D86" s="166" t="str">
        <f>POAI!D157</f>
        <v>Trabajo</v>
      </c>
      <c r="E86" s="165"/>
      <c r="F86" s="184">
        <f>F87</f>
        <v>237500000</v>
      </c>
      <c r="G86" s="184">
        <f>G87</f>
        <v>0</v>
      </c>
      <c r="H86" s="184">
        <f>H87</f>
        <v>237500000</v>
      </c>
      <c r="L86" s="120"/>
    </row>
    <row r="87" spans="1:12" s="82" customFormat="1" ht="45.75" customHeight="1" x14ac:dyDescent="0.2">
      <c r="A87" s="80"/>
      <c r="B87" s="81"/>
      <c r="C87" s="81"/>
      <c r="D87" s="76">
        <f>POAI!E158</f>
        <v>3602</v>
      </c>
      <c r="E87" s="162" t="str">
        <f>POAI!F158</f>
        <v>Generación y formalización del empleo. "Tú y yo con empleo de calidad"</v>
      </c>
      <c r="F87" s="77">
        <f>POAI!AA158</f>
        <v>237500000</v>
      </c>
      <c r="G87" s="77">
        <f>POAI!AB158</f>
        <v>0</v>
      </c>
      <c r="H87" s="77">
        <f>SUM(F87:G87)</f>
        <v>237500000</v>
      </c>
      <c r="L87" s="120"/>
    </row>
    <row r="88" spans="1:12" s="11" customFormat="1" x14ac:dyDescent="0.2">
      <c r="A88" s="86"/>
      <c r="B88" s="87"/>
      <c r="C88" s="87"/>
      <c r="D88" s="87"/>
      <c r="E88" s="178"/>
      <c r="F88" s="88"/>
      <c r="G88" s="98"/>
      <c r="H88" s="18"/>
      <c r="I88" s="18"/>
      <c r="J88" s="18"/>
      <c r="K88" s="18"/>
      <c r="L88" s="121"/>
    </row>
    <row r="89" spans="1:12" s="11" customFormat="1" ht="34.5" customHeight="1" x14ac:dyDescent="0.2">
      <c r="A89" s="111" t="s">
        <v>7</v>
      </c>
      <c r="B89" s="112" t="s">
        <v>8</v>
      </c>
      <c r="C89" s="639" t="s">
        <v>1293</v>
      </c>
      <c r="D89" s="112" t="s">
        <v>1149</v>
      </c>
      <c r="E89" s="132" t="s">
        <v>10</v>
      </c>
      <c r="F89" s="113" t="s">
        <v>1151</v>
      </c>
      <c r="G89" s="98"/>
      <c r="H89" s="18"/>
      <c r="I89" s="18"/>
      <c r="J89" s="18"/>
      <c r="K89" s="18"/>
      <c r="L89" s="121"/>
    </row>
    <row r="90" spans="1:12" ht="29.25" customHeight="1" x14ac:dyDescent="0.2">
      <c r="A90" s="56" t="s">
        <v>377</v>
      </c>
      <c r="B90" s="57"/>
      <c r="C90" s="57"/>
      <c r="D90" s="57"/>
      <c r="E90" s="175"/>
      <c r="F90" s="58">
        <f>F91+F102</f>
        <v>2573248186</v>
      </c>
    </row>
    <row r="91" spans="1:12" ht="26.25" customHeight="1" x14ac:dyDescent="0.2">
      <c r="A91" s="61"/>
      <c r="B91" s="60">
        <f>POAI!B165</f>
        <v>2</v>
      </c>
      <c r="C91" s="74" t="str">
        <f>POAI!C165</f>
        <v>PRODUCTIVIDAD Y COMPETITIVIDAD</v>
      </c>
      <c r="D91" s="74"/>
      <c r="E91" s="173"/>
      <c r="F91" s="75">
        <f>F92+F100</f>
        <v>1226000000</v>
      </c>
      <c r="G91" s="23"/>
      <c r="H91" s="23"/>
      <c r="I91" s="23"/>
      <c r="J91" s="23"/>
      <c r="K91" s="24"/>
    </row>
    <row r="92" spans="1:12" ht="26.25" customHeight="1" x14ac:dyDescent="0.2">
      <c r="A92" s="61"/>
      <c r="C92" s="157">
        <f>POAI!C166</f>
        <v>17</v>
      </c>
      <c r="D92" s="153" t="str">
        <f>POAI!D166</f>
        <v>Agricultura y desarrollo rural</v>
      </c>
      <c r="E92" s="160"/>
      <c r="F92" s="163">
        <f>SUM(F93:F99)</f>
        <v>1190000000</v>
      </c>
      <c r="G92" s="23"/>
      <c r="H92" s="23"/>
      <c r="I92" s="23"/>
      <c r="J92" s="23"/>
      <c r="K92" s="24"/>
    </row>
    <row r="93" spans="1:12" ht="52.5" customHeight="1" x14ac:dyDescent="0.2">
      <c r="A93" s="61"/>
      <c r="B93" s="62"/>
      <c r="C93" s="62"/>
      <c r="D93" s="81">
        <f>POAI!E167</f>
        <v>1702</v>
      </c>
      <c r="E93" s="604" t="str">
        <f>POAI!F167</f>
        <v>Inclusión productiva de pequeños productores rurales. "Tú y yo con oportunidades para el pequeño campesino"</v>
      </c>
      <c r="F93" s="77">
        <f>POAI!AA167</f>
        <v>834000000</v>
      </c>
      <c r="G93" s="23"/>
      <c r="H93" s="23"/>
      <c r="I93" s="23"/>
      <c r="J93" s="23"/>
      <c r="K93" s="24"/>
    </row>
    <row r="94" spans="1:12" ht="62.25" customHeight="1" x14ac:dyDescent="0.2">
      <c r="A94" s="61"/>
      <c r="B94" s="62"/>
      <c r="C94" s="62"/>
      <c r="D94" s="81">
        <f>POAI!E179</f>
        <v>1703</v>
      </c>
      <c r="E94" s="162" t="str">
        <f>POAI!F179</f>
        <v>Servicios financieros y gestión del riesgo para las actividades agropecuarias y rurales. "Tú y yo con un campo protegido"</v>
      </c>
      <c r="F94" s="77">
        <f>POAI!AA179</f>
        <v>75000000</v>
      </c>
      <c r="G94" s="23"/>
      <c r="H94" s="23"/>
      <c r="I94" s="23"/>
      <c r="J94" s="23"/>
      <c r="K94" s="24"/>
      <c r="L94" s="122"/>
    </row>
    <row r="95" spans="1:12" ht="49.5" customHeight="1" x14ac:dyDescent="0.2">
      <c r="A95" s="61"/>
      <c r="B95" s="62"/>
      <c r="C95" s="62"/>
      <c r="D95" s="81">
        <f>POAI!E181</f>
        <v>1704</v>
      </c>
      <c r="E95" s="162" t="str">
        <f>POAI!F181</f>
        <v>Ordenamiento social y uso productivo del territorio rural. "Tú y yo con un campo planificado"</v>
      </c>
      <c r="F95" s="77">
        <f>POAI!AA181</f>
        <v>70000000</v>
      </c>
      <c r="G95" s="26"/>
      <c r="H95" s="26"/>
      <c r="I95" s="26"/>
      <c r="J95" s="26"/>
      <c r="K95" s="24"/>
      <c r="L95" s="122"/>
    </row>
    <row r="96" spans="1:12" ht="39.75" customHeight="1" x14ac:dyDescent="0.2">
      <c r="A96" s="61"/>
      <c r="B96" s="62"/>
      <c r="C96" s="62"/>
      <c r="D96" s="81">
        <f>POAI!E184</f>
        <v>1706</v>
      </c>
      <c r="E96" s="162" t="str">
        <f>POAI!F184</f>
        <v>Aprovechamiento de mercados externos. "Tú y yo a los mercados internacionales"</v>
      </c>
      <c r="F96" s="77">
        <f>POAI!AA184</f>
        <v>20000000</v>
      </c>
      <c r="G96" s="23"/>
      <c r="H96" s="23"/>
      <c r="I96" s="23"/>
      <c r="J96" s="23"/>
      <c r="K96" s="24"/>
      <c r="L96" s="122"/>
    </row>
    <row r="97" spans="1:12" ht="57" customHeight="1" x14ac:dyDescent="0.2">
      <c r="A97" s="61"/>
      <c r="B97" s="62"/>
      <c r="C97" s="62"/>
      <c r="D97" s="81">
        <f>POAI!E186</f>
        <v>1707</v>
      </c>
      <c r="E97" s="162" t="str">
        <f>POAI!F186</f>
        <v>Sanidad agropecuaria e inocuidad agroalimentaria. "Tú y yo con un agro saludable"</v>
      </c>
      <c r="F97" s="77">
        <f>POAI!AA186</f>
        <v>43000000</v>
      </c>
      <c r="G97" s="23"/>
      <c r="H97" s="23"/>
      <c r="I97" s="23"/>
      <c r="J97" s="23"/>
      <c r="K97" s="24"/>
      <c r="L97" s="122"/>
    </row>
    <row r="98" spans="1:12" ht="57" customHeight="1" x14ac:dyDescent="0.2">
      <c r="A98" s="61"/>
      <c r="B98" s="62"/>
      <c r="C98" s="62"/>
      <c r="D98" s="81">
        <f>POAI!E188</f>
        <v>1708</v>
      </c>
      <c r="E98" s="162" t="str">
        <f>POAI!F188</f>
        <v>Ciencia, tecnología e innovación agropecuaria. "Tú y yo con un agro interconectado"</v>
      </c>
      <c r="F98" s="77">
        <f>POAI!AA188</f>
        <v>40000000</v>
      </c>
      <c r="G98" s="23"/>
      <c r="H98" s="23"/>
      <c r="I98" s="23"/>
      <c r="J98" s="23"/>
      <c r="K98" s="24"/>
    </row>
    <row r="99" spans="1:12" ht="39.75" customHeight="1" x14ac:dyDescent="0.2">
      <c r="A99" s="61"/>
      <c r="B99" s="62"/>
      <c r="C99" s="62"/>
      <c r="D99" s="81">
        <f>POAI!E191</f>
        <v>1709</v>
      </c>
      <c r="E99" s="162" t="str">
        <f>POAI!F191</f>
        <v>Infraestructura productiva y comercialización. "Tú y yo con agro competitivo"</v>
      </c>
      <c r="F99" s="77">
        <f>POAI!AA191</f>
        <v>108000000</v>
      </c>
      <c r="G99" s="26"/>
      <c r="H99" s="26"/>
      <c r="I99" s="26"/>
      <c r="J99" s="26"/>
      <c r="K99" s="24"/>
    </row>
    <row r="100" spans="1:12" ht="25.5" customHeight="1" x14ac:dyDescent="0.2">
      <c r="A100" s="61"/>
      <c r="B100" s="62"/>
      <c r="C100" s="157">
        <f>POAI!C195</f>
        <v>35</v>
      </c>
      <c r="D100" s="153" t="str">
        <f>POAI!D195</f>
        <v>Comercio, Industria y Turismo</v>
      </c>
      <c r="E100" s="160"/>
      <c r="F100" s="163">
        <f>F101</f>
        <v>36000000</v>
      </c>
      <c r="G100" s="26"/>
      <c r="H100" s="26"/>
      <c r="I100" s="26"/>
      <c r="J100" s="26"/>
      <c r="K100" s="24"/>
    </row>
    <row r="101" spans="1:12" ht="62.25" customHeight="1" x14ac:dyDescent="0.2">
      <c r="A101" s="61"/>
      <c r="B101" s="62"/>
      <c r="C101" s="62"/>
      <c r="D101" s="81">
        <f>POAI!E196</f>
        <v>3502</v>
      </c>
      <c r="E101" s="162" t="str">
        <f>POAI!F196</f>
        <v xml:space="preserve">Productividad y competitividad de las empresas colombianas. "Tú y yo con empresas competitivas" </v>
      </c>
      <c r="F101" s="77">
        <f>POAI!AA196</f>
        <v>36000000</v>
      </c>
      <c r="G101" s="23"/>
      <c r="H101" s="23"/>
      <c r="I101" s="23"/>
      <c r="J101" s="23"/>
      <c r="K101" s="24"/>
    </row>
    <row r="102" spans="1:12" ht="24.75" customHeight="1" x14ac:dyDescent="0.2">
      <c r="A102" s="61"/>
      <c r="B102" s="60">
        <f>POAI!B199</f>
        <v>3</v>
      </c>
      <c r="C102" s="74" t="str">
        <f>POAI!C199</f>
        <v xml:space="preserve">TERRITORIO, AMBIENTE Y DESARROLLO SOSTENIBLE </v>
      </c>
      <c r="D102" s="74"/>
      <c r="E102" s="173"/>
      <c r="F102" s="75">
        <f>F103</f>
        <v>1347248186</v>
      </c>
      <c r="G102" s="23"/>
      <c r="H102" s="23"/>
      <c r="I102" s="23"/>
      <c r="J102" s="23"/>
      <c r="K102" s="24"/>
    </row>
    <row r="103" spans="1:12" ht="24.75" customHeight="1" x14ac:dyDescent="0.2">
      <c r="A103" s="61"/>
      <c r="B103" s="81"/>
      <c r="C103" s="157">
        <f>POAI!C200</f>
        <v>32</v>
      </c>
      <c r="D103" s="153" t="str">
        <f>POAI!D200</f>
        <v>Ambiente y desarrollo sostenible</v>
      </c>
      <c r="E103" s="160"/>
      <c r="F103" s="163">
        <f>SUM(F104:F108)</f>
        <v>1347248186</v>
      </c>
      <c r="G103" s="23"/>
      <c r="H103" s="23"/>
      <c r="I103" s="23"/>
      <c r="J103" s="23"/>
      <c r="K103" s="24"/>
    </row>
    <row r="104" spans="1:12" s="82" customFormat="1" ht="57" customHeight="1" x14ac:dyDescent="0.2">
      <c r="A104" s="80"/>
      <c r="B104" s="81"/>
      <c r="C104" s="81"/>
      <c r="D104" s="81" t="str">
        <f>POAI!E201</f>
        <v>3201</v>
      </c>
      <c r="E104" s="162" t="str">
        <f>POAI!F201</f>
        <v>Fortalecimiento del desempeño ambiental de los sectores productivos. "Tú y yo guardianes de la biodiversidad.</v>
      </c>
      <c r="F104" s="77">
        <f>POAI!AA201</f>
        <v>82000000</v>
      </c>
      <c r="G104" s="89"/>
      <c r="H104" s="89"/>
      <c r="I104" s="89"/>
      <c r="J104" s="89"/>
      <c r="K104" s="25"/>
      <c r="L104" s="120"/>
    </row>
    <row r="105" spans="1:12" s="82" customFormat="1" ht="60.75" customHeight="1" x14ac:dyDescent="0.2">
      <c r="A105" s="80"/>
      <c r="B105" s="81"/>
      <c r="C105" s="81"/>
      <c r="D105" s="81">
        <f>POAI!E204</f>
        <v>3202</v>
      </c>
      <c r="E105" s="162" t="str">
        <f>POAI!F204</f>
        <v>Conservación de la biodiversidad y sus servicios ecosistémicos. "Tú y yo en territorios biodiversos"</v>
      </c>
      <c r="F105" s="77">
        <f>POAI!AA204</f>
        <v>945248186</v>
      </c>
      <c r="G105" s="89"/>
      <c r="H105" s="89"/>
      <c r="I105" s="89"/>
      <c r="J105" s="89"/>
      <c r="K105" s="25"/>
      <c r="L105" s="120"/>
    </row>
    <row r="106" spans="1:12" s="82" customFormat="1" ht="59.25" customHeight="1" x14ac:dyDescent="0.2">
      <c r="A106" s="80"/>
      <c r="B106" s="81"/>
      <c r="C106" s="81"/>
      <c r="D106" s="81" t="str">
        <f>POAI!E211</f>
        <v>3204</v>
      </c>
      <c r="E106" s="162" t="str">
        <f>POAI!F211</f>
        <v>Gestión de la información y en conocimiento ambiental. "Tú y yo conscientes con la naturaleza"</v>
      </c>
      <c r="F106" s="77">
        <f>POAI!AA211</f>
        <v>120000000</v>
      </c>
      <c r="G106" s="89"/>
      <c r="H106" s="89"/>
      <c r="I106" s="89"/>
      <c r="J106" s="89"/>
      <c r="K106" s="25"/>
      <c r="L106" s="120"/>
    </row>
    <row r="107" spans="1:12" s="82" customFormat="1" ht="51" customHeight="1" x14ac:dyDescent="0.2">
      <c r="A107" s="80"/>
      <c r="B107" s="81"/>
      <c r="C107" s="81"/>
      <c r="D107" s="81">
        <f>POAI!E213</f>
        <v>3205</v>
      </c>
      <c r="E107" s="162" t="str">
        <f>POAI!F213</f>
        <v>Ordenamiento Ambiental Territorial. "Tú y yo planificamos con sentido ambiental"</v>
      </c>
      <c r="F107" s="77">
        <f>POAI!AA213</f>
        <v>82000000</v>
      </c>
      <c r="G107" s="89"/>
      <c r="H107" s="89"/>
      <c r="I107" s="89"/>
      <c r="J107" s="89"/>
      <c r="K107" s="25"/>
      <c r="L107" s="120"/>
    </row>
    <row r="108" spans="1:12" s="82" customFormat="1" ht="51.75" customHeight="1" x14ac:dyDescent="0.2">
      <c r="A108" s="80"/>
      <c r="B108" s="81"/>
      <c r="C108" s="81"/>
      <c r="D108" s="81" t="str">
        <f>POAI!E217</f>
        <v>3206</v>
      </c>
      <c r="E108" s="604" t="str">
        <f>POAI!F217</f>
        <v>Gestión del cambio climático para un desarrollo bajo en carbono y resiliente al clima. "Tú y yo preparados para el cambio climático"</v>
      </c>
      <c r="F108" s="77">
        <f>POAI!AA217</f>
        <v>118000000</v>
      </c>
      <c r="G108" s="89"/>
      <c r="H108" s="89"/>
      <c r="I108" s="89"/>
      <c r="J108" s="89"/>
      <c r="K108" s="25"/>
      <c r="L108" s="120"/>
    </row>
    <row r="109" spans="1:12" s="11" customFormat="1" x14ac:dyDescent="0.2">
      <c r="A109" s="86"/>
      <c r="B109" s="87"/>
      <c r="C109" s="87"/>
      <c r="D109" s="87"/>
      <c r="E109" s="178"/>
      <c r="F109" s="88"/>
      <c r="G109" s="98"/>
      <c r="H109" s="18"/>
      <c r="I109" s="18"/>
      <c r="J109" s="18"/>
      <c r="K109" s="18"/>
      <c r="L109" s="121"/>
    </row>
    <row r="110" spans="1:12" s="11" customFormat="1" ht="33.75" customHeight="1" x14ac:dyDescent="0.2">
      <c r="A110" s="111" t="s">
        <v>7</v>
      </c>
      <c r="B110" s="112" t="s">
        <v>8</v>
      </c>
      <c r="C110" s="639" t="s">
        <v>1293</v>
      </c>
      <c r="D110" s="112" t="s">
        <v>1149</v>
      </c>
      <c r="E110" s="132" t="s">
        <v>10</v>
      </c>
      <c r="F110" s="185" t="s">
        <v>1151</v>
      </c>
      <c r="G110" s="98"/>
      <c r="H110" s="18"/>
      <c r="I110" s="18"/>
      <c r="J110" s="18"/>
      <c r="K110" s="18"/>
      <c r="L110" s="121"/>
    </row>
    <row r="111" spans="1:12" ht="25.5" customHeight="1" x14ac:dyDescent="0.2">
      <c r="A111" s="56" t="s">
        <v>545</v>
      </c>
      <c r="B111" s="57"/>
      <c r="C111" s="57"/>
      <c r="D111" s="57"/>
      <c r="E111" s="175"/>
      <c r="F111" s="58">
        <f>F112</f>
        <v>695000000</v>
      </c>
    </row>
    <row r="112" spans="1:12" ht="24" customHeight="1" x14ac:dyDescent="0.2">
      <c r="A112" s="61"/>
      <c r="B112" s="60">
        <f>POAI!B223</f>
        <v>4</v>
      </c>
      <c r="C112" s="74" t="str">
        <f>POAI!C223</f>
        <v xml:space="preserve">LIDERAZGO, GOBERNABILIDAD Y TRANSPARENCIA </v>
      </c>
      <c r="D112" s="74"/>
      <c r="E112" s="173"/>
      <c r="F112" s="75">
        <f>F113</f>
        <v>695000000</v>
      </c>
    </row>
    <row r="113" spans="1:18" ht="24" customHeight="1" x14ac:dyDescent="0.2">
      <c r="A113" s="61"/>
      <c r="B113" s="81"/>
      <c r="C113" s="157">
        <f>POAI!C224</f>
        <v>45</v>
      </c>
      <c r="D113" s="153" t="str">
        <f>POAI!D224</f>
        <v>Gobierno territorial</v>
      </c>
      <c r="E113" s="160"/>
      <c r="F113" s="163">
        <f>SUM(F114:F115)</f>
        <v>695000000</v>
      </c>
    </row>
    <row r="114" spans="1:18" s="92" customFormat="1" ht="79.5" customHeight="1" x14ac:dyDescent="0.25">
      <c r="A114" s="78"/>
      <c r="B114" s="81"/>
      <c r="C114" s="81"/>
      <c r="D114" s="81">
        <f>POAI!E225</f>
        <v>4599</v>
      </c>
      <c r="E114" s="162" t="str">
        <f>POAI!F225</f>
        <v>Fortalecimiento a la gestión y dirección de la administración pública territorial "Quindío con una administración al servicio de la ciudadanía"</v>
      </c>
      <c r="F114" s="77">
        <f>POAI!AA225</f>
        <v>550000000</v>
      </c>
      <c r="L114" s="123"/>
    </row>
    <row r="115" spans="1:18" s="82" customFormat="1" ht="66" customHeight="1" x14ac:dyDescent="0.2">
      <c r="A115" s="80"/>
      <c r="B115" s="81"/>
      <c r="C115" s="81"/>
      <c r="D115" s="81">
        <f>POAI!E228</f>
        <v>4502</v>
      </c>
      <c r="E115" s="162" t="str">
        <f>POAI!F228</f>
        <v>Fortalecimiento del buen gobierno para el respeto y garantía de los derechos humanos. "Quindío integrado y participativo"</v>
      </c>
      <c r="F115" s="78">
        <f>POAI!AA228</f>
        <v>145000000</v>
      </c>
      <c r="G115" s="97"/>
      <c r="L115" s="120"/>
      <c r="M115" s="642" t="s">
        <v>1161</v>
      </c>
      <c r="N115" s="642" t="s">
        <v>1162</v>
      </c>
      <c r="O115" s="642" t="s">
        <v>1163</v>
      </c>
      <c r="P115" s="642" t="s">
        <v>1164</v>
      </c>
      <c r="Q115" s="642" t="s">
        <v>1151</v>
      </c>
      <c r="R115" s="642" t="s">
        <v>1153</v>
      </c>
    </row>
    <row r="116" spans="1:18" s="11" customFormat="1" x14ac:dyDescent="0.2">
      <c r="A116" s="86"/>
      <c r="B116" s="87"/>
      <c r="C116" s="87"/>
      <c r="D116" s="87"/>
      <c r="E116" s="178"/>
      <c r="F116" s="88"/>
      <c r="G116" s="98"/>
      <c r="H116" s="18"/>
      <c r="I116" s="18"/>
      <c r="J116" s="18"/>
      <c r="K116" s="18"/>
      <c r="L116" s="121"/>
      <c r="M116" s="643">
        <f>1304977490/1000</f>
        <v>1304977.49</v>
      </c>
      <c r="N116" s="643">
        <f>143885000000/1000</f>
        <v>143885000</v>
      </c>
      <c r="O116" s="643">
        <f>25145000000/1000</f>
        <v>25145000</v>
      </c>
      <c r="P116" s="643">
        <f>12990000000/1000</f>
        <v>12990000</v>
      </c>
      <c r="Q116" s="643">
        <f>5008147242/1000</f>
        <v>5008147.2419999996</v>
      </c>
      <c r="R116" s="643">
        <f>188333124732/1000</f>
        <v>188333124.73199999</v>
      </c>
    </row>
    <row r="117" spans="1:18" s="11" customFormat="1" ht="32.25" customHeight="1" x14ac:dyDescent="0.2">
      <c r="A117" s="111" t="s">
        <v>7</v>
      </c>
      <c r="B117" s="112" t="s">
        <v>8</v>
      </c>
      <c r="C117" s="639" t="s">
        <v>1293</v>
      </c>
      <c r="D117" s="112" t="s">
        <v>1149</v>
      </c>
      <c r="E117" s="132" t="s">
        <v>10</v>
      </c>
      <c r="F117" s="115" t="s">
        <v>1161</v>
      </c>
      <c r="G117" s="115" t="s">
        <v>1162</v>
      </c>
      <c r="H117" s="115" t="s">
        <v>1163</v>
      </c>
      <c r="I117" s="114" t="s">
        <v>1164</v>
      </c>
      <c r="J117" s="128" t="s">
        <v>1151</v>
      </c>
      <c r="K117" s="131" t="s">
        <v>1153</v>
      </c>
      <c r="L117" s="121"/>
      <c r="M117" s="644">
        <f>+M116/$R$116*100</f>
        <v>0.69290916924837131</v>
      </c>
      <c r="N117" s="644">
        <f t="shared" ref="N117:R117" si="4">+N116/$R$116*100</f>
        <v>76.399199665353535</v>
      </c>
      <c r="O117" s="644">
        <f t="shared" si="4"/>
        <v>13.351342221811272</v>
      </c>
      <c r="P117" s="644">
        <f t="shared" si="4"/>
        <v>6.8973527723733703</v>
      </c>
      <c r="Q117" s="644">
        <f t="shared" si="4"/>
        <v>2.6591961712134524</v>
      </c>
      <c r="R117" s="644">
        <f t="shared" si="4"/>
        <v>100</v>
      </c>
    </row>
    <row r="118" spans="1:18" ht="27" customHeight="1" x14ac:dyDescent="0.2">
      <c r="A118" s="56" t="s">
        <v>562</v>
      </c>
      <c r="B118" s="57"/>
      <c r="C118" s="57"/>
      <c r="D118" s="57"/>
      <c r="E118" s="175"/>
      <c r="F118" s="58">
        <f t="shared" ref="F118:K118" si="5">F119+F123</f>
        <v>1304977490</v>
      </c>
      <c r="G118" s="58">
        <f t="shared" si="5"/>
        <v>143885000000</v>
      </c>
      <c r="H118" s="58">
        <f t="shared" si="5"/>
        <v>25145000000</v>
      </c>
      <c r="I118" s="58">
        <f t="shared" si="5"/>
        <v>12990000000</v>
      </c>
      <c r="J118" s="129">
        <f t="shared" si="5"/>
        <v>5008147242</v>
      </c>
      <c r="K118" s="58">
        <f t="shared" si="5"/>
        <v>188333124732</v>
      </c>
      <c r="L118" s="122"/>
      <c r="M118" s="22"/>
    </row>
    <row r="119" spans="1:18" ht="27.75" customHeight="1" x14ac:dyDescent="0.2">
      <c r="A119" s="61"/>
      <c r="B119" s="60">
        <f>POAI!B232</f>
        <v>1</v>
      </c>
      <c r="C119" s="74" t="str">
        <f>POAI!C232</f>
        <v xml:space="preserve">INCLUSIÓN SOCIAL Y EQUIDAD </v>
      </c>
      <c r="D119" s="74" t="s">
        <v>120</v>
      </c>
      <c r="E119" s="173"/>
      <c r="F119" s="75">
        <f t="shared" ref="F119:K119" si="6">F120</f>
        <v>1304977490</v>
      </c>
      <c r="G119" s="75">
        <f t="shared" si="6"/>
        <v>143885000000</v>
      </c>
      <c r="H119" s="75">
        <f t="shared" si="6"/>
        <v>25145000000</v>
      </c>
      <c r="I119" s="75">
        <f t="shared" si="6"/>
        <v>12990000000</v>
      </c>
      <c r="J119" s="75">
        <f t="shared" si="6"/>
        <v>5000647242</v>
      </c>
      <c r="K119" s="75">
        <f t="shared" si="6"/>
        <v>188325624732</v>
      </c>
      <c r="L119" s="122"/>
    </row>
    <row r="120" spans="1:18" ht="27.75" customHeight="1" x14ac:dyDescent="0.2">
      <c r="A120" s="61"/>
      <c r="B120" s="81"/>
      <c r="C120" s="157">
        <f>POAI!C233</f>
        <v>22</v>
      </c>
      <c r="D120" s="153" t="str">
        <f>POAI!D233</f>
        <v>Educación</v>
      </c>
      <c r="E120" s="160"/>
      <c r="F120" s="163">
        <f t="shared" ref="F120:K120" si="7">SUM(F121:F122)</f>
        <v>1304977490</v>
      </c>
      <c r="G120" s="163">
        <f t="shared" si="7"/>
        <v>143885000000</v>
      </c>
      <c r="H120" s="163">
        <f t="shared" si="7"/>
        <v>25145000000</v>
      </c>
      <c r="I120" s="163">
        <f t="shared" si="7"/>
        <v>12990000000</v>
      </c>
      <c r="J120" s="163">
        <f t="shared" si="7"/>
        <v>5000647242</v>
      </c>
      <c r="K120" s="163">
        <f t="shared" si="7"/>
        <v>188325624732</v>
      </c>
      <c r="L120" s="122"/>
    </row>
    <row r="121" spans="1:18" s="82" customFormat="1" ht="56.25" customHeight="1" x14ac:dyDescent="0.2">
      <c r="A121" s="80"/>
      <c r="B121" s="81"/>
      <c r="C121" s="81"/>
      <c r="D121" s="76">
        <f>POAI!E234</f>
        <v>2201</v>
      </c>
      <c r="E121" s="162" t="str">
        <f>POAI!F234</f>
        <v>Calidad, cobertura y fortalecimiento de la educación inicial, prescolar, básica y media." Tú y yo con educación y de calidad"</v>
      </c>
      <c r="F121" s="78">
        <f>POAI!T234</f>
        <v>1304977490</v>
      </c>
      <c r="G121" s="78">
        <f>POAI!W234</f>
        <v>143885000000</v>
      </c>
      <c r="H121" s="78">
        <f>POAI!X234</f>
        <v>25145000000</v>
      </c>
      <c r="I121" s="78">
        <f>POAI!Y234</f>
        <v>12990000000</v>
      </c>
      <c r="J121" s="130">
        <f>POAI!AA234</f>
        <v>4900647242</v>
      </c>
      <c r="K121" s="78">
        <f>SUM(F121:J121)</f>
        <v>188225624732</v>
      </c>
      <c r="L121" s="116"/>
    </row>
    <row r="122" spans="1:18" s="82" customFormat="1" ht="51" customHeight="1" x14ac:dyDescent="0.2">
      <c r="A122" s="80"/>
      <c r="B122" s="81"/>
      <c r="C122" s="81"/>
      <c r="D122" s="81">
        <f>POAI!E269</f>
        <v>2202</v>
      </c>
      <c r="E122" s="162" t="str">
        <f>POAI!F269</f>
        <v>Calidad y formento de la Educación "Tú y yo preparados para la educación superior"</v>
      </c>
      <c r="F122" s="77">
        <f>POAI!T269</f>
        <v>0</v>
      </c>
      <c r="G122" s="78">
        <f>POAI!W269</f>
        <v>0</v>
      </c>
      <c r="H122" s="78">
        <f>POAI!X269</f>
        <v>0</v>
      </c>
      <c r="I122" s="78">
        <f>POAI!Y269</f>
        <v>0</v>
      </c>
      <c r="J122" s="130">
        <f>POAI!AA269</f>
        <v>100000000</v>
      </c>
      <c r="K122" s="78">
        <f>SUM(F122:J122)</f>
        <v>100000000</v>
      </c>
      <c r="L122" s="120"/>
    </row>
    <row r="123" spans="1:18" ht="25.5" customHeight="1" x14ac:dyDescent="0.2">
      <c r="A123" s="61"/>
      <c r="B123" s="60">
        <f>POAI!B271</f>
        <v>2</v>
      </c>
      <c r="C123" s="74" t="str">
        <f>POAI!C271</f>
        <v>PRODUCTIVIDAD Y COMPETITIVIDAD</v>
      </c>
      <c r="D123" s="74"/>
      <c r="E123" s="173"/>
      <c r="F123" s="75">
        <f t="shared" ref="F123:K124" si="8">F124</f>
        <v>0</v>
      </c>
      <c r="G123" s="75">
        <f t="shared" si="8"/>
        <v>0</v>
      </c>
      <c r="H123" s="75">
        <f t="shared" si="8"/>
        <v>0</v>
      </c>
      <c r="I123" s="75">
        <f t="shared" si="8"/>
        <v>0</v>
      </c>
      <c r="J123" s="75">
        <f t="shared" si="8"/>
        <v>7500000</v>
      </c>
      <c r="K123" s="75">
        <f t="shared" si="8"/>
        <v>7500000</v>
      </c>
    </row>
    <row r="124" spans="1:18" ht="25.5" customHeight="1" x14ac:dyDescent="0.2">
      <c r="A124" s="61"/>
      <c r="B124" s="81"/>
      <c r="C124" s="157">
        <f>POAI!C272</f>
        <v>39</v>
      </c>
      <c r="D124" s="153" t="str">
        <f>POAI!D272</f>
        <v>Ciencia, Tecnolgía e Innovación</v>
      </c>
      <c r="E124" s="153"/>
      <c r="F124" s="163">
        <f t="shared" si="8"/>
        <v>0</v>
      </c>
      <c r="G124" s="163">
        <f t="shared" si="8"/>
        <v>0</v>
      </c>
      <c r="H124" s="163">
        <f t="shared" si="8"/>
        <v>0</v>
      </c>
      <c r="I124" s="163">
        <f t="shared" si="8"/>
        <v>0</v>
      </c>
      <c r="J124" s="163">
        <f t="shared" si="8"/>
        <v>7500000</v>
      </c>
      <c r="K124" s="163">
        <f t="shared" si="8"/>
        <v>7500000</v>
      </c>
    </row>
    <row r="125" spans="1:18" s="82" customFormat="1" ht="45.75" customHeight="1" x14ac:dyDescent="0.2">
      <c r="A125" s="80"/>
      <c r="B125" s="81"/>
      <c r="C125" s="81"/>
      <c r="D125" s="81">
        <f>POAI!E273</f>
        <v>3904</v>
      </c>
      <c r="E125" s="162" t="str">
        <f>POAI!F273</f>
        <v>Generación de una cultura qué valora y gestiona en conocimiento y la innovación.</v>
      </c>
      <c r="F125" s="77">
        <f>POAI!T273</f>
        <v>0</v>
      </c>
      <c r="G125" s="78">
        <f>POAI!W273</f>
        <v>0</v>
      </c>
      <c r="H125" s="78">
        <f>POAI!X273</f>
        <v>0</v>
      </c>
      <c r="I125" s="78">
        <f>POAI!Y273</f>
        <v>0</v>
      </c>
      <c r="J125" s="130">
        <f>POAI!AA273</f>
        <v>7500000</v>
      </c>
      <c r="K125" s="78">
        <f>SUM(F125:J125)</f>
        <v>7500000</v>
      </c>
      <c r="L125" s="120"/>
    </row>
    <row r="126" spans="1:18" s="11" customFormat="1" x14ac:dyDescent="0.2">
      <c r="A126" s="86"/>
      <c r="B126" s="87"/>
      <c r="C126" s="87"/>
      <c r="D126" s="87"/>
      <c r="E126" s="178"/>
      <c r="F126" s="88"/>
      <c r="G126" s="98"/>
      <c r="H126" s="18"/>
      <c r="I126" s="18"/>
      <c r="J126" s="18"/>
      <c r="K126" s="18"/>
      <c r="L126" s="121"/>
    </row>
    <row r="127" spans="1:18" ht="27.75" customHeight="1" x14ac:dyDescent="0.2">
      <c r="A127" s="111" t="s">
        <v>7</v>
      </c>
      <c r="B127" s="112" t="s">
        <v>8</v>
      </c>
      <c r="C127" s="639" t="s">
        <v>1293</v>
      </c>
      <c r="D127" s="112" t="s">
        <v>1149</v>
      </c>
      <c r="E127" s="132" t="s">
        <v>10</v>
      </c>
      <c r="F127" s="115" t="s">
        <v>1165</v>
      </c>
      <c r="G127" s="115" t="s">
        <v>1151</v>
      </c>
      <c r="H127" s="115" t="s">
        <v>1153</v>
      </c>
    </row>
    <row r="128" spans="1:18" s="11" customFormat="1" ht="24.75" customHeight="1" x14ac:dyDescent="0.2">
      <c r="A128" s="56" t="s">
        <v>670</v>
      </c>
      <c r="B128" s="57"/>
      <c r="C128" s="57"/>
      <c r="D128" s="57"/>
      <c r="E128" s="175"/>
      <c r="F128" s="85">
        <f>F129+F138+F143</f>
        <v>3526539574</v>
      </c>
      <c r="G128" s="85">
        <f>G129+G138+G143</f>
        <v>1656250000</v>
      </c>
      <c r="H128" s="85">
        <f>H129+H138+H143</f>
        <v>5182789574</v>
      </c>
      <c r="I128" s="18"/>
      <c r="J128" s="98"/>
      <c r="K128" s="18"/>
      <c r="L128" s="121"/>
    </row>
    <row r="129" spans="1:12" s="11" customFormat="1" ht="20.25" customHeight="1" x14ac:dyDescent="0.2">
      <c r="A129" s="63"/>
      <c r="B129" s="60">
        <f>POAI!B277</f>
        <v>1</v>
      </c>
      <c r="C129" s="74" t="str">
        <f>POAI!C277</f>
        <v xml:space="preserve">INCLUSIÓN SOCIAL Y EQUIDAD </v>
      </c>
      <c r="D129" s="74"/>
      <c r="E129" s="173"/>
      <c r="F129" s="75">
        <f>F130+F132+F134</f>
        <v>3526539574</v>
      </c>
      <c r="G129" s="75">
        <f t="shared" ref="G129:H129" si="9">G130+G132+G134</f>
        <v>1265250000</v>
      </c>
      <c r="H129" s="75">
        <f t="shared" si="9"/>
        <v>4791789574</v>
      </c>
      <c r="I129" s="18"/>
      <c r="J129" s="18"/>
      <c r="K129" s="18"/>
      <c r="L129" s="121"/>
    </row>
    <row r="130" spans="1:12" s="11" customFormat="1" ht="20.25" customHeight="1" x14ac:dyDescent="0.2">
      <c r="A130" s="63"/>
      <c r="B130" s="81"/>
      <c r="C130" s="157">
        <f>POAI!C278</f>
        <v>19</v>
      </c>
      <c r="D130" s="153" t="str">
        <f>POAI!D278</f>
        <v>Salud y protección social</v>
      </c>
      <c r="E130" s="160"/>
      <c r="F130" s="163">
        <f>F131</f>
        <v>0</v>
      </c>
      <c r="G130" s="163">
        <f>G131</f>
        <v>175000000</v>
      </c>
      <c r="H130" s="163">
        <f>H131</f>
        <v>175000000</v>
      </c>
      <c r="I130" s="18"/>
      <c r="J130" s="18"/>
      <c r="K130" s="18"/>
      <c r="L130" s="121"/>
    </row>
    <row r="131" spans="1:12" s="95" customFormat="1" ht="32.25" customHeight="1" x14ac:dyDescent="0.2">
      <c r="A131" s="93"/>
      <c r="B131" s="81"/>
      <c r="C131" s="81"/>
      <c r="D131" s="81">
        <f>POAI!E279</f>
        <v>1905</v>
      </c>
      <c r="E131" s="172" t="str">
        <f>POAI!F279</f>
        <v>Salud Pública, "Tú y yo con salud de calidad"</v>
      </c>
      <c r="F131" s="77">
        <f>POAI!Q279</f>
        <v>0</v>
      </c>
      <c r="G131" s="77">
        <f>POAI!AA279</f>
        <v>175000000</v>
      </c>
      <c r="H131" s="77">
        <f>SUM(F131:G131)</f>
        <v>175000000</v>
      </c>
      <c r="L131" s="124"/>
    </row>
    <row r="132" spans="1:12" s="95" customFormat="1" ht="32.25" customHeight="1" x14ac:dyDescent="0.2">
      <c r="A132" s="93"/>
      <c r="B132" s="81"/>
      <c r="C132" s="157">
        <f>POAI!C282</f>
        <v>33</v>
      </c>
      <c r="D132" s="166" t="str">
        <f>POAI!D282</f>
        <v>Cultura</v>
      </c>
      <c r="E132" s="165"/>
      <c r="F132" s="163">
        <f>F133</f>
        <v>0</v>
      </c>
      <c r="G132" s="163">
        <f>G133</f>
        <v>14250000</v>
      </c>
      <c r="H132" s="163">
        <f>H133</f>
        <v>14250000</v>
      </c>
      <c r="L132" s="124"/>
    </row>
    <row r="133" spans="1:12" s="95" customFormat="1" ht="48" customHeight="1" x14ac:dyDescent="0.2">
      <c r="A133" s="93"/>
      <c r="B133" s="81"/>
      <c r="C133" s="81"/>
      <c r="D133" s="81">
        <f>POAI!E283</f>
        <v>3301</v>
      </c>
      <c r="E133" s="162" t="str">
        <f>POAI!F283</f>
        <v>Promoción y acceso efectivo a procesos culturales y artísticos. "Tú y yo somos cultura Quindiana"</v>
      </c>
      <c r="F133" s="77">
        <f>POAI!Q283</f>
        <v>0</v>
      </c>
      <c r="G133" s="77">
        <f>POAI!AA283</f>
        <v>14250000</v>
      </c>
      <c r="H133" s="77">
        <f t="shared" ref="H133:H137" si="10">SUM(F133:G133)</f>
        <v>14250000</v>
      </c>
      <c r="L133" s="124"/>
    </row>
    <row r="134" spans="1:12" s="95" customFormat="1" ht="28.5" customHeight="1" x14ac:dyDescent="0.2">
      <c r="A134" s="93"/>
      <c r="B134" s="81"/>
      <c r="C134" s="157">
        <f>POAI!C285</f>
        <v>41</v>
      </c>
      <c r="D134" s="153" t="str">
        <f>POAI!D285</f>
        <v>Inclusión social y Reconciliación</v>
      </c>
      <c r="E134" s="160"/>
      <c r="F134" s="163">
        <f>SUM(F135:F137)</f>
        <v>3526539574</v>
      </c>
      <c r="G134" s="163">
        <f>SUM(G135:G137)</f>
        <v>1076000000</v>
      </c>
      <c r="H134" s="163">
        <f>SUM(H135:H137)</f>
        <v>4602539574</v>
      </c>
      <c r="L134" s="124"/>
    </row>
    <row r="135" spans="1:12" s="95" customFormat="1" ht="54" customHeight="1" x14ac:dyDescent="0.2">
      <c r="A135" s="93"/>
      <c r="B135" s="81"/>
      <c r="C135" s="81"/>
      <c r="D135" s="81">
        <f>POAI!E286</f>
        <v>4102</v>
      </c>
      <c r="E135" s="162" t="str">
        <f>POAI!F286</f>
        <v>Desarrollo Integral de Niños, Niñas, Adolescentes y sus Familias. "Tú y yo niños, niñas y adolescentes con desarrollo integral"</v>
      </c>
      <c r="F135" s="77">
        <f>POAI!Q286</f>
        <v>0</v>
      </c>
      <c r="G135" s="77">
        <f>POAI!AA286</f>
        <v>748000000</v>
      </c>
      <c r="H135" s="77">
        <f t="shared" si="10"/>
        <v>748000000</v>
      </c>
      <c r="L135" s="124"/>
    </row>
    <row r="136" spans="1:12" s="95" customFormat="1" ht="54" customHeight="1" x14ac:dyDescent="0.2">
      <c r="A136" s="93"/>
      <c r="B136" s="81"/>
      <c r="C136" s="81"/>
      <c r="D136" s="81">
        <f>POAI!E297</f>
        <v>4103</v>
      </c>
      <c r="E136" s="162" t="str">
        <f>POAI!F297</f>
        <v>Inclusión social y productiva para la población en situación de vulnerabilidad. "Tú y yo, población vulnerable incluida"</v>
      </c>
      <c r="F136" s="77">
        <f>POAI!Q297</f>
        <v>0</v>
      </c>
      <c r="G136" s="77">
        <f>POAI!AA297</f>
        <v>175000000</v>
      </c>
      <c r="H136" s="77">
        <f t="shared" si="10"/>
        <v>175000000</v>
      </c>
      <c r="L136" s="124"/>
    </row>
    <row r="137" spans="1:12" s="95" customFormat="1" ht="54" customHeight="1" x14ac:dyDescent="0.2">
      <c r="A137" s="93"/>
      <c r="B137" s="81"/>
      <c r="C137" s="81"/>
      <c r="D137" s="81">
        <f>POAI!E305</f>
        <v>4104</v>
      </c>
      <c r="E137" s="162" t="str">
        <f>POAI!F305</f>
        <v>Atención integral de población en situación permanente de desprotección social y/o familiar "Tú y yo con atención integral"</v>
      </c>
      <c r="F137" s="77">
        <f>POAI!Q305</f>
        <v>3526539574</v>
      </c>
      <c r="G137" s="77">
        <f>POAI!AA305</f>
        <v>153000000</v>
      </c>
      <c r="H137" s="77">
        <f t="shared" si="10"/>
        <v>3679539574</v>
      </c>
      <c r="L137" s="124"/>
    </row>
    <row r="138" spans="1:12" s="11" customFormat="1" ht="20.25" customHeight="1" x14ac:dyDescent="0.2">
      <c r="A138" s="63"/>
      <c r="B138" s="60">
        <f>POAI!B311</f>
        <v>2</v>
      </c>
      <c r="C138" s="74" t="str">
        <f>POAI!C311</f>
        <v>PRODUCTIVIDAD Y COMPETITIVIDAD</v>
      </c>
      <c r="D138" s="74"/>
      <c r="E138" s="173"/>
      <c r="F138" s="75">
        <f>F139+F141</f>
        <v>0</v>
      </c>
      <c r="G138" s="75">
        <f>G139+G141</f>
        <v>36000000</v>
      </c>
      <c r="H138" s="75">
        <f>H139+H141</f>
        <v>36000000</v>
      </c>
      <c r="I138" s="18"/>
      <c r="J138" s="18"/>
      <c r="K138" s="18"/>
      <c r="L138" s="121"/>
    </row>
    <row r="139" spans="1:12" s="11" customFormat="1" ht="20.25" customHeight="1" x14ac:dyDescent="0.2">
      <c r="A139" s="63"/>
      <c r="B139" s="81"/>
      <c r="C139" s="157">
        <f>POAI!C312</f>
        <v>17</v>
      </c>
      <c r="D139" s="153" t="str">
        <f>POAI!D312</f>
        <v>Agricultura y desarrollo rural</v>
      </c>
      <c r="E139" s="160"/>
      <c r="F139" s="163">
        <f>F140</f>
        <v>0</v>
      </c>
      <c r="G139" s="163">
        <f>G140</f>
        <v>18000000</v>
      </c>
      <c r="H139" s="163">
        <f>H140</f>
        <v>18000000</v>
      </c>
      <c r="I139" s="18"/>
      <c r="J139" s="18"/>
      <c r="K139" s="18"/>
      <c r="L139" s="121"/>
    </row>
    <row r="140" spans="1:12" s="95" customFormat="1" ht="60" customHeight="1" x14ac:dyDescent="0.2">
      <c r="A140" s="93"/>
      <c r="B140" s="81"/>
      <c r="C140" s="81"/>
      <c r="D140" s="81">
        <f>POAI!E313</f>
        <v>1702</v>
      </c>
      <c r="E140" s="604" t="str">
        <f>POAI!F313</f>
        <v>Inclusión productiva de pequeños productores rurales. "Tú y yo con oportunidades para el pequeño campesino"</v>
      </c>
      <c r="F140" s="77">
        <f>POAI!Q313</f>
        <v>0</v>
      </c>
      <c r="G140" s="77">
        <f>POAI!AA313</f>
        <v>18000000</v>
      </c>
      <c r="H140" s="77">
        <f>SUM(F140:G140)</f>
        <v>18000000</v>
      </c>
      <c r="L140" s="124"/>
    </row>
    <row r="141" spans="1:12" s="95" customFormat="1" ht="25.5" customHeight="1" x14ac:dyDescent="0.2">
      <c r="A141" s="93"/>
      <c r="B141" s="81"/>
      <c r="C141" s="157">
        <f>POAI!C315</f>
        <v>36</v>
      </c>
      <c r="D141" s="166" t="str">
        <f>POAI!D315</f>
        <v>Trabajo</v>
      </c>
      <c r="E141" s="165"/>
      <c r="F141" s="163">
        <f>F142</f>
        <v>0</v>
      </c>
      <c r="G141" s="163">
        <f>G142</f>
        <v>18000000</v>
      </c>
      <c r="H141" s="163">
        <f>H142</f>
        <v>18000000</v>
      </c>
      <c r="L141" s="124"/>
    </row>
    <row r="142" spans="1:12" s="95" customFormat="1" ht="54" customHeight="1" x14ac:dyDescent="0.2">
      <c r="A142" s="93"/>
      <c r="B142" s="81"/>
      <c r="C142" s="81"/>
      <c r="D142" s="81">
        <f>POAI!E316</f>
        <v>3604</v>
      </c>
      <c r="E142" s="162" t="str">
        <f>POAI!F316</f>
        <v>Derechos fundamentales del trabajo y fortalecimiento del diálogo social. "Tú y yo con una niñez protegida"</v>
      </c>
      <c r="F142" s="77">
        <f>POAI!Q316</f>
        <v>0</v>
      </c>
      <c r="G142" s="77">
        <f>POAI!AA316</f>
        <v>18000000</v>
      </c>
      <c r="H142" s="77">
        <f>SUM(F142:G142)</f>
        <v>18000000</v>
      </c>
      <c r="L142" s="124"/>
    </row>
    <row r="143" spans="1:12" s="11" customFormat="1" ht="21" customHeight="1" x14ac:dyDescent="0.2">
      <c r="A143" s="63"/>
      <c r="B143" s="60">
        <f>POAI!B318</f>
        <v>4</v>
      </c>
      <c r="C143" s="74" t="str">
        <f>POAI!C318</f>
        <v xml:space="preserve">LIDERAZGO, GOBERNABILIDAD Y TRANSPARENCIA </v>
      </c>
      <c r="D143" s="74"/>
      <c r="E143" s="173"/>
      <c r="F143" s="75">
        <f t="shared" ref="F143:H144" si="11">F144</f>
        <v>0</v>
      </c>
      <c r="G143" s="75">
        <f t="shared" si="11"/>
        <v>355000000</v>
      </c>
      <c r="H143" s="75">
        <f t="shared" si="11"/>
        <v>355000000</v>
      </c>
      <c r="I143" s="18"/>
      <c r="J143" s="18"/>
      <c r="K143" s="18"/>
      <c r="L143" s="121"/>
    </row>
    <row r="144" spans="1:12" s="11" customFormat="1" ht="21" customHeight="1" x14ac:dyDescent="0.2">
      <c r="A144" s="63"/>
      <c r="B144" s="81"/>
      <c r="C144" s="157">
        <f>POAI!C319</f>
        <v>45</v>
      </c>
      <c r="D144" s="153" t="str">
        <f>POAI!D319</f>
        <v>Gobierno Territorial</v>
      </c>
      <c r="E144" s="160"/>
      <c r="F144" s="163">
        <f t="shared" si="11"/>
        <v>0</v>
      </c>
      <c r="G144" s="163">
        <f>SUM(G145:G146)</f>
        <v>355000000</v>
      </c>
      <c r="H144" s="163">
        <f>SUM(H145:H146)</f>
        <v>355000000</v>
      </c>
      <c r="I144" s="18"/>
      <c r="J144" s="18"/>
      <c r="K144" s="18"/>
      <c r="L144" s="121"/>
    </row>
    <row r="145" spans="1:18" s="95" customFormat="1" ht="67.5" customHeight="1" x14ac:dyDescent="0.2">
      <c r="A145" s="93"/>
      <c r="B145" s="81"/>
      <c r="C145" s="81"/>
      <c r="D145" s="81">
        <f>POAI!E320</f>
        <v>4502</v>
      </c>
      <c r="E145" s="162" t="str">
        <f>POAI!F320</f>
        <v>Fortalecimiento del buen gobierno para el respeto y garantía de los derechos humanos. "Quindío integrado y participativo"</v>
      </c>
      <c r="F145" s="77">
        <f>POAI!Q320</f>
        <v>0</v>
      </c>
      <c r="G145" s="77">
        <f>POAI!AA320</f>
        <v>251000000</v>
      </c>
      <c r="H145" s="77">
        <f>SUM(F145:G145)</f>
        <v>251000000</v>
      </c>
      <c r="L145" s="124"/>
    </row>
    <row r="146" spans="1:18" s="95" customFormat="1" ht="84.75" customHeight="1" x14ac:dyDescent="0.2">
      <c r="A146" s="93"/>
      <c r="B146" s="81"/>
      <c r="C146" s="81"/>
      <c r="D146" s="81">
        <f>POAI!E326</f>
        <v>4599</v>
      </c>
      <c r="E146" s="167" t="str">
        <f>POAI!F326</f>
        <v>Fortalecimiento a la gestión y dirección de la administración pública territorial "Quindío con una administración al servicio de la ciudadanía"</v>
      </c>
      <c r="F146" s="77">
        <f>POAI!Q321</f>
        <v>0</v>
      </c>
      <c r="G146" s="77">
        <f>POAI!AD326</f>
        <v>104000000</v>
      </c>
      <c r="H146" s="77">
        <f>SUM(F146:G146)</f>
        <v>104000000</v>
      </c>
      <c r="L146" s="124"/>
    </row>
    <row r="147" spans="1:18" s="11" customFormat="1" x14ac:dyDescent="0.2">
      <c r="A147" s="86"/>
      <c r="B147" s="87"/>
      <c r="C147" s="87"/>
      <c r="D147" s="87"/>
      <c r="E147" s="178"/>
      <c r="F147" s="88"/>
      <c r="G147" s="98"/>
      <c r="H147" s="18"/>
      <c r="I147" s="18"/>
      <c r="J147" s="18"/>
      <c r="K147" s="18"/>
      <c r="L147" s="121"/>
    </row>
    <row r="148" spans="1:18" s="11" customFormat="1" ht="30" x14ac:dyDescent="0.2">
      <c r="A148" s="48" t="s">
        <v>7</v>
      </c>
      <c r="B148" s="48" t="s">
        <v>8</v>
      </c>
      <c r="C148" s="639" t="s">
        <v>1293</v>
      </c>
      <c r="D148" s="112" t="s">
        <v>1149</v>
      </c>
      <c r="E148" s="132" t="s">
        <v>10</v>
      </c>
      <c r="F148" s="115" t="s">
        <v>1166</v>
      </c>
      <c r="G148" s="115" t="s">
        <v>1167</v>
      </c>
      <c r="H148" s="150" t="s">
        <v>1264</v>
      </c>
      <c r="I148" s="115" t="s">
        <v>1151</v>
      </c>
      <c r="J148" s="114" t="s">
        <v>1168</v>
      </c>
      <c r="K148" s="131" t="s">
        <v>1153</v>
      </c>
      <c r="L148" s="121"/>
      <c r="M148" s="11" t="s">
        <v>1166</v>
      </c>
      <c r="N148" s="645" t="s">
        <v>1315</v>
      </c>
      <c r="O148" s="646" t="s">
        <v>1314</v>
      </c>
      <c r="P148" s="11" t="s">
        <v>1311</v>
      </c>
      <c r="Q148" s="645" t="s">
        <v>1312</v>
      </c>
      <c r="R148" s="11" t="s">
        <v>1313</v>
      </c>
    </row>
    <row r="149" spans="1:18" ht="30.75" customHeight="1" x14ac:dyDescent="0.2">
      <c r="A149" s="56" t="s">
        <v>830</v>
      </c>
      <c r="B149" s="57"/>
      <c r="C149" s="57"/>
      <c r="D149" s="57"/>
      <c r="E149" s="175"/>
      <c r="F149" s="58">
        <f t="shared" ref="F149:H150" si="12">F150</f>
        <v>6460193577</v>
      </c>
      <c r="G149" s="58">
        <f t="shared" si="12"/>
        <v>400000000</v>
      </c>
      <c r="H149" s="58">
        <f t="shared" si="12"/>
        <v>35242837560</v>
      </c>
      <c r="I149" s="58">
        <f t="shared" ref="I149:K150" si="13">I150</f>
        <v>1321980000</v>
      </c>
      <c r="J149" s="58">
        <f t="shared" si="13"/>
        <v>2599166997</v>
      </c>
      <c r="K149" s="58">
        <f t="shared" si="13"/>
        <v>46024178134</v>
      </c>
      <c r="L149" s="21"/>
      <c r="M149" s="1">
        <f>6460193577/1000</f>
        <v>6460193.5769999996</v>
      </c>
      <c r="N149" s="1">
        <f>400000000/1000</f>
        <v>400000</v>
      </c>
      <c r="O149" s="21">
        <f>35242837560/1000</f>
        <v>35242837.560000002</v>
      </c>
      <c r="P149" s="1">
        <f>1321980000/1000</f>
        <v>1321980</v>
      </c>
      <c r="Q149" s="1">
        <f>2599166997/1000</f>
        <v>2599166.997</v>
      </c>
      <c r="R149" s="1">
        <f>46024178134/1000</f>
        <v>46024178.134000003</v>
      </c>
    </row>
    <row r="150" spans="1:18" ht="28.5" customHeight="1" x14ac:dyDescent="0.2">
      <c r="A150" s="61"/>
      <c r="B150" s="60">
        <f>POAI!B333</f>
        <v>1</v>
      </c>
      <c r="C150" s="74" t="str">
        <f>POAI!C333</f>
        <v xml:space="preserve">INCLUSIÓN SOCIAL Y EQUIDAD </v>
      </c>
      <c r="D150" s="74"/>
      <c r="E150" s="173"/>
      <c r="F150" s="75">
        <f t="shared" si="12"/>
        <v>6460193577</v>
      </c>
      <c r="G150" s="75">
        <f t="shared" si="12"/>
        <v>400000000</v>
      </c>
      <c r="H150" s="75">
        <f t="shared" si="12"/>
        <v>35242837560</v>
      </c>
      <c r="I150" s="75">
        <f t="shared" si="13"/>
        <v>1321980000</v>
      </c>
      <c r="J150" s="75">
        <f t="shared" si="13"/>
        <v>2599166997</v>
      </c>
      <c r="K150" s="75">
        <f>K151</f>
        <v>46024178134</v>
      </c>
      <c r="M150" s="1">
        <f>+M149/$R$149*100</f>
        <v>14.036521321882296</v>
      </c>
      <c r="N150" s="1">
        <f t="shared" ref="N150:R150" si="14">+N149/$R$149*100</f>
        <v>0.86910840392498634</v>
      </c>
      <c r="O150" s="1">
        <f t="shared" si="14"/>
        <v>76.574615753897916</v>
      </c>
      <c r="P150" s="1">
        <f t="shared" si="14"/>
        <v>2.8723598195518836</v>
      </c>
      <c r="Q150" s="1">
        <f t="shared" si="14"/>
        <v>5.6473947007429253</v>
      </c>
      <c r="R150" s="1">
        <f t="shared" si="14"/>
        <v>100</v>
      </c>
    </row>
    <row r="151" spans="1:18" ht="28.5" customHeight="1" x14ac:dyDescent="0.2">
      <c r="A151" s="61"/>
      <c r="B151" s="81"/>
      <c r="C151" s="157">
        <f>POAI!C334</f>
        <v>19</v>
      </c>
      <c r="D151" s="153" t="str">
        <f>POAI!D334</f>
        <v>Salud y protección social</v>
      </c>
      <c r="E151" s="160"/>
      <c r="F151" s="163">
        <f t="shared" ref="F151:K151" si="15">SUM(F152:F154)</f>
        <v>6460193577</v>
      </c>
      <c r="G151" s="163">
        <f t="shared" si="15"/>
        <v>400000000</v>
      </c>
      <c r="H151" s="163">
        <f t="shared" si="15"/>
        <v>35242837560</v>
      </c>
      <c r="I151" s="163">
        <f t="shared" si="15"/>
        <v>1321980000</v>
      </c>
      <c r="J151" s="163">
        <f t="shared" si="15"/>
        <v>2599166997</v>
      </c>
      <c r="K151" s="163">
        <f t="shared" si="15"/>
        <v>46024178134</v>
      </c>
    </row>
    <row r="152" spans="1:18" s="82" customFormat="1" ht="35.25" customHeight="1" x14ac:dyDescent="0.2">
      <c r="A152" s="80"/>
      <c r="B152" s="81"/>
      <c r="C152" s="81"/>
      <c r="D152" s="81">
        <f>POAI!E335</f>
        <v>1903</v>
      </c>
      <c r="E152" s="162" t="str">
        <f>POAI!F335</f>
        <v xml:space="preserve">Inspección, vigilancia y control. "Tú y yo con salud certificada" </v>
      </c>
      <c r="F152" s="77">
        <f>POAI!U335</f>
        <v>1389901448</v>
      </c>
      <c r="G152" s="77">
        <f>POAI!T335</f>
        <v>0</v>
      </c>
      <c r="H152" s="77">
        <f>POAI!V335</f>
        <v>91081005</v>
      </c>
      <c r="I152" s="77">
        <f>POAI!AA335</f>
        <v>161590000</v>
      </c>
      <c r="J152" s="77">
        <f>POAI!AC335</f>
        <v>844700000</v>
      </c>
      <c r="K152" s="77">
        <f>SUM(F152:J152)</f>
        <v>2487272453</v>
      </c>
      <c r="L152" s="120"/>
    </row>
    <row r="153" spans="1:18" s="82" customFormat="1" ht="31.5" customHeight="1" x14ac:dyDescent="0.2">
      <c r="A153" s="80"/>
      <c r="B153" s="81"/>
      <c r="C153" s="81"/>
      <c r="D153" s="81">
        <f>POAI!E358</f>
        <v>1905</v>
      </c>
      <c r="E153" s="162" t="str">
        <f>POAI!F358</f>
        <v>Salud Pública, "Tú y yo con salud de calidad"</v>
      </c>
      <c r="F153" s="77">
        <f>POAI!U358</f>
        <v>2846264100</v>
      </c>
      <c r="G153" s="77">
        <f>POAI!T358</f>
        <v>0</v>
      </c>
      <c r="H153" s="77">
        <f>POAI!V358</f>
        <v>0</v>
      </c>
      <c r="I153" s="77">
        <f>POAI!AA358</f>
        <v>930000000</v>
      </c>
      <c r="J153" s="77">
        <f>POAI!AC358</f>
        <v>392854357</v>
      </c>
      <c r="K153" s="77">
        <f>SUM(F153:J153)</f>
        <v>4169118457</v>
      </c>
      <c r="L153" s="120"/>
    </row>
    <row r="154" spans="1:18" s="82" customFormat="1" ht="57.75" customHeight="1" x14ac:dyDescent="0.2">
      <c r="A154" s="80"/>
      <c r="B154" s="81"/>
      <c r="C154" s="81"/>
      <c r="D154" s="81">
        <f>POAI!E388</f>
        <v>1906</v>
      </c>
      <c r="E154" s="162" t="str">
        <f>POAI!F388</f>
        <v>Aseguramiento y Prestación integral de servicios de salud "Tú y yo con servicios de salud"</v>
      </c>
      <c r="F154" s="77">
        <f>POAI!U388</f>
        <v>2224028029</v>
      </c>
      <c r="G154" s="77">
        <f>POAI!T388</f>
        <v>400000000</v>
      </c>
      <c r="H154" s="77">
        <f>POAI!V388</f>
        <v>35151756555</v>
      </c>
      <c r="I154" s="77">
        <f>POAI!AA388</f>
        <v>230390000</v>
      </c>
      <c r="J154" s="77">
        <f>POAI!AC388</f>
        <v>1361612640</v>
      </c>
      <c r="K154" s="77">
        <f>SUM(F154:J154)</f>
        <v>39367787224</v>
      </c>
      <c r="L154" s="120"/>
    </row>
    <row r="155" spans="1:18" s="11" customFormat="1" x14ac:dyDescent="0.2">
      <c r="A155" s="86"/>
      <c r="B155" s="87"/>
      <c r="C155" s="87"/>
      <c r="D155" s="87"/>
      <c r="E155" s="178"/>
      <c r="F155" s="88"/>
      <c r="G155" s="98"/>
      <c r="H155" s="18"/>
      <c r="I155" s="18"/>
      <c r="J155" s="18"/>
      <c r="K155" s="18"/>
      <c r="L155" s="121"/>
    </row>
    <row r="156" spans="1:18" s="11" customFormat="1" ht="25.5" x14ac:dyDescent="0.2">
      <c r="A156" s="48" t="s">
        <v>7</v>
      </c>
      <c r="B156" s="48" t="s">
        <v>8</v>
      </c>
      <c r="C156" s="639" t="s">
        <v>1293</v>
      </c>
      <c r="D156" s="112" t="s">
        <v>1149</v>
      </c>
      <c r="E156" s="132" t="s">
        <v>10</v>
      </c>
      <c r="F156" s="115" t="s">
        <v>1151</v>
      </c>
      <c r="G156" s="98"/>
      <c r="H156" s="18"/>
      <c r="I156" s="18"/>
      <c r="J156" s="18"/>
      <c r="K156" s="18"/>
      <c r="L156" s="121"/>
    </row>
    <row r="157" spans="1:18" s="9" customFormat="1" ht="29.25" customHeight="1" x14ac:dyDescent="0.25">
      <c r="A157" s="56" t="s">
        <v>1018</v>
      </c>
      <c r="B157" s="57"/>
      <c r="C157" s="57"/>
      <c r="D157" s="57"/>
      <c r="E157" s="175"/>
      <c r="F157" s="58">
        <f>F158+F162+F166</f>
        <v>896000000</v>
      </c>
      <c r="G157" s="8"/>
      <c r="H157" s="8"/>
      <c r="I157" s="8"/>
      <c r="J157" s="8"/>
      <c r="K157" s="8"/>
      <c r="L157" s="119"/>
    </row>
    <row r="158" spans="1:18" s="9" customFormat="1" ht="25.5" customHeight="1" x14ac:dyDescent="0.25">
      <c r="A158" s="59"/>
      <c r="B158" s="60">
        <f>POAI!B401</f>
        <v>1</v>
      </c>
      <c r="C158" s="74" t="str">
        <f>POAI!C401</f>
        <v xml:space="preserve">INCLUSIÓN SOCIAL Y EQUIDAD </v>
      </c>
      <c r="D158" s="74"/>
      <c r="E158" s="173"/>
      <c r="F158" s="75">
        <f>F159</f>
        <v>520000000</v>
      </c>
      <c r="G158" s="8"/>
      <c r="H158" s="8"/>
      <c r="I158" s="8"/>
      <c r="J158" s="8"/>
      <c r="K158" s="8"/>
      <c r="L158" s="119"/>
    </row>
    <row r="159" spans="1:18" s="9" customFormat="1" ht="25.5" customHeight="1" x14ac:dyDescent="0.25">
      <c r="A159" s="59"/>
      <c r="B159" s="81"/>
      <c r="C159" s="157">
        <f>POAI!C402</f>
        <v>23</v>
      </c>
      <c r="D159" s="153" t="str">
        <f>POAI!D402</f>
        <v>Tecnologías de la información y las comunicaciones</v>
      </c>
      <c r="E159" s="160"/>
      <c r="F159" s="163">
        <f>SUM(F160:F161)</f>
        <v>520000000</v>
      </c>
      <c r="G159" s="8"/>
      <c r="H159" s="8"/>
      <c r="I159" s="8"/>
      <c r="J159" s="8"/>
      <c r="K159" s="8"/>
      <c r="L159" s="119"/>
    </row>
    <row r="160" spans="1:18" s="92" customFormat="1" ht="57" customHeight="1" x14ac:dyDescent="0.25">
      <c r="A160" s="78"/>
      <c r="B160" s="81"/>
      <c r="C160" s="81"/>
      <c r="D160" s="76">
        <f>POAI!E403</f>
        <v>2301</v>
      </c>
      <c r="E160" s="162" t="str">
        <f>POAI!F403</f>
        <v>Facilitar en acceso y uso de las Tecnologías de la Información y las Comunicaciones (TIC)  en todo el territorio nacional.  "Tú y yo somos ciudadanos TIC"</v>
      </c>
      <c r="F160" s="77">
        <f>POAI!AA403</f>
        <v>374000000</v>
      </c>
      <c r="L160" s="123"/>
    </row>
    <row r="161" spans="1:14" s="92" customFormat="1" ht="90.75" customHeight="1" x14ac:dyDescent="0.25">
      <c r="A161" s="78"/>
      <c r="B161" s="81"/>
      <c r="C161" s="81"/>
      <c r="D161" s="76">
        <f>POAI!E413</f>
        <v>2302</v>
      </c>
      <c r="E161" s="162" t="str">
        <f>POAI!F413</f>
        <v>Fomento del desarrollo de aplicaciones, software y contenidos para impulsar la apropiación de las Tecnologías de la Información y las Comunicaciones (TIC) "Quindío paraiso empresarial TIC-Quindío TIC"</v>
      </c>
      <c r="F161" s="77">
        <f>POAI!AA413</f>
        <v>146000000</v>
      </c>
      <c r="L161" s="123"/>
    </row>
    <row r="162" spans="1:14" s="9" customFormat="1" ht="26.25" customHeight="1" x14ac:dyDescent="0.25">
      <c r="A162" s="59"/>
      <c r="B162" s="60">
        <f>POAI!B419</f>
        <v>2</v>
      </c>
      <c r="C162" s="74" t="str">
        <f>POAI!C419</f>
        <v>PRODUCTIVIDAD Y COMPETITIVIDAD</v>
      </c>
      <c r="D162" s="74"/>
      <c r="E162" s="173"/>
      <c r="F162" s="75">
        <f>F163</f>
        <v>78000000</v>
      </c>
      <c r="G162" s="8"/>
      <c r="H162" s="8"/>
      <c r="I162" s="8"/>
      <c r="J162" s="8"/>
      <c r="K162" s="8"/>
      <c r="L162" s="119"/>
    </row>
    <row r="163" spans="1:14" s="9" customFormat="1" ht="26.25" customHeight="1" x14ac:dyDescent="0.25">
      <c r="A163" s="59"/>
      <c r="B163" s="81"/>
      <c r="C163" s="157">
        <f>POAI!C420</f>
        <v>39</v>
      </c>
      <c r="D163" s="153" t="str">
        <f>POAI!D420</f>
        <v>Ciencia, Tecnolgía e Innovación</v>
      </c>
      <c r="E163" s="160"/>
      <c r="F163" s="163">
        <f>SUM(F164:F165)</f>
        <v>78000000</v>
      </c>
      <c r="G163" s="8"/>
      <c r="H163" s="8"/>
      <c r="I163" s="8"/>
      <c r="J163" s="8"/>
      <c r="K163" s="8"/>
      <c r="L163" s="119"/>
    </row>
    <row r="164" spans="1:14" s="92" customFormat="1" ht="46.5" customHeight="1" x14ac:dyDescent="0.25">
      <c r="A164" s="78"/>
      <c r="B164" s="81"/>
      <c r="C164" s="81"/>
      <c r="D164" s="76" t="str">
        <f>POAI!E421</f>
        <v>3903</v>
      </c>
      <c r="E164" s="604" t="str">
        <f>POAI!F421</f>
        <v xml:space="preserve">Desarrollo tecnológico e innovación para el crecimiento empresarial </v>
      </c>
      <c r="F164" s="77">
        <f>POAI!AA421</f>
        <v>60000000</v>
      </c>
      <c r="L164" s="123"/>
    </row>
    <row r="165" spans="1:14" s="92" customFormat="1" ht="41.25" customHeight="1" x14ac:dyDescent="0.25">
      <c r="A165" s="78"/>
      <c r="B165" s="81"/>
      <c r="C165" s="81"/>
      <c r="D165" s="76">
        <f>POAI!E425</f>
        <v>3904</v>
      </c>
      <c r="E165" s="604" t="str">
        <f>POAI!F425</f>
        <v>Generación de una cultura qué valora y gestiona en conocimiento y la innovación.</v>
      </c>
      <c r="F165" s="77">
        <f>POAI!AA425</f>
        <v>18000000</v>
      </c>
      <c r="L165" s="123"/>
    </row>
    <row r="166" spans="1:14" s="9" customFormat="1" ht="21" customHeight="1" x14ac:dyDescent="0.25">
      <c r="A166" s="59"/>
      <c r="B166" s="60">
        <f>POAI!B427</f>
        <v>4</v>
      </c>
      <c r="C166" s="74" t="str">
        <f>POAI!C427</f>
        <v xml:space="preserve">LIDERAZGO, GOBERNABILIDAD Y TRANSPARENCIA </v>
      </c>
      <c r="D166" s="74"/>
      <c r="E166" s="173"/>
      <c r="F166" s="75">
        <f>F167</f>
        <v>298000000</v>
      </c>
      <c r="G166" s="8"/>
      <c r="H166" s="8"/>
      <c r="I166" s="8"/>
      <c r="J166" s="8"/>
      <c r="K166" s="8"/>
      <c r="L166" s="119"/>
    </row>
    <row r="167" spans="1:14" s="9" customFormat="1" ht="21" customHeight="1" x14ac:dyDescent="0.25">
      <c r="A167" s="59"/>
      <c r="B167" s="81"/>
      <c r="C167" s="157">
        <f>POAI!C428</f>
        <v>23</v>
      </c>
      <c r="D167" s="153" t="str">
        <f>POAI!D428</f>
        <v>Tecnologías de la información y las comunicaciones</v>
      </c>
      <c r="E167" s="153"/>
      <c r="F167" s="163">
        <f>F168</f>
        <v>298000000</v>
      </c>
      <c r="G167" s="8"/>
      <c r="H167" s="8"/>
      <c r="I167" s="8"/>
      <c r="J167" s="8"/>
      <c r="K167" s="8"/>
      <c r="L167" s="119"/>
    </row>
    <row r="168" spans="1:14" s="92" customFormat="1" ht="72" customHeight="1" x14ac:dyDescent="0.25">
      <c r="A168" s="78"/>
      <c r="B168" s="81"/>
      <c r="C168" s="81"/>
      <c r="D168" s="76">
        <f>POAI!E429</f>
        <v>2302</v>
      </c>
      <c r="E168" s="162" t="str">
        <f>POAI!F429</f>
        <v>Fomento del desarrollo de aplicaciones, software y contenidos para impulsar la apropiación de las Tecnologías de la Información y las Comunicaciones (TIC) "Quindío paraiso empresarial TIC-Quindío TIC"</v>
      </c>
      <c r="F168" s="77">
        <f>POAI!AA429</f>
        <v>298000000</v>
      </c>
      <c r="L168" s="123"/>
    </row>
    <row r="169" spans="1:14" s="11" customFormat="1" ht="18.75" customHeight="1" x14ac:dyDescent="0.2">
      <c r="A169" s="86"/>
      <c r="B169" s="87"/>
      <c r="C169" s="87"/>
      <c r="D169" s="87"/>
      <c r="E169" s="178"/>
      <c r="F169" s="88"/>
      <c r="G169" s="98"/>
      <c r="H169" s="18"/>
      <c r="I169" s="18"/>
      <c r="J169" s="18"/>
      <c r="K169" s="18"/>
      <c r="L169" s="121"/>
    </row>
    <row r="170" spans="1:14" s="29" customFormat="1" ht="33" customHeight="1" x14ac:dyDescent="0.25">
      <c r="A170" s="100" t="s">
        <v>1089</v>
      </c>
      <c r="B170" s="101"/>
      <c r="C170" s="101"/>
      <c r="D170" s="100"/>
      <c r="E170" s="136"/>
      <c r="F170" s="96">
        <f>F157+K149+H128+K118+F111+F90+H82+I75+H52+I26+H20+F13+F6</f>
        <v>261618885573</v>
      </c>
      <c r="G170" s="8"/>
      <c r="H170" s="28"/>
      <c r="I170" s="28"/>
      <c r="J170" s="28"/>
      <c r="K170" s="28"/>
      <c r="L170" s="125"/>
    </row>
    <row r="171" spans="1:14" s="11" customFormat="1" ht="24" customHeight="1" x14ac:dyDescent="0.2">
      <c r="A171" s="86"/>
      <c r="B171" s="87"/>
      <c r="C171" s="87"/>
      <c r="D171" s="87"/>
      <c r="E171" s="178"/>
      <c r="F171" s="88"/>
      <c r="G171" s="98"/>
      <c r="H171" s="18"/>
      <c r="I171" s="18"/>
      <c r="J171" s="18"/>
      <c r="K171" s="18"/>
      <c r="L171" s="121"/>
    </row>
    <row r="172" spans="1:14" ht="51.75" customHeight="1" x14ac:dyDescent="0.2">
      <c r="A172" s="111" t="s">
        <v>7</v>
      </c>
      <c r="B172" s="112" t="s">
        <v>8</v>
      </c>
      <c r="C172" s="639" t="s">
        <v>1293</v>
      </c>
      <c r="D172" s="112" t="s">
        <v>1149</v>
      </c>
      <c r="E172" s="132" t="s">
        <v>10</v>
      </c>
      <c r="F172" s="150" t="s">
        <v>1151</v>
      </c>
      <c r="G172" s="115" t="s">
        <v>1169</v>
      </c>
      <c r="H172" s="150" t="s">
        <v>1263</v>
      </c>
      <c r="I172" s="115" t="s">
        <v>1153</v>
      </c>
      <c r="K172" s="4" t="s">
        <v>1320</v>
      </c>
      <c r="L172" s="4" t="s">
        <v>1169</v>
      </c>
      <c r="M172" s="117" t="s">
        <v>1321</v>
      </c>
      <c r="N172" s="1" t="s">
        <v>1313</v>
      </c>
    </row>
    <row r="173" spans="1:14" ht="30.75" customHeight="1" x14ac:dyDescent="0.2">
      <c r="A173" s="56" t="s">
        <v>1090</v>
      </c>
      <c r="B173" s="57"/>
      <c r="C173" s="57"/>
      <c r="D173" s="57"/>
      <c r="E173" s="175"/>
      <c r="F173" s="58">
        <f t="shared" ref="F173:I174" si="16">F174</f>
        <v>855248186</v>
      </c>
      <c r="G173" s="58">
        <f t="shared" si="16"/>
        <v>1638482068.22</v>
      </c>
      <c r="H173" s="58">
        <f t="shared" si="16"/>
        <v>1000000000</v>
      </c>
      <c r="I173" s="58">
        <f t="shared" si="16"/>
        <v>3493730254.2200003</v>
      </c>
      <c r="J173" s="21"/>
      <c r="K173" s="21">
        <v>855248186</v>
      </c>
      <c r="L173" s="4">
        <v>1638482068.22</v>
      </c>
      <c r="M173" s="117">
        <v>1000000000</v>
      </c>
      <c r="N173" s="1">
        <v>3493730254.2200003</v>
      </c>
    </row>
    <row r="174" spans="1:14" ht="24" customHeight="1" x14ac:dyDescent="0.2">
      <c r="A174" s="61"/>
      <c r="B174" s="60">
        <f>POAI!B451</f>
        <v>1</v>
      </c>
      <c r="C174" s="74" t="str">
        <f>POAI!C451</f>
        <v xml:space="preserve">INCLUSIÓN SOCIAL Y EQUIDAD </v>
      </c>
      <c r="D174" s="74"/>
      <c r="E174" s="173"/>
      <c r="F174" s="75">
        <f t="shared" si="16"/>
        <v>855248186</v>
      </c>
      <c r="G174" s="75">
        <f t="shared" si="16"/>
        <v>1638482068.22</v>
      </c>
      <c r="H174" s="75">
        <f t="shared" si="16"/>
        <v>1000000000</v>
      </c>
      <c r="I174" s="75">
        <f t="shared" si="16"/>
        <v>3493730254.2200003</v>
      </c>
      <c r="K174" s="4">
        <f>+K173/$N$173*100</f>
        <v>24.479513979849031</v>
      </c>
      <c r="L174" s="4">
        <f t="shared" ref="L174:N174" si="17">+L173/$N$173*100</f>
        <v>46.897784001524258</v>
      </c>
      <c r="M174" s="4">
        <f t="shared" si="17"/>
        <v>28.622702018626704</v>
      </c>
      <c r="N174" s="4">
        <f t="shared" si="17"/>
        <v>100</v>
      </c>
    </row>
    <row r="175" spans="1:14" ht="24" customHeight="1" x14ac:dyDescent="0.2">
      <c r="A175" s="61"/>
      <c r="B175" s="81"/>
      <c r="C175" s="157">
        <f>POAI!C452</f>
        <v>43</v>
      </c>
      <c r="D175" s="153" t="str">
        <f>POAI!D452</f>
        <v>Deporte y recreación</v>
      </c>
      <c r="E175" s="160"/>
      <c r="F175" s="163">
        <f>SUM(F176:F177)</f>
        <v>855248186</v>
      </c>
      <c r="G175" s="163">
        <f>SUM(G176:G177)</f>
        <v>1638482068.22</v>
      </c>
      <c r="H175" s="163">
        <f>SUM(H176:H177)</f>
        <v>1000000000</v>
      </c>
      <c r="I175" s="163">
        <f>SUM(I176:I177)</f>
        <v>3493730254.2200003</v>
      </c>
      <c r="L175" s="4"/>
      <c r="M175" s="117"/>
    </row>
    <row r="176" spans="1:14" s="82" customFormat="1" ht="60" customHeight="1" x14ac:dyDescent="0.2">
      <c r="A176" s="80"/>
      <c r="B176" s="81"/>
      <c r="C176" s="81"/>
      <c r="D176" s="81">
        <f>POAI!E453</f>
        <v>4301</v>
      </c>
      <c r="E176" s="614" t="str">
        <f>POAI!F453</f>
        <v>Fomento a la recreación, la actividad física y el deporte para desarrollar entornos de convivencia y paz "Tú y yo en la recreación y en deporte"</v>
      </c>
      <c r="F176" s="77">
        <f>POAI!AA441</f>
        <v>136127636</v>
      </c>
      <c r="G176" s="77">
        <f>POAI!AB441</f>
        <v>1350121882.22</v>
      </c>
      <c r="H176" s="77">
        <f>POAI!AC441</f>
        <v>1000000000</v>
      </c>
      <c r="I176" s="77">
        <f>SUM(F176:H176)</f>
        <v>2486249518.2200003</v>
      </c>
      <c r="M176" s="120"/>
    </row>
    <row r="177" spans="1:13" s="82" customFormat="1" ht="37.5" customHeight="1" x14ac:dyDescent="0.2">
      <c r="A177" s="80"/>
      <c r="B177" s="81"/>
      <c r="C177" s="81"/>
      <c r="D177" s="81">
        <f>POAI!E446</f>
        <v>4302</v>
      </c>
      <c r="E177" s="171" t="str">
        <f>POAI!F446</f>
        <v>Formación y preparación de deportistas. "Tú y yo campeones"</v>
      </c>
      <c r="F177" s="77">
        <f>POAI!AA446</f>
        <v>719120550</v>
      </c>
      <c r="G177" s="77">
        <f>POAI!AB446</f>
        <v>288360186</v>
      </c>
      <c r="H177" s="77"/>
      <c r="I177" s="77">
        <f>SUM(F177:H177)</f>
        <v>1007480736</v>
      </c>
      <c r="M177" s="120"/>
    </row>
    <row r="178" spans="1:13" s="11" customFormat="1" ht="18.75" customHeight="1" x14ac:dyDescent="0.2">
      <c r="A178" s="86"/>
      <c r="B178" s="87"/>
      <c r="C178" s="87"/>
      <c r="D178" s="87"/>
      <c r="E178" s="178"/>
      <c r="F178" s="88"/>
      <c r="G178" s="98"/>
      <c r="H178" s="18"/>
      <c r="I178" s="18"/>
      <c r="J178" s="18"/>
      <c r="K178" s="18"/>
      <c r="L178" s="121"/>
    </row>
    <row r="179" spans="1:13" ht="33" customHeight="1" x14ac:dyDescent="0.2">
      <c r="A179" s="111" t="s">
        <v>7</v>
      </c>
      <c r="B179" s="112" t="s">
        <v>8</v>
      </c>
      <c r="C179" s="639" t="s">
        <v>1293</v>
      </c>
      <c r="D179" s="112" t="s">
        <v>1149</v>
      </c>
      <c r="E179" s="132" t="s">
        <v>10</v>
      </c>
      <c r="F179" s="115" t="s">
        <v>1170</v>
      </c>
      <c r="G179" s="115" t="s">
        <v>1169</v>
      </c>
      <c r="H179" s="115" t="s">
        <v>1153</v>
      </c>
    </row>
    <row r="180" spans="1:13" s="11" customFormat="1" ht="27.75" customHeight="1" x14ac:dyDescent="0.2">
      <c r="A180" s="56" t="s">
        <v>1110</v>
      </c>
      <c r="B180" s="57"/>
      <c r="C180" s="57"/>
      <c r="D180" s="57"/>
      <c r="E180" s="175"/>
      <c r="F180" s="58">
        <f>F181+F185</f>
        <v>1027674743</v>
      </c>
      <c r="G180" s="58">
        <f>G181+G185</f>
        <v>997308456</v>
      </c>
      <c r="H180" s="58">
        <f>H181+H185</f>
        <v>2024983199</v>
      </c>
      <c r="I180" s="98"/>
      <c r="J180" s="98"/>
      <c r="K180" s="18"/>
      <c r="L180" s="121"/>
    </row>
    <row r="181" spans="1:13" s="11" customFormat="1" ht="24" customHeight="1" x14ac:dyDescent="0.2">
      <c r="A181" s="63"/>
      <c r="B181" s="60">
        <f>POAI!B451</f>
        <v>1</v>
      </c>
      <c r="C181" s="74" t="str">
        <f>POAI!C451</f>
        <v xml:space="preserve">INCLUSIÓN SOCIAL Y EQUIDAD </v>
      </c>
      <c r="D181" s="74"/>
      <c r="E181" s="173"/>
      <c r="F181" s="75">
        <f>F182</f>
        <v>616604845.79999995</v>
      </c>
      <c r="G181" s="75">
        <f>G182</f>
        <v>0</v>
      </c>
      <c r="H181" s="75">
        <f>H182</f>
        <v>616604845.79999995</v>
      </c>
      <c r="I181" s="18"/>
      <c r="J181" s="18"/>
      <c r="K181" s="18"/>
      <c r="L181" s="121"/>
    </row>
    <row r="182" spans="1:13" s="11" customFormat="1" ht="24" customHeight="1" x14ac:dyDescent="0.2">
      <c r="A182" s="63"/>
      <c r="B182" s="81"/>
      <c r="C182" s="157">
        <f>POAI!C452</f>
        <v>43</v>
      </c>
      <c r="D182" s="153" t="str">
        <f>POAI!D452</f>
        <v>Deporte y recreación</v>
      </c>
      <c r="E182" s="160"/>
      <c r="F182" s="163">
        <f>SUM(F183:F184)</f>
        <v>616604845.79999995</v>
      </c>
      <c r="G182" s="163">
        <f>SUM(G183:G184)</f>
        <v>0</v>
      </c>
      <c r="H182" s="163">
        <f>SUM(H183:H184)</f>
        <v>616604845.79999995</v>
      </c>
      <c r="I182" s="18"/>
      <c r="J182" s="18"/>
      <c r="K182" s="18"/>
      <c r="L182" s="121"/>
    </row>
    <row r="183" spans="1:13" s="95" customFormat="1" ht="63.75" customHeight="1" x14ac:dyDescent="0.2">
      <c r="A183" s="93"/>
      <c r="B183" s="76"/>
      <c r="C183" s="76"/>
      <c r="D183" s="81">
        <f>POAI!E453</f>
        <v>4301</v>
      </c>
      <c r="E183" s="604" t="str">
        <f>POAI!F453</f>
        <v>Fomento a la recreación, la actividad física y el deporte para desarrollar entornos de convivencia y paz "Tú y yo en la recreación y en deporte"</v>
      </c>
      <c r="F183" s="77">
        <f>POAI!Q453</f>
        <v>308302422.89999998</v>
      </c>
      <c r="G183" s="77">
        <f>POAI!AB453</f>
        <v>0</v>
      </c>
      <c r="H183" s="77">
        <f>SUM(F183:G183)</f>
        <v>308302422.89999998</v>
      </c>
      <c r="L183" s="124"/>
    </row>
    <row r="184" spans="1:13" s="95" customFormat="1" ht="55.5" customHeight="1" x14ac:dyDescent="0.2">
      <c r="A184" s="93"/>
      <c r="B184" s="76"/>
      <c r="C184" s="76"/>
      <c r="D184" s="81">
        <f>POAI!E456</f>
        <v>2201</v>
      </c>
      <c r="E184" s="162" t="str">
        <f>POAI!F456</f>
        <v>Calidad, cobertura y fortalecimiento de la educación inicial, prescolar, básica y media." Tú y yo con educación y de calidad"</v>
      </c>
      <c r="F184" s="77">
        <f>POAI!Q456</f>
        <v>308302422.89999998</v>
      </c>
      <c r="G184" s="77">
        <f>POAI!AB456</f>
        <v>0</v>
      </c>
      <c r="H184" s="77">
        <f>SUM(F184:G184)</f>
        <v>308302422.89999998</v>
      </c>
      <c r="L184" s="124"/>
    </row>
    <row r="185" spans="1:13" s="11" customFormat="1" ht="21" customHeight="1" x14ac:dyDescent="0.2">
      <c r="A185" s="63"/>
      <c r="B185" s="60">
        <f>POAI!B458</f>
        <v>3</v>
      </c>
      <c r="C185" s="74" t="str">
        <f>POAI!C458</f>
        <v xml:space="preserve">TERRITORIO, AMBIENTE Y DESARROLLO SOSTENIBLE </v>
      </c>
      <c r="D185" s="74"/>
      <c r="E185" s="173"/>
      <c r="F185" s="75">
        <f>F186+F188</f>
        <v>411069897.20000005</v>
      </c>
      <c r="G185" s="75">
        <f>G186+G188</f>
        <v>997308456</v>
      </c>
      <c r="H185" s="75">
        <f>H186+H188</f>
        <v>1408378353.2</v>
      </c>
      <c r="I185" s="18"/>
      <c r="J185" s="18"/>
      <c r="K185" s="18"/>
      <c r="L185" s="121"/>
    </row>
    <row r="186" spans="1:13" s="11" customFormat="1" ht="21" customHeight="1" x14ac:dyDescent="0.2">
      <c r="A186" s="63"/>
      <c r="B186" s="81"/>
      <c r="C186" s="170">
        <f>POAI!C459</f>
        <v>24</v>
      </c>
      <c r="D186" s="153" t="str">
        <f>POAI!D459</f>
        <v>Transporte</v>
      </c>
      <c r="E186" s="165"/>
      <c r="F186" s="163">
        <f>F187</f>
        <v>0</v>
      </c>
      <c r="G186" s="163">
        <f>G187</f>
        <v>199461691.20000002</v>
      </c>
      <c r="H186" s="163">
        <f>H187</f>
        <v>199461691.20000002</v>
      </c>
      <c r="I186" s="18"/>
      <c r="J186" s="18"/>
      <c r="K186" s="18"/>
      <c r="L186" s="121"/>
    </row>
    <row r="187" spans="1:13" s="11" customFormat="1" ht="46.5" customHeight="1" x14ac:dyDescent="0.2">
      <c r="A187" s="63"/>
      <c r="B187" s="65"/>
      <c r="C187" s="65"/>
      <c r="D187" s="81">
        <f>POAI!E460</f>
        <v>2402</v>
      </c>
      <c r="E187" s="168" t="str">
        <f>POAI!F460</f>
        <v>Infraestructura red vial regional. "Tú y yo con movilidad vial"</v>
      </c>
      <c r="F187" s="66">
        <f>POAI!Q460</f>
        <v>0</v>
      </c>
      <c r="G187" s="66">
        <f>POAI!AB460</f>
        <v>199461691.20000002</v>
      </c>
      <c r="H187" s="77">
        <f>SUM(F187:G187)</f>
        <v>199461691.20000002</v>
      </c>
      <c r="I187" s="18"/>
      <c r="J187" s="18"/>
      <c r="K187" s="18"/>
      <c r="L187" s="121"/>
    </row>
    <row r="188" spans="1:13" s="11" customFormat="1" ht="27" customHeight="1" x14ac:dyDescent="0.2">
      <c r="A188" s="63"/>
      <c r="B188" s="65"/>
      <c r="C188" s="166">
        <f>POAI!C462</f>
        <v>40</v>
      </c>
      <c r="D188" s="169" t="str">
        <f>POAI!D462</f>
        <v>Vivienda, Ciudad y Territorio</v>
      </c>
      <c r="E188" s="165"/>
      <c r="F188" s="163">
        <f>F189</f>
        <v>411069897.20000005</v>
      </c>
      <c r="G188" s="163">
        <f>G189</f>
        <v>797846764.79999995</v>
      </c>
      <c r="H188" s="163">
        <f>H189</f>
        <v>1208916662</v>
      </c>
      <c r="I188" s="18"/>
      <c r="J188" s="18"/>
      <c r="K188" s="18"/>
      <c r="L188" s="121"/>
    </row>
    <row r="189" spans="1:13" s="11" customFormat="1" ht="44.25" customHeight="1" x14ac:dyDescent="0.2">
      <c r="A189" s="63"/>
      <c r="B189" s="65"/>
      <c r="C189" s="65"/>
      <c r="D189" s="81">
        <f>POAI!E463</f>
        <v>4001</v>
      </c>
      <c r="E189" s="168" t="str">
        <f>POAI!F463</f>
        <v>Acceso a soluciones de vivienda. "Tú y yo con vivienda digna"</v>
      </c>
      <c r="F189" s="66">
        <f>POAI!Q463</f>
        <v>411069897.20000005</v>
      </c>
      <c r="G189" s="66">
        <f>POAI!AB463</f>
        <v>797846764.79999995</v>
      </c>
      <c r="H189" s="77">
        <f>SUM(F189:G189)</f>
        <v>1208916662</v>
      </c>
      <c r="I189" s="18"/>
      <c r="J189" s="18"/>
      <c r="K189" s="18"/>
      <c r="L189" s="121"/>
    </row>
    <row r="190" spans="1:13" s="11" customFormat="1" ht="18.75" customHeight="1" x14ac:dyDescent="0.2">
      <c r="A190" s="86"/>
      <c r="B190" s="87"/>
      <c r="C190" s="87"/>
      <c r="D190" s="87"/>
      <c r="E190" s="178"/>
      <c r="F190" s="88"/>
      <c r="G190" s="98"/>
      <c r="H190" s="18"/>
      <c r="I190" s="18"/>
      <c r="J190" s="18"/>
      <c r="K190" s="18"/>
      <c r="L190" s="121"/>
    </row>
    <row r="191" spans="1:13" ht="30" customHeight="1" x14ac:dyDescent="0.2">
      <c r="A191" s="111" t="s">
        <v>7</v>
      </c>
      <c r="B191" s="112" t="s">
        <v>8</v>
      </c>
      <c r="C191" s="639" t="s">
        <v>1293</v>
      </c>
      <c r="D191" s="112" t="s">
        <v>1149</v>
      </c>
      <c r="E191" s="132" t="s">
        <v>10</v>
      </c>
      <c r="F191" s="115" t="s">
        <v>1171</v>
      </c>
      <c r="G191" s="4"/>
    </row>
    <row r="192" spans="1:13" ht="25.5" customHeight="1" x14ac:dyDescent="0.2">
      <c r="A192" s="56" t="s">
        <v>1136</v>
      </c>
      <c r="B192" s="57"/>
      <c r="C192" s="57"/>
      <c r="D192" s="57"/>
      <c r="E192" s="175"/>
      <c r="F192" s="58">
        <f>F193</f>
        <v>110210000</v>
      </c>
    </row>
    <row r="193" spans="1:12" ht="24" customHeight="1" x14ac:dyDescent="0.2">
      <c r="A193" s="61"/>
      <c r="B193" s="60">
        <f>POAI!B473</f>
        <v>3</v>
      </c>
      <c r="C193" s="74" t="str">
        <f>POAI!C473</f>
        <v xml:space="preserve">TERRITORIO, AMBIENTE Y DESARROLLO SOSTENIBLE </v>
      </c>
      <c r="D193" s="74"/>
      <c r="E193" s="173"/>
      <c r="F193" s="75">
        <f>F194</f>
        <v>110210000</v>
      </c>
    </row>
    <row r="194" spans="1:12" ht="24" customHeight="1" x14ac:dyDescent="0.2">
      <c r="A194" s="61"/>
      <c r="B194" s="81"/>
      <c r="C194" s="157">
        <f>POAI!C474</f>
        <v>24</v>
      </c>
      <c r="D194" s="164" t="str">
        <f>POAI!D474</f>
        <v>Transporte</v>
      </c>
      <c r="E194" s="165"/>
      <c r="F194" s="180">
        <f>F195</f>
        <v>110210000</v>
      </c>
    </row>
    <row r="195" spans="1:12" s="82" customFormat="1" ht="47.25" customHeight="1" x14ac:dyDescent="0.2">
      <c r="A195" s="80"/>
      <c r="B195" s="81"/>
      <c r="C195" s="81"/>
      <c r="D195" s="81">
        <f>POAI!E475</f>
        <v>2409</v>
      </c>
      <c r="E195" s="171" t="str">
        <f>POAI!F475</f>
        <v>Seguridad de Transporte. "Tú y yo seguros en la vía"</v>
      </c>
      <c r="F195" s="77">
        <f>POAI!AB475</f>
        <v>110210000</v>
      </c>
      <c r="G195" s="97"/>
      <c r="L195" s="120"/>
    </row>
    <row r="196" spans="1:12" s="103" customFormat="1" ht="23.25" customHeight="1" x14ac:dyDescent="0.2">
      <c r="A196" s="104"/>
      <c r="B196" s="105"/>
      <c r="C196" s="105"/>
      <c r="D196" s="105"/>
      <c r="E196" s="106"/>
      <c r="F196" s="106"/>
      <c r="G196" s="107"/>
      <c r="H196" s="108"/>
      <c r="I196" s="108"/>
      <c r="J196" s="108"/>
      <c r="K196" s="108"/>
      <c r="L196" s="126"/>
    </row>
    <row r="197" spans="1:12" s="41" customFormat="1" ht="26.25" customHeight="1" x14ac:dyDescent="0.25">
      <c r="A197" s="610" t="s">
        <v>1147</v>
      </c>
      <c r="B197" s="611"/>
      <c r="C197" s="611"/>
      <c r="D197" s="611"/>
      <c r="E197" s="611"/>
      <c r="F197" s="612">
        <f>I173+H180+F192</f>
        <v>5628923453.2200003</v>
      </c>
      <c r="G197" s="92"/>
      <c r="L197" s="127"/>
    </row>
    <row r="198" spans="1:12" s="41" customFormat="1" ht="16.5" thickBot="1" x14ac:dyDescent="0.3">
      <c r="A198" s="37"/>
      <c r="B198" s="38"/>
      <c r="C198" s="38"/>
      <c r="D198" s="38"/>
      <c r="E198" s="39"/>
      <c r="F198" s="39"/>
      <c r="G198" s="92"/>
      <c r="L198" s="127"/>
    </row>
    <row r="199" spans="1:12" s="82" customFormat="1" ht="27" customHeight="1" thickBot="1" x14ac:dyDescent="0.25">
      <c r="A199" s="605" t="s">
        <v>1148</v>
      </c>
      <c r="B199" s="606"/>
      <c r="C199" s="606"/>
      <c r="D199" s="607"/>
      <c r="E199" s="608"/>
      <c r="F199" s="609">
        <f>F197+F170</f>
        <v>267247809026.22</v>
      </c>
      <c r="G199" s="97"/>
      <c r="H199" s="97"/>
      <c r="L199" s="120"/>
    </row>
    <row r="202" spans="1:12" x14ac:dyDescent="0.2">
      <c r="I202" s="82"/>
    </row>
  </sheetData>
  <sheetProtection algorithmName="SHA-512" hashValue="j4nuvfSznorKnxUFusLNVKgZmyjXPNCLSC4NdSrn8Mh+w2Vl4UafxTU/03C6w+XCfyfVFg3hZTeqZB44QJjzHw==" saltValue="z/ycLHLjFNYw7NvrqvUqxA==" spinCount="100000" sheet="1" objects="1" scenarios="1"/>
  <mergeCells count="1">
    <mergeCell ref="A1:F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62"/>
  <sheetViews>
    <sheetView showGridLines="0" zoomScale="80" zoomScaleNormal="80" workbookViewId="0"/>
  </sheetViews>
  <sheetFormatPr baseColWidth="10" defaultRowHeight="15" x14ac:dyDescent="0.25"/>
  <cols>
    <col min="3" max="3" width="64.42578125" customWidth="1"/>
    <col min="4" max="4" width="26.28515625" customWidth="1"/>
    <col min="5" max="5" width="28.85546875" customWidth="1"/>
    <col min="6" max="6" width="15.5703125" bestFit="1" customWidth="1"/>
  </cols>
  <sheetData>
    <row r="1" spans="2:5" ht="46.5" customHeight="1" x14ac:dyDescent="0.25">
      <c r="B1" s="783" t="s">
        <v>1364</v>
      </c>
      <c r="C1" s="784"/>
      <c r="D1" s="784"/>
    </row>
    <row r="2" spans="2:5" ht="15.75" x14ac:dyDescent="0.25">
      <c r="B2" s="695" t="s">
        <v>1359</v>
      </c>
      <c r="C2" s="694" t="s">
        <v>1293</v>
      </c>
      <c r="D2" s="695" t="s">
        <v>1361</v>
      </c>
      <c r="E2" s="11"/>
    </row>
    <row r="3" spans="2:5" ht="15.75" x14ac:dyDescent="0.25">
      <c r="B3" s="280">
        <f>'UNIDADES + FUENTE'!B158</f>
        <v>1</v>
      </c>
      <c r="C3" s="155" t="str">
        <f>'RESUMEN POR UNIDAD'!C50</f>
        <v xml:space="preserve">INCLUSIÓN SOCIAL Y EQUIDAD </v>
      </c>
      <c r="D3" s="712">
        <f>SUM(D4:D21)</f>
        <v>248402753862</v>
      </c>
    </row>
    <row r="4" spans="2:5" ht="21" customHeight="1" x14ac:dyDescent="0.25">
      <c r="B4" s="709">
        <v>1202</v>
      </c>
      <c r="C4" s="714" t="str">
        <f>'RESUMEN POR UNIDAD'!E27</f>
        <v>Promoción al acceso a la justicia. "Tú y yo con justicia"</v>
      </c>
      <c r="D4" s="711">
        <f>'RESUMEN POR UNIDAD'!F27+'RESUMEN POR UNIDAD'!F52</f>
        <v>137750000</v>
      </c>
    </row>
    <row r="5" spans="2:5" ht="36.75" customHeight="1" x14ac:dyDescent="0.25">
      <c r="B5" s="709">
        <v>1203</v>
      </c>
      <c r="C5" s="714" t="str">
        <f>'RESUMEN POR UNIDAD'!E53</f>
        <v>Promoción de los métodos de resolución de conflictos. "Tú y yo resolvemos los conflictos"</v>
      </c>
      <c r="D5" s="711">
        <f>'RESUMEN POR UNIDAD'!F53</f>
        <v>36000000</v>
      </c>
    </row>
    <row r="6" spans="2:5" ht="40.5" customHeight="1" x14ac:dyDescent="0.25">
      <c r="B6" s="709">
        <v>1206</v>
      </c>
      <c r="C6" s="715" t="str">
        <f>'RESUMEN POR UNIDAD'!E54</f>
        <v>Sistema penitenciario y carcelario en el marco de los derechos humanos. "Quindío respeta derechos penitenciarios"</v>
      </c>
      <c r="D6" s="711">
        <f>'RESUMEN POR UNIDAD'!F54</f>
        <v>36000000</v>
      </c>
    </row>
    <row r="7" spans="2:5" ht="27.75" customHeight="1" x14ac:dyDescent="0.25">
      <c r="B7" s="709">
        <v>1903</v>
      </c>
      <c r="C7" s="714" t="str">
        <f>'UNIDADES + FUENTE'!E152</f>
        <v xml:space="preserve">Inspección, vigilancia y control. "Tú y yo con salud certificada" </v>
      </c>
      <c r="D7" s="711">
        <f>'RESUMEN POR UNIDAD'!F142</f>
        <v>2487272453</v>
      </c>
    </row>
    <row r="8" spans="2:5" ht="25.5" customHeight="1" x14ac:dyDescent="0.25">
      <c r="B8" s="709">
        <v>1905</v>
      </c>
      <c r="C8" s="714" t="str">
        <f>'RESUMEN POR UNIDAD'!E122</f>
        <v>Salud Pública, "Tú y yo con salud de calidad"</v>
      </c>
      <c r="D8" s="711">
        <f>'RESUMEN POR UNIDAD'!F122+'RESUMEN POR UNIDAD'!F143</f>
        <v>4344118457</v>
      </c>
    </row>
    <row r="9" spans="2:5" ht="38.25" customHeight="1" x14ac:dyDescent="0.25">
      <c r="B9" s="709">
        <v>1906</v>
      </c>
      <c r="C9" s="715" t="str">
        <f>'RESUMEN POR UNIDAD'!E29</f>
        <v>Aseguramiento y Prestación integral de servicios de salud "Tú y yo con servicios de salud"</v>
      </c>
      <c r="D9" s="711">
        <f>'RESUMEN POR UNIDAD'!F29+'RESUMEN POR UNIDAD'!F144</f>
        <v>39405787224</v>
      </c>
    </row>
    <row r="10" spans="2:5" ht="39" customHeight="1" x14ac:dyDescent="0.25">
      <c r="B10" s="709">
        <v>2201</v>
      </c>
      <c r="C10" s="714" t="str">
        <f>'RESUMEN POR UNIDAD'!E31</f>
        <v>Calidad, cobertura y fortalecimiento de la educación inicial, prescolar, básica y media." Tú y yo con educación y  calidad"</v>
      </c>
      <c r="D10" s="711">
        <f>'RESUMEN POR UNIDAD'!F31+'RESUMEN POR UNIDAD'!F56+'RESUMEN POR UNIDAD'!F113</f>
        <v>190338881952</v>
      </c>
    </row>
    <row r="11" spans="2:5" ht="37.5" customHeight="1" x14ac:dyDescent="0.25">
      <c r="B11" s="709">
        <v>2202</v>
      </c>
      <c r="C11" s="715" t="str">
        <f>'RESUMEN POR UNIDAD'!E114</f>
        <v>Calidad y formento de la Educación "Tú y yo preparados para la educación superior"</v>
      </c>
      <c r="D11" s="711">
        <f>'RESUMEN POR UNIDAD'!F114</f>
        <v>100000000</v>
      </c>
    </row>
    <row r="12" spans="2:5" ht="49.5" customHeight="1" x14ac:dyDescent="0.25">
      <c r="B12" s="709">
        <v>2301</v>
      </c>
      <c r="C12" s="714" t="str">
        <f>'RESUMEN POR UNIDAD'!E149</f>
        <v>Facilitar en acceso y uso de las Tecnologías de la Información y las Comunicaciones (TIC)  en todo el territorio nacional.  "Tú y yo somos ciudadanos TIC"</v>
      </c>
      <c r="D12" s="711">
        <f>'RESUMEN POR UNIDAD'!F149</f>
        <v>374000000</v>
      </c>
    </row>
    <row r="13" spans="2:5" ht="63" customHeight="1" x14ac:dyDescent="0.25">
      <c r="B13" s="709">
        <v>2302</v>
      </c>
      <c r="C13" s="715" t="str">
        <f>'RESUMEN POR UNIDAD'!E150</f>
        <v>Fomento del desarrollo de aplicaciones, software y contenidos para impulsar la apropiación de las Tecnologías de la Información y las Comunicaciones (TIC) "Quindío paraiso empresarial TIC-Quindío TIC"</v>
      </c>
      <c r="D13" s="711">
        <f>'RESUMEN POR UNIDAD'!F150</f>
        <v>146000000</v>
      </c>
    </row>
    <row r="14" spans="2:5" ht="39" customHeight="1" x14ac:dyDescent="0.25">
      <c r="B14" s="709">
        <v>3301</v>
      </c>
      <c r="C14" s="715" t="str">
        <f>'RESUMEN POR UNIDAD'!E33</f>
        <v>Promoción y acceso efectivo a procesos culturales y artísticos. "Tú y yo somos cultura Quindiana"</v>
      </c>
      <c r="D14" s="711">
        <f>'RESUMEN POR UNIDAD'!F33+'RESUMEN POR UNIDAD'!F74+'RESUMEN POR UNIDAD'!F124</f>
        <v>2178109959</v>
      </c>
    </row>
    <row r="15" spans="2:5" ht="37.5" customHeight="1" x14ac:dyDescent="0.25">
      <c r="B15" s="709">
        <v>3302</v>
      </c>
      <c r="C15" s="715" t="str">
        <f>'RESUMEN POR UNIDAD'!E75</f>
        <v>Gestión, protección y salvaguardia del patrimonio cultural colombiano. "Tú y yo protectores del patrimonio cultural"</v>
      </c>
      <c r="D15" s="711">
        <f>'RESUMEN POR UNIDAD'!F75</f>
        <v>396038142</v>
      </c>
    </row>
    <row r="16" spans="2:5" ht="38.25" customHeight="1" x14ac:dyDescent="0.25">
      <c r="B16" s="709">
        <v>4101</v>
      </c>
      <c r="C16" s="715" t="str">
        <f>'RESUMEN POR UNIDAD'!E58</f>
        <v>Atención, asistencia y reparación integral a las víctimas. "Tú y yo con reparación integral"</v>
      </c>
      <c r="D16" s="711">
        <f>'RESUMEN POR UNIDAD'!F58</f>
        <v>206000000</v>
      </c>
    </row>
    <row r="17" spans="2:4" ht="57.75" customHeight="1" x14ac:dyDescent="0.25">
      <c r="B17" s="709">
        <v>4102</v>
      </c>
      <c r="C17" s="715" t="str">
        <f>'RESUMEN POR UNIDAD'!E126</f>
        <v>Desarrollo Integral de Niños, Niñas, Adolescentes y sus Familias. "Tú y yo niños, niñas y adolescentes con desarrollo integral"</v>
      </c>
      <c r="D17" s="711">
        <f>'RESUMEN POR UNIDAD'!F126</f>
        <v>748000000</v>
      </c>
    </row>
    <row r="18" spans="2:4" ht="42.75" customHeight="1" x14ac:dyDescent="0.25">
      <c r="B18" s="709">
        <v>4103</v>
      </c>
      <c r="C18" s="715" t="str">
        <f>'RESUMEN POR UNIDAD'!E127</f>
        <v>Inclusión social y productiva para la población en situación de vulnerabilidad. "Tú y yo, población vulnerable incluida"</v>
      </c>
      <c r="D18" s="711">
        <f>'RESUMEN POR UNIDAD'!F59+'RESUMEN POR UNIDAD'!F127</f>
        <v>193000000</v>
      </c>
    </row>
    <row r="19" spans="2:4" ht="45" x14ac:dyDescent="0.25">
      <c r="B19" s="709">
        <v>4104</v>
      </c>
      <c r="C19" s="715" t="str">
        <f>'RESUMEN POR UNIDAD'!E128</f>
        <v>Atención integral de población en situación permanente de desprotección social y/o familiar "Tú y yo con atención integral"</v>
      </c>
      <c r="D19" s="711">
        <f>'RESUMEN POR UNIDAD'!F128</f>
        <v>3679539574</v>
      </c>
    </row>
    <row r="20" spans="2:4" ht="52.5" customHeight="1" x14ac:dyDescent="0.25">
      <c r="B20" s="709">
        <v>4301</v>
      </c>
      <c r="C20" s="715" t="str">
        <f>'RESUMEN POR UNIDAD'!E35</f>
        <v>Fomento a la recreación, la actividad física y el deporte para desarrollar entornos de convivencia y paz "Tú y yo en la recreación y en deporte"</v>
      </c>
      <c r="D20" s="711">
        <f>'RESUMEN POR UNIDAD'!F35</f>
        <v>1836073375</v>
      </c>
    </row>
    <row r="21" spans="2:4" ht="41.25" customHeight="1" x14ac:dyDescent="0.25">
      <c r="B21" s="709">
        <v>4501</v>
      </c>
      <c r="C21" s="715" t="str">
        <f>'RESUMEN POR UNIDAD'!E61</f>
        <v>Fortalecimiento de la convivencia y la seguridad ciudadana. "Tú y yo seguros"</v>
      </c>
      <c r="D21" s="711">
        <f>'RESUMEN POR UNIDAD'!F61</f>
        <v>1760182726</v>
      </c>
    </row>
    <row r="22" spans="2:4" ht="15.75" x14ac:dyDescent="0.25">
      <c r="B22" s="280">
        <f>'UNIDADES + FUENTE'!B83</f>
        <v>2</v>
      </c>
      <c r="C22" s="155" t="str">
        <f>'UNIDADES + FUENTE'!C83</f>
        <v>PRODUCTIVIDAD Y COMPETITIVIDAD</v>
      </c>
      <c r="D22" s="712">
        <f>SUM(D23:D34)</f>
        <v>2774872304</v>
      </c>
    </row>
    <row r="23" spans="2:4" ht="41.25" customHeight="1" x14ac:dyDescent="0.25">
      <c r="B23" s="709">
        <v>1702</v>
      </c>
      <c r="C23" s="715" t="str">
        <f>'RESUMEN POR UNIDAD'!E87</f>
        <v>Inclusión productiva de pequeños productores rurales. "Tú y yo con oportunidades para el pequeño campesino"</v>
      </c>
      <c r="D23" s="711">
        <f>'RESUMEN POR UNIDAD'!F87</f>
        <v>834000000</v>
      </c>
    </row>
    <row r="24" spans="2:4" ht="36.75" customHeight="1" x14ac:dyDescent="0.25">
      <c r="B24" s="709">
        <v>1702</v>
      </c>
      <c r="C24" s="715" t="str">
        <f>'RESUMEN POR UNIDAD'!E88</f>
        <v>Servicios financieros y gestión del riesgo para las actividades agropecuarias y rurales. "Tú y yo con un campo protegido"</v>
      </c>
      <c r="D24" s="711">
        <f>'RESUMEN POR UNIDAD'!F88+'RESUMEN POR UNIDAD'!F131</f>
        <v>93000000</v>
      </c>
    </row>
    <row r="25" spans="2:4" ht="36.75" customHeight="1" x14ac:dyDescent="0.25">
      <c r="B25" s="709">
        <v>1704</v>
      </c>
      <c r="C25" s="715" t="str">
        <f>'RESUMEN POR UNIDAD'!E89</f>
        <v>Ordenamiento social y uso productivo del territorio rural. "Tú y yo con un campo planificado"</v>
      </c>
      <c r="D25" s="711">
        <f>'RESUMEN POR UNIDAD'!F89</f>
        <v>70000000</v>
      </c>
    </row>
    <row r="26" spans="2:4" ht="43.5" customHeight="1" x14ac:dyDescent="0.25">
      <c r="B26" s="709">
        <v>1706</v>
      </c>
      <c r="C26" s="715" t="str">
        <f>'RESUMEN POR UNIDAD'!E90</f>
        <v>Aprovechamiento de mercados externos. "Tú y yo a los mercados internacionales"</v>
      </c>
      <c r="D26" s="711">
        <f>'RESUMEN POR UNIDAD'!F90</f>
        <v>20000000</v>
      </c>
    </row>
    <row r="27" spans="2:4" ht="39.75" customHeight="1" x14ac:dyDescent="0.25">
      <c r="B27" s="709">
        <v>1707</v>
      </c>
      <c r="C27" s="715" t="str">
        <f>'RESUMEN POR UNIDAD'!E91</f>
        <v>Sanidad agropecuaria e inocuidad agroalimentaria. "Tú y yo con un agro saludable"</v>
      </c>
      <c r="D27" s="711">
        <f>'RESUMEN POR UNIDAD'!F91</f>
        <v>43000000</v>
      </c>
    </row>
    <row r="28" spans="2:4" ht="40.5" customHeight="1" x14ac:dyDescent="0.25">
      <c r="B28" s="709">
        <v>1708</v>
      </c>
      <c r="C28" s="715" t="str">
        <f>'RESUMEN POR UNIDAD'!E92</f>
        <v>Ciencia, tecnología e innovación agropecuaria. "Tú y yo con un agro interconectado"</v>
      </c>
      <c r="D28" s="711">
        <f>'RESUMEN POR UNIDAD'!F92</f>
        <v>40000000</v>
      </c>
    </row>
    <row r="29" spans="2:4" ht="38.25" customHeight="1" x14ac:dyDescent="0.25">
      <c r="B29" s="709">
        <v>1709</v>
      </c>
      <c r="C29" s="715" t="str">
        <f>'RESUMEN POR UNIDAD'!E93</f>
        <v>Infraestructura productiva y comercialización. "Tú y yo con agro competitivo"</v>
      </c>
      <c r="D29" s="711">
        <f>'RESUMEN POR UNIDAD'!F93</f>
        <v>108000000</v>
      </c>
    </row>
    <row r="30" spans="2:4" ht="39" customHeight="1" x14ac:dyDescent="0.25">
      <c r="B30" s="709">
        <v>3502</v>
      </c>
      <c r="C30" s="715" t="str">
        <f>'RESUMEN POR UNIDAD'!E80</f>
        <v xml:space="preserve">Productividad y competitividad de las empresas colombianas. "Tú y yo con empresas competitivas" </v>
      </c>
      <c r="D30" s="711">
        <f>'RESUMEN POR UNIDAD'!F80+'RESUMEN POR UNIDAD'!F95</f>
        <v>1225872304</v>
      </c>
    </row>
    <row r="31" spans="2:4" ht="39" customHeight="1" x14ac:dyDescent="0.25">
      <c r="B31" s="709">
        <v>3602</v>
      </c>
      <c r="C31" s="715" t="str">
        <f>'RESUMEN POR UNIDAD'!E82</f>
        <v>Generación y formalización del empleo. "Tú y yo con empleo de calidad"</v>
      </c>
      <c r="D31" s="711">
        <f>'RESUMEN POR UNIDAD'!F82</f>
        <v>237500000</v>
      </c>
    </row>
    <row r="32" spans="2:4" ht="35.25" customHeight="1" x14ac:dyDescent="0.25">
      <c r="B32" s="709">
        <v>3604</v>
      </c>
      <c r="C32" s="714" t="str">
        <f>'RESUMEN POR UNIDAD'!E133</f>
        <v>Derechos fundamentales del trabajo y fortalecimiento del diálogo social. "Tú y yo con una niñez protegida"</v>
      </c>
      <c r="D32" s="711">
        <f>'RESUMEN POR UNIDAD'!F133</f>
        <v>18000000</v>
      </c>
    </row>
    <row r="33" spans="2:4" ht="37.5" customHeight="1" x14ac:dyDescent="0.25">
      <c r="B33" s="709">
        <v>3903</v>
      </c>
      <c r="C33" s="715" t="str">
        <f>'RESUMEN POR UNIDAD'!E153</f>
        <v xml:space="preserve">Desarrollo tecnológico e innovación para el crecimiento empresarial </v>
      </c>
      <c r="D33" s="711">
        <f>'RESUMEN POR UNIDAD'!F153</f>
        <v>60000000</v>
      </c>
    </row>
    <row r="34" spans="2:4" ht="41.25" customHeight="1" x14ac:dyDescent="0.25">
      <c r="B34" s="709">
        <v>3904</v>
      </c>
      <c r="C34" s="715" t="str">
        <f>'RESUMEN POR UNIDAD'!E154</f>
        <v>Generación de una cultura qué valora y gestiona en conocimiento y la innovación.</v>
      </c>
      <c r="D34" s="711">
        <f>'RESUMEN POR UNIDAD'!F154+'RESUMEN POR UNIDAD'!F117</f>
        <v>25500000</v>
      </c>
    </row>
    <row r="35" spans="2:4" ht="15.75" x14ac:dyDescent="0.25">
      <c r="B35" s="280">
        <f>'UNIDADES + FUENTE'!B38</f>
        <v>3</v>
      </c>
      <c r="C35" s="155" t="str">
        <f>'UNIDADES + FUENTE'!C38</f>
        <v xml:space="preserve">TERRITORIO, AMBIENTE Y DESARROLLO SOSTENIBLE </v>
      </c>
      <c r="D35" s="712">
        <f>SUM(D36:D44)</f>
        <v>5453259407</v>
      </c>
    </row>
    <row r="36" spans="2:4" ht="21.75" customHeight="1" x14ac:dyDescent="0.25">
      <c r="B36" s="709">
        <v>2402</v>
      </c>
      <c r="C36" s="715" t="str">
        <f>'RESUMEN POR UNIDAD'!E38</f>
        <v>Infraestructura red vial regional. "Tú y yo con movilidad vial"</v>
      </c>
      <c r="D36" s="711">
        <f>'RESUMEN POR UNIDAD'!F38</f>
        <v>390000000</v>
      </c>
    </row>
    <row r="37" spans="2:4" ht="36" customHeight="1" x14ac:dyDescent="0.25">
      <c r="B37" s="709">
        <v>3201</v>
      </c>
      <c r="C37" s="715" t="str">
        <f>'RESUMEN POR UNIDAD'!E98</f>
        <v>Fortalecimiento del desempeño ambiental de los sectores productivos. "Tú y yo guardianes de la biodiversidad.</v>
      </c>
      <c r="D37" s="711">
        <f>'RESUMEN POR UNIDAD'!F98</f>
        <v>82000000</v>
      </c>
    </row>
    <row r="38" spans="2:4" ht="35.25" customHeight="1" x14ac:dyDescent="0.25">
      <c r="B38" s="709">
        <v>3202</v>
      </c>
      <c r="C38" s="715" t="str">
        <f>'RESUMEN POR UNIDAD'!E99</f>
        <v>Conservación de la biodiversidad y sus servicios ecosistémicos. "Tú y yo en territorios biodiversos"</v>
      </c>
      <c r="D38" s="711">
        <f>'RESUMEN POR UNIDAD'!F99</f>
        <v>945248186</v>
      </c>
    </row>
    <row r="39" spans="2:4" ht="43.5" customHeight="1" x14ac:dyDescent="0.25">
      <c r="B39" s="709">
        <v>3204</v>
      </c>
      <c r="C39" s="715" t="str">
        <f>'RESUMEN POR UNIDAD'!E100</f>
        <v>Gestión de la información y en conocimiento ambiental. "Tú y yo conscientes con la naturaleza"</v>
      </c>
      <c r="D39" s="711">
        <f>'RESUMEN POR UNIDAD'!F100</f>
        <v>120000000</v>
      </c>
    </row>
    <row r="40" spans="2:4" ht="36" customHeight="1" x14ac:dyDescent="0.25">
      <c r="B40" s="709">
        <v>3205</v>
      </c>
      <c r="C40" s="715" t="str">
        <f>'RESUMEN POR UNIDAD'!E101</f>
        <v>Ordenamiento Ambiental Territorial. "Tú y yo planificamos con sentido ambiental"</v>
      </c>
      <c r="D40" s="711">
        <f>'RESUMEN POR UNIDAD'!F101+'RESUMEN POR UNIDAD'!F40+'RESUMEN POR UNIDAD'!F64</f>
        <v>327000000</v>
      </c>
    </row>
    <row r="41" spans="2:4" ht="45" x14ac:dyDescent="0.25">
      <c r="B41" s="709">
        <v>3206</v>
      </c>
      <c r="C41" s="715" t="str">
        <f>'RESUMEN POR UNIDAD'!E102</f>
        <v>Gestión del cambio climático para un desarrollo bajo en carbono y resiliente al clima. "Tú y yo preparados para el cambio climático"</v>
      </c>
      <c r="D41" s="711">
        <f>'RESUMEN POR UNIDAD'!F102</f>
        <v>118000000</v>
      </c>
    </row>
    <row r="42" spans="2:4" ht="24" customHeight="1" x14ac:dyDescent="0.25">
      <c r="B42" s="709">
        <v>4001</v>
      </c>
      <c r="C42" s="715" t="str">
        <f>'RESUMEN POR UNIDAD'!E42</f>
        <v>Acceso a soluciones de vivienda. "Tú y yo con vivienda digna"</v>
      </c>
      <c r="D42" s="711">
        <f>'RESUMEN POR UNIDAD'!F42</f>
        <v>120000000</v>
      </c>
    </row>
    <row r="43" spans="2:4" ht="34.5" customHeight="1" x14ac:dyDescent="0.25">
      <c r="B43" s="709">
        <v>4003</v>
      </c>
      <c r="C43" s="715" t="str">
        <f>'RESUMEN POR UNIDAD'!E43</f>
        <v>Acceso de la población a los servicios de agua potable y saneamiento básico. "Tú y yo con calidad del agua"</v>
      </c>
      <c r="D43" s="711">
        <f>'RESUMEN POR UNIDAD'!F43</f>
        <v>3203011221</v>
      </c>
    </row>
    <row r="44" spans="2:4" ht="33" customHeight="1" x14ac:dyDescent="0.25">
      <c r="B44" s="709">
        <v>4503</v>
      </c>
      <c r="C44" s="715" t="str">
        <f>'RESUMEN POR UNIDAD'!E66</f>
        <v>Gestión del riesgo de desastres y emergencias."Tú y yo preparados en gestión del riesgo"</v>
      </c>
      <c r="D44" s="711">
        <f>'RESUMEN POR UNIDAD'!F66</f>
        <v>148000000</v>
      </c>
    </row>
    <row r="45" spans="2:4" ht="15.75" x14ac:dyDescent="0.25">
      <c r="B45" s="280">
        <f>'UNIDADES + FUENTE'!B7</f>
        <v>4</v>
      </c>
      <c r="C45" s="155" t="str">
        <f>'UNIDADES + FUENTE'!C7</f>
        <v xml:space="preserve">LIDERAZGO, GOBERNABILIDAD Y TRANSPARENCIA </v>
      </c>
      <c r="D45" s="712">
        <f>SUM(D46:D48)</f>
        <v>4988000000</v>
      </c>
    </row>
    <row r="46" spans="2:4" ht="74.25" customHeight="1" x14ac:dyDescent="0.25">
      <c r="B46" s="709">
        <v>2302</v>
      </c>
      <c r="C46" s="715" t="str">
        <f>'RESUMEN POR UNIDAD'!E157</f>
        <v>Fomento del desarrollo de aplicaciones, software y contenidos para impulsar la apropiación de las Tecnologías de la Información y las Comunicaciones (TIC) "Quindío paraiso empresarial TIC-Quindío TIC"</v>
      </c>
      <c r="D46" s="711">
        <f>'RESUMEN POR UNIDAD'!F157</f>
        <v>298000000</v>
      </c>
    </row>
    <row r="47" spans="2:4" ht="39.75" customHeight="1" x14ac:dyDescent="0.25">
      <c r="B47" s="709">
        <v>4502</v>
      </c>
      <c r="C47" s="715" t="str">
        <f>'RESUMEN POR UNIDAD'!E11</f>
        <v>Fortalecimiento del buen gobierno para el respeto y garantía de los derechos humanos. "Quindío integrado y participativo"</v>
      </c>
      <c r="D47" s="711">
        <f>'RESUMEN POR UNIDAD'!F11+'RESUMEN POR UNIDAD'!F16+'RESUMEN POR UNIDAD'!F47+'RESUMEN POR UNIDAD'!F69+'RESUMEN POR UNIDAD'!F108+'RESUMEN POR UNIDAD'!F136</f>
        <v>962000000</v>
      </c>
    </row>
    <row r="48" spans="2:4" ht="54.75" customHeight="1" x14ac:dyDescent="0.25">
      <c r="B48" s="709">
        <v>4599</v>
      </c>
      <c r="C48" s="714" t="str">
        <f>'RESUMEN POR UNIDAD'!E10</f>
        <v>Fortalecimiento a la gestión y dirección de la administración pública territorial "Quindío con una administración al servicio de la ciudadanía "</v>
      </c>
      <c r="D48" s="711">
        <f>'RESUMEN POR UNIDAD'!F10+'RESUMEN POR UNIDAD'!F17+'RESUMEN POR UNIDAD'!F22+'RESUMEN POR UNIDAD'!F46+'RESUMEN POR UNIDAD'!F107+'RESUMEN POR UNIDAD'!F137</f>
        <v>3728000000</v>
      </c>
    </row>
    <row r="49" spans="2:4" ht="15.75" x14ac:dyDescent="0.25">
      <c r="B49" s="654"/>
      <c r="C49" s="55" t="s">
        <v>1371</v>
      </c>
      <c r="D49" s="696">
        <f>D45+D35+D22+D3</f>
        <v>261618885573</v>
      </c>
    </row>
    <row r="51" spans="2:4" ht="45.75" customHeight="1" x14ac:dyDescent="0.25">
      <c r="B51" s="783" t="s">
        <v>1365</v>
      </c>
      <c r="C51" s="784"/>
      <c r="D51" s="784"/>
    </row>
    <row r="52" spans="2:4" ht="15.75" x14ac:dyDescent="0.25">
      <c r="B52" s="280">
        <v>1</v>
      </c>
      <c r="C52" s="155" t="s">
        <v>120</v>
      </c>
      <c r="D52" s="712">
        <f>SUM(D53:D55)</f>
        <v>4110335100.02</v>
      </c>
    </row>
    <row r="53" spans="2:4" ht="45" x14ac:dyDescent="0.25">
      <c r="B53" s="709">
        <f>'RESUMEN POR UNIDAD'!D172</f>
        <v>2201</v>
      </c>
      <c r="C53" s="714" t="str">
        <f>'RESUMEN POR UNIDAD'!E172</f>
        <v>Calidad, cobertura y fortalecimiento de la educación inicial, prescolar, básica y media." Tú y yo con educación y de calidad"</v>
      </c>
      <c r="D53" s="711">
        <f>'RESUMEN POR UNIDAD'!F172</f>
        <v>308302422.89999998</v>
      </c>
    </row>
    <row r="54" spans="2:4" ht="51.75" customHeight="1" x14ac:dyDescent="0.25">
      <c r="B54" s="709">
        <f>'RESUMEN POR UNIDAD'!D170</f>
        <v>4301</v>
      </c>
      <c r="C54" s="714" t="str">
        <f>'RESUMEN POR UNIDAD'!E170</f>
        <v>Fomento a la recreación, la actividad física y el deporte para desarrollar entornos de convivencia y paz "Tú y yo en la recreación y en deporte"</v>
      </c>
      <c r="D54" s="711">
        <f>'RESUMEN POR UNIDAD'!F170+'RESUMEN POR UNIDAD'!F164</f>
        <v>2794551941.1199999</v>
      </c>
    </row>
    <row r="55" spans="2:4" ht="32.25" customHeight="1" x14ac:dyDescent="0.25">
      <c r="B55" s="709">
        <f>'RESUMEN POR UNIDAD'!D165</f>
        <v>4302</v>
      </c>
      <c r="C55" s="714" t="str">
        <f>'RESUMEN POR UNIDAD'!E165</f>
        <v>Formación y preparación de deportistas. "Tú y yo campeones"</v>
      </c>
      <c r="D55" s="711">
        <f>'RESUMEN POR UNIDAD'!F165</f>
        <v>1007480736</v>
      </c>
    </row>
    <row r="56" spans="2:4" ht="15.75" x14ac:dyDescent="0.25">
      <c r="B56" s="280">
        <v>3</v>
      </c>
      <c r="C56" s="155" t="s">
        <v>150</v>
      </c>
      <c r="D56" s="712">
        <f>SUM(D57:D59)</f>
        <v>1518588353.2</v>
      </c>
    </row>
    <row r="57" spans="2:4" ht="24" customHeight="1" x14ac:dyDescent="0.25">
      <c r="B57" s="709">
        <f>'RESUMEN POR UNIDAD'!D175</f>
        <v>2402</v>
      </c>
      <c r="C57" s="713" t="str">
        <f>'RESUMEN POR UNIDAD'!E175</f>
        <v>Infraestructura red vial regional. "Tú y yo con movilidad vial"</v>
      </c>
      <c r="D57" s="711">
        <f>'RESUMEN POR UNIDAD'!F175</f>
        <v>199461691.20000002</v>
      </c>
    </row>
    <row r="58" spans="2:4" ht="23.25" customHeight="1" x14ac:dyDescent="0.25">
      <c r="B58" s="709">
        <f>'RESUMEN POR UNIDAD'!D182</f>
        <v>2409</v>
      </c>
      <c r="C58" s="710" t="str">
        <f>'RESUMEN POR UNIDAD'!E182</f>
        <v>Seguridad de Transporte. "Tú y yo seguros en la vía"</v>
      </c>
      <c r="D58" s="711">
        <f>'RESUMEN POR UNIDAD'!F182</f>
        <v>110210000</v>
      </c>
    </row>
    <row r="59" spans="2:4" ht="23.25" customHeight="1" x14ac:dyDescent="0.25">
      <c r="B59" s="709">
        <f>'RESUMEN POR UNIDAD'!D177</f>
        <v>4001</v>
      </c>
      <c r="C59" s="710" t="str">
        <f>'RESUMEN POR UNIDAD'!E177</f>
        <v>Acceso a soluciones de vivienda. "Tú y yo con vivienda digna"</v>
      </c>
      <c r="D59" s="711">
        <f>'RESUMEN POR UNIDAD'!F177</f>
        <v>1208916662</v>
      </c>
    </row>
    <row r="60" spans="2:4" ht="15.75" x14ac:dyDescent="0.25">
      <c r="B60" s="654"/>
      <c r="C60" s="55" t="s">
        <v>1369</v>
      </c>
      <c r="D60" s="696">
        <f>D52+D56</f>
        <v>5628923453.2200003</v>
      </c>
    </row>
    <row r="62" spans="2:4" ht="15.75" x14ac:dyDescent="0.25">
      <c r="B62" s="716"/>
      <c r="C62" s="717" t="s">
        <v>1370</v>
      </c>
      <c r="D62" s="718">
        <f>D60+D49</f>
        <v>267247809026.22</v>
      </c>
    </row>
  </sheetData>
  <sheetProtection algorithmName="SHA-512" hashValue="oMtE6kKvB7wWyEtTxe5ifwYSXuPxAwdG6yHYs39gwH5yBbI+36rkxhGDnW+uYrNE9bTjmZxAsDS5lgyuIGbF4Q==" saltValue="9vyqAnb6kaSDVuqrLdA9rQ==" spinCount="100000" sheet="1" objects="1" scenarios="1"/>
  <mergeCells count="2">
    <mergeCell ref="B1:D1"/>
    <mergeCell ref="B51:D5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36"/>
  <sheetViews>
    <sheetView showGridLines="0" zoomScale="80" zoomScaleNormal="80" workbookViewId="0"/>
  </sheetViews>
  <sheetFormatPr baseColWidth="10" defaultRowHeight="15" x14ac:dyDescent="0.25"/>
  <cols>
    <col min="3" max="3" width="64.42578125" customWidth="1"/>
    <col min="4" max="4" width="26.28515625" customWidth="1"/>
    <col min="5" max="5" width="22.5703125" customWidth="1"/>
  </cols>
  <sheetData>
    <row r="1" spans="2:6" ht="46.5" customHeight="1" x14ac:dyDescent="0.25">
      <c r="B1" s="785" t="s">
        <v>1366</v>
      </c>
      <c r="C1" s="786"/>
      <c r="D1" s="786"/>
      <c r="E1" s="787"/>
    </row>
    <row r="2" spans="2:6" ht="15.75" x14ac:dyDescent="0.25">
      <c r="B2" s="695" t="s">
        <v>1359</v>
      </c>
      <c r="C2" s="694" t="s">
        <v>1360</v>
      </c>
      <c r="D2" s="695" t="s">
        <v>1361</v>
      </c>
      <c r="E2" s="694" t="s">
        <v>1362</v>
      </c>
      <c r="F2" s="11"/>
    </row>
    <row r="3" spans="2:6" ht="15.75" x14ac:dyDescent="0.25">
      <c r="B3" s="705">
        <f>'UNIDADES + FUENTE'!B158</f>
        <v>1</v>
      </c>
      <c r="C3" s="706" t="str">
        <f>'RESUMEN POR UNIDAD'!C50</f>
        <v xml:space="preserve">INCLUSIÓN SOCIAL Y EQUIDAD </v>
      </c>
      <c r="D3" s="707">
        <f>PROGRAMAS!D3</f>
        <v>248402753862</v>
      </c>
      <c r="E3" s="708">
        <f>D3/$D$7</f>
        <v>0.94948326577397535</v>
      </c>
    </row>
    <row r="4" spans="2:6" ht="15.75" x14ac:dyDescent="0.25">
      <c r="B4" s="705">
        <f>'UNIDADES + FUENTE'!B83</f>
        <v>2</v>
      </c>
      <c r="C4" s="706" t="str">
        <f>'UNIDADES + FUENTE'!C83</f>
        <v>PRODUCTIVIDAD Y COMPETITIVIDAD</v>
      </c>
      <c r="D4" s="707">
        <f>PROGRAMAS!D22</f>
        <v>2774872304</v>
      </c>
      <c r="E4" s="708">
        <f t="shared" ref="E4:E6" si="0">D4/$D$7</f>
        <v>1.060654431702226E-2</v>
      </c>
    </row>
    <row r="5" spans="2:6" ht="15.75" x14ac:dyDescent="0.25">
      <c r="B5" s="705">
        <f>'UNIDADES + FUENTE'!B38</f>
        <v>3</v>
      </c>
      <c r="C5" s="706" t="str">
        <f>'UNIDADES + FUENTE'!C38</f>
        <v xml:space="preserve">TERRITORIO, AMBIENTE Y DESARROLLO SOSTENIBLE </v>
      </c>
      <c r="D5" s="707">
        <f>PROGRAMAS!D35</f>
        <v>5453259407</v>
      </c>
      <c r="E5" s="708">
        <f t="shared" si="0"/>
        <v>2.0844288037754701E-2</v>
      </c>
    </row>
    <row r="6" spans="2:6" ht="15.75" x14ac:dyDescent="0.25">
      <c r="B6" s="705">
        <f>'UNIDADES + FUENTE'!B7</f>
        <v>4</v>
      </c>
      <c r="C6" s="706" t="str">
        <f>'UNIDADES + FUENTE'!C7</f>
        <v xml:space="preserve">LIDERAZGO, GOBERNABILIDAD Y TRANSPARENCIA </v>
      </c>
      <c r="D6" s="707">
        <f>PROGRAMAS!D45</f>
        <v>4988000000</v>
      </c>
      <c r="E6" s="708">
        <f t="shared" si="0"/>
        <v>1.9065901871247706E-2</v>
      </c>
    </row>
    <row r="7" spans="2:6" ht="15.75" x14ac:dyDescent="0.25">
      <c r="B7" s="654"/>
      <c r="C7" s="55" t="s">
        <v>1309</v>
      </c>
      <c r="D7" s="696">
        <f>SUM(D3:D6)</f>
        <v>261618885573</v>
      </c>
      <c r="E7" s="697">
        <f>SUM(E3:E6)</f>
        <v>1</v>
      </c>
    </row>
    <row r="14" spans="2:6" ht="57" customHeight="1" x14ac:dyDescent="0.25">
      <c r="B14" s="785" t="s">
        <v>1367</v>
      </c>
      <c r="C14" s="786"/>
      <c r="D14" s="786"/>
      <c r="E14" s="787"/>
    </row>
    <row r="15" spans="2:6" ht="15.75" x14ac:dyDescent="0.25">
      <c r="B15" s="695" t="s">
        <v>1359</v>
      </c>
      <c r="C15" s="694" t="s">
        <v>1360</v>
      </c>
      <c r="D15" s="695" t="s">
        <v>1361</v>
      </c>
      <c r="E15" s="694" t="s">
        <v>1362</v>
      </c>
    </row>
    <row r="16" spans="2:6" ht="15.75" x14ac:dyDescent="0.25">
      <c r="B16" s="705">
        <v>1</v>
      </c>
      <c r="C16" s="706" t="s">
        <v>120</v>
      </c>
      <c r="D16" s="707">
        <f>PROGRAMAS!D52</f>
        <v>4110335100.02</v>
      </c>
      <c r="E16" s="708">
        <f>D16/D18</f>
        <v>0.7302169116669549</v>
      </c>
    </row>
    <row r="17" spans="2:5" ht="15.75" x14ac:dyDescent="0.25">
      <c r="B17" s="705">
        <v>3</v>
      </c>
      <c r="C17" s="706" t="s">
        <v>150</v>
      </c>
      <c r="D17" s="707">
        <f>PROGRAMAS!D56</f>
        <v>1518588353.2</v>
      </c>
      <c r="E17" s="708">
        <f>D17/D18</f>
        <v>0.26978308833304498</v>
      </c>
    </row>
    <row r="18" spans="2:5" ht="15.75" x14ac:dyDescent="0.25">
      <c r="B18" s="654"/>
      <c r="C18" s="55" t="s">
        <v>1309</v>
      </c>
      <c r="D18" s="696">
        <f>SUM(D16:D17)</f>
        <v>5628923453.2200003</v>
      </c>
      <c r="E18" s="697">
        <f>SUM(E16:E17)</f>
        <v>0.99999999999999989</v>
      </c>
    </row>
    <row r="30" spans="2:5" ht="60.75" customHeight="1" x14ac:dyDescent="0.25">
      <c r="B30" s="785" t="s">
        <v>1368</v>
      </c>
      <c r="C30" s="786"/>
      <c r="D30" s="786"/>
      <c r="E30" s="787"/>
    </row>
    <row r="31" spans="2:5" ht="15.75" x14ac:dyDescent="0.25">
      <c r="B31" s="695" t="s">
        <v>1359</v>
      </c>
      <c r="C31" s="694" t="s">
        <v>1360</v>
      </c>
      <c r="D31" s="695" t="s">
        <v>1361</v>
      </c>
      <c r="E31" s="694" t="s">
        <v>1362</v>
      </c>
    </row>
    <row r="32" spans="2:5" ht="15.75" x14ac:dyDescent="0.25">
      <c r="B32" s="705">
        <v>1</v>
      </c>
      <c r="C32" s="706" t="s">
        <v>120</v>
      </c>
      <c r="D32" s="707">
        <f>D3+D16</f>
        <v>252513088962.01999</v>
      </c>
      <c r="E32" s="708">
        <f>D32/$D$36</f>
        <v>0.94486495467300768</v>
      </c>
    </row>
    <row r="33" spans="2:5" ht="15.75" x14ac:dyDescent="0.25">
      <c r="B33" s="705">
        <v>2</v>
      </c>
      <c r="C33" s="706" t="s">
        <v>332</v>
      </c>
      <c r="D33" s="707">
        <f>D4</f>
        <v>2774872304</v>
      </c>
      <c r="E33" s="708">
        <f t="shared" ref="E33:E35" si="1">D33/$D$36</f>
        <v>1.0383143323460339E-2</v>
      </c>
    </row>
    <row r="34" spans="2:5" ht="15.75" x14ac:dyDescent="0.25">
      <c r="B34" s="705">
        <v>3</v>
      </c>
      <c r="C34" s="706" t="s">
        <v>150</v>
      </c>
      <c r="D34" s="707">
        <f>D5+D17</f>
        <v>6971847760.1999998</v>
      </c>
      <c r="E34" s="708">
        <f t="shared" si="1"/>
        <v>2.6087576865844328E-2</v>
      </c>
    </row>
    <row r="35" spans="2:5" ht="15.75" x14ac:dyDescent="0.25">
      <c r="B35" s="705">
        <v>4</v>
      </c>
      <c r="C35" s="706" t="s">
        <v>37</v>
      </c>
      <c r="D35" s="707">
        <f>D6</f>
        <v>4988000000</v>
      </c>
      <c r="E35" s="708">
        <f t="shared" si="1"/>
        <v>1.8664325137687551E-2</v>
      </c>
    </row>
    <row r="36" spans="2:5" ht="15.75" x14ac:dyDescent="0.25">
      <c r="B36" s="654"/>
      <c r="C36" s="55" t="s">
        <v>1309</v>
      </c>
      <c r="D36" s="696">
        <f>SUM(D32:D35)</f>
        <v>267247809026.22</v>
      </c>
      <c r="E36" s="697">
        <f>SUM(E32:E35)</f>
        <v>0.99999999999999989</v>
      </c>
    </row>
  </sheetData>
  <sheetProtection algorithmName="SHA-512" hashValue="bvFVymE0QUqP70U9UAYMSdW5yxae/Z0elA4ihJn0hPdiRW8J7tKK7QulWyUHuHne8kXbwLvaCBFOqzrjVoO6Eg==" saltValue="N8R06DB5InDzylvI4XGkAg==" spinCount="100000" sheet="1" objects="1" scenarios="1"/>
  <mergeCells count="3">
    <mergeCell ref="B1:E1"/>
    <mergeCell ref="B14:E14"/>
    <mergeCell ref="B30:E3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F29"/>
  <sheetViews>
    <sheetView showGridLines="0" workbookViewId="0"/>
  </sheetViews>
  <sheetFormatPr baseColWidth="10" defaultRowHeight="15" x14ac:dyDescent="0.25"/>
  <cols>
    <col min="3" max="3" width="23.7109375" customWidth="1"/>
    <col min="4" max="4" width="25.7109375" style="641" customWidth="1"/>
    <col min="5" max="5" width="13" style="640" bestFit="1" customWidth="1"/>
  </cols>
  <sheetData>
    <row r="3" spans="3:6" x14ac:dyDescent="0.25">
      <c r="C3" s="701" t="s">
        <v>1306</v>
      </c>
      <c r="D3" s="702" t="s">
        <v>1363</v>
      </c>
      <c r="E3" s="704" t="s">
        <v>1308</v>
      </c>
    </row>
    <row r="4" spans="3:6" x14ac:dyDescent="0.25">
      <c r="C4" s="698" t="s">
        <v>1294</v>
      </c>
      <c r="D4" s="699">
        <f>POAI!AD7/1000</f>
        <v>176000</v>
      </c>
      <c r="E4" s="700">
        <f t="shared" ref="E4:E16" si="0">+D4/$D$17</f>
        <v>6.7273430820761744E-4</v>
      </c>
    </row>
    <row r="5" spans="3:6" x14ac:dyDescent="0.25">
      <c r="C5" s="698" t="s">
        <v>1295</v>
      </c>
      <c r="D5" s="699">
        <f>POAI!AD17/1000</f>
        <v>983000</v>
      </c>
      <c r="E5" s="700">
        <f t="shared" si="0"/>
        <v>3.7573740055004998E-3</v>
      </c>
    </row>
    <row r="6" spans="3:6" x14ac:dyDescent="0.25">
      <c r="C6" s="698" t="s">
        <v>1296</v>
      </c>
      <c r="D6" s="699">
        <f>POAI!AD35/1000</f>
        <v>2090000</v>
      </c>
      <c r="E6" s="700">
        <f t="shared" si="0"/>
        <v>7.9887199099654572E-3</v>
      </c>
    </row>
    <row r="7" spans="3:6" x14ac:dyDescent="0.25">
      <c r="C7" s="698" t="s">
        <v>1297</v>
      </c>
      <c r="D7" s="699">
        <f>POAI!AD42/1000</f>
        <v>8002091.8159999996</v>
      </c>
      <c r="E7" s="700">
        <f t="shared" si="0"/>
        <v>3.058682785256021E-2</v>
      </c>
    </row>
    <row r="8" spans="3:6" x14ac:dyDescent="0.25">
      <c r="C8" s="698" t="s">
        <v>1298</v>
      </c>
      <c r="D8" s="699">
        <f>POAI!AD86/1000</f>
        <v>2706182.7259999998</v>
      </c>
      <c r="E8" s="700">
        <f t="shared" si="0"/>
        <v>1.034398843215349E-2</v>
      </c>
    </row>
    <row r="9" spans="3:6" x14ac:dyDescent="0.25">
      <c r="C9" s="698" t="s">
        <v>1299</v>
      </c>
      <c r="D9" s="699">
        <f>POAI!AD129/1000</f>
        <v>2529898.1009999998</v>
      </c>
      <c r="E9" s="700">
        <f t="shared" si="0"/>
        <v>9.6701661864318188E-3</v>
      </c>
    </row>
    <row r="10" spans="3:6" x14ac:dyDescent="0.25">
      <c r="C10" s="698" t="s">
        <v>1300</v>
      </c>
      <c r="D10" s="699">
        <f>POAI!AD145/1000</f>
        <v>1427372.304</v>
      </c>
      <c r="E10" s="700">
        <f t="shared" si="0"/>
        <v>5.4559222698076877E-3</v>
      </c>
    </row>
    <row r="11" spans="3:6" x14ac:dyDescent="0.25">
      <c r="C11" s="698" t="s">
        <v>1301</v>
      </c>
      <c r="D11" s="699">
        <f>POAI!AD164/1000</f>
        <v>2573248.1860000002</v>
      </c>
      <c r="E11" s="700">
        <f t="shared" si="0"/>
        <v>9.8358655582682763E-3</v>
      </c>
    </row>
    <row r="12" spans="3:6" x14ac:dyDescent="0.25">
      <c r="C12" s="698" t="s">
        <v>1302</v>
      </c>
      <c r="D12" s="699">
        <f>POAI!AD222/1000</f>
        <v>695000</v>
      </c>
      <c r="E12" s="700">
        <f t="shared" si="0"/>
        <v>2.6565360466153077E-3</v>
      </c>
    </row>
    <row r="13" spans="3:6" x14ac:dyDescent="0.25">
      <c r="C13" s="698" t="s">
        <v>1303</v>
      </c>
      <c r="D13" s="699">
        <f>POAI!AD231/1000</f>
        <v>188333124.73199999</v>
      </c>
      <c r="E13" s="700">
        <f t="shared" si="0"/>
        <v>0.71987587715432355</v>
      </c>
      <c r="F13" s="693">
        <f>+E13+E15</f>
        <v>0.89579657964182724</v>
      </c>
    </row>
    <row r="14" spans="3:6" x14ac:dyDescent="0.25">
      <c r="C14" s="698" t="s">
        <v>1304</v>
      </c>
      <c r="D14" s="699">
        <f>POAI!AD276/1000</f>
        <v>5182789.574</v>
      </c>
      <c r="E14" s="700">
        <f t="shared" si="0"/>
        <v>1.9810456583241719E-2</v>
      </c>
    </row>
    <row r="15" spans="3:6" x14ac:dyDescent="0.25">
      <c r="C15" s="698" t="s">
        <v>1305</v>
      </c>
      <c r="D15" s="699">
        <f>POAI!AD332/1000</f>
        <v>46024178.134000003</v>
      </c>
      <c r="E15" s="700">
        <f t="shared" si="0"/>
        <v>0.17592070248750369</v>
      </c>
    </row>
    <row r="16" spans="3:6" x14ac:dyDescent="0.25">
      <c r="C16" s="698" t="s">
        <v>1310</v>
      </c>
      <c r="D16" s="699">
        <f>POAI!AD400/1000</f>
        <v>896000</v>
      </c>
      <c r="E16" s="700">
        <f t="shared" si="0"/>
        <v>3.424829205420598E-3</v>
      </c>
    </row>
    <row r="17" spans="3:6" x14ac:dyDescent="0.25">
      <c r="C17" s="701" t="s">
        <v>1309</v>
      </c>
      <c r="D17" s="702">
        <f>SUM(D4:D16)</f>
        <v>261618885.57300001</v>
      </c>
      <c r="E17" s="703">
        <f>SUM(E4:E16)</f>
        <v>1</v>
      </c>
    </row>
    <row r="25" spans="3:6" x14ac:dyDescent="0.25">
      <c r="C25" t="s">
        <v>1319</v>
      </c>
      <c r="D25" s="641" t="s">
        <v>1307</v>
      </c>
      <c r="E25" s="640" t="s">
        <v>1308</v>
      </c>
      <c r="F25" t="s">
        <v>38</v>
      </c>
    </row>
    <row r="26" spans="3:6" x14ac:dyDescent="0.25">
      <c r="C26" t="s">
        <v>1316</v>
      </c>
      <c r="D26" s="641">
        <f>POAI!AD438/1000</f>
        <v>3493730.25422</v>
      </c>
      <c r="E26" s="640">
        <f>+D26/$D$29*100</f>
        <v>62.067467842744016</v>
      </c>
    </row>
    <row r="27" spans="3:6" x14ac:dyDescent="0.25">
      <c r="C27" t="s">
        <v>1317</v>
      </c>
      <c r="D27" s="641">
        <f>POAI!AD450/1000</f>
        <v>2024983.199</v>
      </c>
      <c r="E27" s="640">
        <f t="shared" ref="E27:E29" si="1">+D27/$D$29*100</f>
        <v>35.974608925293126</v>
      </c>
    </row>
    <row r="28" spans="3:6" x14ac:dyDescent="0.25">
      <c r="C28" t="s">
        <v>1318</v>
      </c>
      <c r="D28" s="641">
        <f>POAI!AD472/1000</f>
        <v>110210</v>
      </c>
      <c r="E28" s="640">
        <f t="shared" si="1"/>
        <v>1.9579232319628521</v>
      </c>
    </row>
    <row r="29" spans="3:6" x14ac:dyDescent="0.25">
      <c r="C29" t="s">
        <v>1309</v>
      </c>
      <c r="D29" s="641">
        <f>SUM(D26:D28)</f>
        <v>5628923.4532200005</v>
      </c>
      <c r="E29" s="640">
        <f t="shared" si="1"/>
        <v>100</v>
      </c>
    </row>
  </sheetData>
  <sheetProtection algorithmName="SHA-512" hashValue="vLhwKPTNEAA4P+/vCJFGY+sMJzpA6P3D3Es1B23K23BDMsPIlCH0lPIrOHMzAH+/aD9y8eTX7+jkJKSOUo79zg==" saltValue="vBVzPcjecVvjmtqUyu2hVQ==" spinCount="100000" sheet="1" objects="1" scenarios="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POAI</vt:lpstr>
      <vt:lpstr>RESUMEN POR UNIDAD</vt:lpstr>
      <vt:lpstr>UNIDADES + FUENTE</vt:lpstr>
      <vt:lpstr>PROGRAMAS</vt:lpstr>
      <vt:lpstr>EJE ESTRATEGICO</vt:lpstr>
      <vt:lpstr>%PARTIC POR UNIDAD</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Lucia</dc:creator>
  <cp:lastModifiedBy>usuario</cp:lastModifiedBy>
  <cp:revision/>
  <dcterms:created xsi:type="dcterms:W3CDTF">2020-08-12T15:20:51Z</dcterms:created>
  <dcterms:modified xsi:type="dcterms:W3CDTF">2021-02-07T21:22:13Z</dcterms:modified>
</cp:coreProperties>
</file>