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ThisWorkbook"/>
  <mc:AlternateContent xmlns:mc="http://schemas.openxmlformats.org/markup-compatibility/2006">
    <mc:Choice Requires="x15">
      <x15ac:absPath xmlns:x15ac="http://schemas.microsoft.com/office/spreadsheetml/2010/11/ac" url="C:\Users\AUXPLANEACION03\Desktop\SGTO PDD III TRIMESTRE 2021\"/>
    </mc:Choice>
  </mc:AlternateContent>
  <bookViews>
    <workbookView xWindow="-120" yWindow="-120" windowWidth="20730" windowHeight="11160"/>
  </bookViews>
  <sheets>
    <sheet name="SGTO POAI -SEPTIEMBRE-2021" sheetId="1" r:id="rId1"/>
    <sheet name="RESUMEN POR UNIDAD" sheetId="5" r:id="rId2"/>
    <sheet name="UNIDADES + FUENTE" sheetId="6" r:id="rId3"/>
    <sheet name="PROGRAMAS" sheetId="9" r:id="rId4"/>
    <sheet name="EJE ESTRATEGICO" sheetId="8" r:id="rId5"/>
    <sheet name="PROYECTOS" sheetId="10" r:id="rId6"/>
    <sheet name="CONSOLIDADO UNIDADES" sheetId="11" r:id="rId7"/>
  </sheets>
  <definedNames>
    <definedName name="_1._Apoyo_con_equipos_para_la_seguridad_vial_Licenciamiento_de_software_para_comunicaciones">#REF!</definedName>
    <definedName name="_xlnm._FilterDatabase" localSheetId="1" hidden="1">'RESUMEN POR UNIDAD'!$E$1:$E$186</definedName>
    <definedName name="_xlnm._FilterDatabase" localSheetId="0" hidden="1">'SGTO POAI -SEPTIEMBRE-2021'!$A$7:$DF$307</definedName>
    <definedName name="aa">#REF!</definedName>
    <definedName name="CODIGO_DIVIPOLA">#REF!</definedName>
    <definedName name="DboREGISTRO_LEY_617">#REF!</definedName>
    <definedName name="ññ">#REF!</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11" l="1"/>
  <c r="H4" i="11"/>
  <c r="H3" i="11"/>
  <c r="G211" i="6" l="1"/>
  <c r="H211" i="6"/>
  <c r="G181" i="6"/>
  <c r="H181" i="6"/>
  <c r="J101" i="6"/>
  <c r="K101" i="6"/>
  <c r="J102" i="6"/>
  <c r="K102" i="6"/>
  <c r="M85" i="6"/>
  <c r="N85" i="6"/>
  <c r="G48" i="6"/>
  <c r="H48" i="6"/>
  <c r="G49" i="6"/>
  <c r="H49" i="6"/>
  <c r="G41" i="6"/>
  <c r="H41" i="6"/>
  <c r="H37" i="6"/>
  <c r="G37" i="6"/>
  <c r="AA305" i="1" l="1"/>
  <c r="AB305" i="1"/>
  <c r="AC305" i="1"/>
  <c r="AD305" i="1"/>
  <c r="AE305" i="1"/>
  <c r="AF305" i="1"/>
  <c r="AG305" i="1"/>
  <c r="AH305" i="1"/>
  <c r="AI305" i="1"/>
  <c r="AJ305" i="1"/>
  <c r="AK305" i="1"/>
  <c r="AL305" i="1"/>
  <c r="AM305" i="1"/>
  <c r="AN305" i="1"/>
  <c r="AO305" i="1"/>
  <c r="AP305" i="1"/>
  <c r="AQ305" i="1"/>
  <c r="AR305" i="1"/>
  <c r="AS305" i="1"/>
  <c r="AT305" i="1"/>
  <c r="AU305" i="1"/>
  <c r="AV305" i="1"/>
  <c r="AW305" i="1"/>
  <c r="AX305" i="1"/>
  <c r="AY305" i="1"/>
  <c r="AZ305" i="1"/>
  <c r="BA305" i="1"/>
  <c r="BB305" i="1"/>
  <c r="BC305" i="1"/>
  <c r="BD305" i="1"/>
  <c r="BE305" i="1"/>
  <c r="BF305" i="1"/>
  <c r="BG305" i="1"/>
  <c r="BH305" i="1"/>
  <c r="BI305" i="1"/>
  <c r="BJ305" i="1"/>
  <c r="BK305" i="1"/>
  <c r="BL305" i="1"/>
  <c r="BM305" i="1"/>
  <c r="BN305" i="1"/>
  <c r="BO305" i="1"/>
  <c r="AA306" i="1"/>
  <c r="AB306" i="1"/>
  <c r="AC306" i="1"/>
  <c r="AC307" i="1" s="1"/>
  <c r="AD306" i="1"/>
  <c r="AE306" i="1"/>
  <c r="AF306" i="1"/>
  <c r="AG306" i="1"/>
  <c r="AG307" i="1" s="1"/>
  <c r="AH306" i="1"/>
  <c r="AI306" i="1"/>
  <c r="AJ306" i="1"/>
  <c r="AK306" i="1"/>
  <c r="AK307" i="1" s="1"/>
  <c r="AL306" i="1"/>
  <c r="AM306" i="1"/>
  <c r="AN306" i="1"/>
  <c r="AO306" i="1"/>
  <c r="AO307" i="1" s="1"/>
  <c r="AP306" i="1"/>
  <c r="AQ306" i="1"/>
  <c r="AR306" i="1"/>
  <c r="AS306" i="1"/>
  <c r="AS307" i="1" s="1"/>
  <c r="AT306" i="1"/>
  <c r="AU306" i="1"/>
  <c r="AV306" i="1"/>
  <c r="AW306" i="1"/>
  <c r="AW307" i="1" s="1"/>
  <c r="AX306" i="1"/>
  <c r="AY306" i="1"/>
  <c r="AZ306" i="1"/>
  <c r="BA306" i="1"/>
  <c r="BA307" i="1" s="1"/>
  <c r="BB306" i="1"/>
  <c r="BC306" i="1"/>
  <c r="BD306" i="1"/>
  <c r="BE306" i="1"/>
  <c r="BE307" i="1" s="1"/>
  <c r="BF306" i="1"/>
  <c r="BG306" i="1"/>
  <c r="BH306" i="1"/>
  <c r="BI306" i="1"/>
  <c r="BI307" i="1" s="1"/>
  <c r="BJ306" i="1"/>
  <c r="BK306" i="1"/>
  <c r="BL306" i="1"/>
  <c r="BM306" i="1"/>
  <c r="BM307" i="1" s="1"/>
  <c r="BN306" i="1"/>
  <c r="BO306" i="1"/>
  <c r="AA307" i="1"/>
  <c r="AB307" i="1"/>
  <c r="AF307" i="1"/>
  <c r="AJ307" i="1"/>
  <c r="AM307" i="1"/>
  <c r="AN307" i="1"/>
  <c r="AR307" i="1"/>
  <c r="AU307" i="1"/>
  <c r="AV307" i="1"/>
  <c r="AZ307" i="1"/>
  <c r="BC307" i="1"/>
  <c r="BD307" i="1"/>
  <c r="BH307" i="1"/>
  <c r="BK307" i="1"/>
  <c r="BL307" i="1"/>
  <c r="Z306" i="1"/>
  <c r="Z305" i="1"/>
  <c r="BO307" i="1" l="1"/>
  <c r="BG307" i="1"/>
  <c r="AY307" i="1"/>
  <c r="AQ307" i="1"/>
  <c r="AI307" i="1"/>
  <c r="AE307" i="1"/>
  <c r="BF307" i="1"/>
  <c r="AX307" i="1"/>
  <c r="AL307" i="1"/>
  <c r="AD307" i="1"/>
  <c r="BN307" i="1"/>
  <c r="BJ307" i="1"/>
  <c r="BB307" i="1"/>
  <c r="AT307" i="1"/>
  <c r="AP307" i="1"/>
  <c r="AH307" i="1"/>
  <c r="Z307" i="1"/>
  <c r="BQ177" i="1"/>
  <c r="BR177" i="1"/>
  <c r="BQ176" i="1"/>
  <c r="BR176" i="1"/>
  <c r="BQ175" i="1"/>
  <c r="BR175" i="1"/>
  <c r="BQ174" i="1"/>
  <c r="BR174" i="1"/>
  <c r="BQ173" i="1"/>
  <c r="BR173" i="1"/>
  <c r="BQ172" i="1"/>
  <c r="BR172" i="1"/>
  <c r="BQ171" i="1"/>
  <c r="BR171" i="1"/>
  <c r="BQ170" i="1"/>
  <c r="BR170" i="1"/>
  <c r="BQ169" i="1"/>
  <c r="BR169" i="1"/>
  <c r="BQ168" i="1"/>
  <c r="BR168" i="1"/>
  <c r="J146" i="6"/>
  <c r="K146" i="6"/>
  <c r="J84" i="6"/>
  <c r="K84" i="6"/>
  <c r="J85" i="6"/>
  <c r="K85" i="6"/>
  <c r="G84" i="6"/>
  <c r="H84" i="6"/>
  <c r="P84" i="6"/>
  <c r="P83" i="6" s="1"/>
  <c r="P82" i="6" s="1"/>
  <c r="P81" i="6" s="1"/>
  <c r="Q84" i="6"/>
  <c r="Q83" i="6" s="1"/>
  <c r="Q82" i="6" s="1"/>
  <c r="Q81" i="6" s="1"/>
  <c r="J83" i="6" l="1"/>
  <c r="J82" i="6" s="1"/>
  <c r="J81" i="6" s="1"/>
  <c r="K83" i="6"/>
  <c r="K82" i="6" s="1"/>
  <c r="K81" i="6" s="1"/>
  <c r="Z299" i="1"/>
  <c r="Z300" i="1"/>
  <c r="BG300" i="1"/>
  <c r="BG299" i="1"/>
  <c r="BG298" i="1"/>
  <c r="BG296" i="1"/>
  <c r="Z296" i="1"/>
  <c r="Z295" i="1"/>
  <c r="BG294" i="1"/>
  <c r="BQ82" i="1"/>
  <c r="BR82" i="1"/>
  <c r="V66" i="1" l="1"/>
  <c r="BF186" i="1" l="1"/>
  <c r="BG293" i="1" l="1"/>
  <c r="Z292" i="1"/>
  <c r="BG289" i="1" l="1"/>
  <c r="V71" i="1"/>
  <c r="V153" i="1" l="1"/>
  <c r="BE270" i="1" l="1"/>
  <c r="AL202" i="1" l="1"/>
  <c r="BP89" i="1" l="1"/>
  <c r="BQ89" i="1"/>
  <c r="BR89" i="1"/>
  <c r="BP90" i="1"/>
  <c r="BQ90" i="1"/>
  <c r="BR90" i="1"/>
  <c r="BQ91" i="1"/>
  <c r="BR91" i="1"/>
  <c r="BP92" i="1"/>
  <c r="BQ92" i="1"/>
  <c r="BR92" i="1"/>
  <c r="BP93" i="1"/>
  <c r="BQ93" i="1"/>
  <c r="BR93" i="1"/>
  <c r="BP94" i="1"/>
  <c r="BQ94" i="1"/>
  <c r="BR94" i="1"/>
  <c r="BP95" i="1"/>
  <c r="BQ95" i="1"/>
  <c r="BR95" i="1"/>
  <c r="BP96" i="1"/>
  <c r="BQ96" i="1"/>
  <c r="BR96" i="1"/>
  <c r="BP97" i="1"/>
  <c r="BQ97" i="1"/>
  <c r="BR97" i="1"/>
  <c r="BP98" i="1"/>
  <c r="BQ98" i="1"/>
  <c r="BR98" i="1"/>
  <c r="BP99" i="1"/>
  <c r="BQ99" i="1"/>
  <c r="BR99" i="1"/>
  <c r="BP100" i="1"/>
  <c r="BQ100" i="1"/>
  <c r="BR100" i="1"/>
  <c r="BP101" i="1"/>
  <c r="BQ101" i="1"/>
  <c r="BR101" i="1"/>
  <c r="BP102" i="1"/>
  <c r="BQ102" i="1"/>
  <c r="BR102" i="1"/>
  <c r="BP103" i="1"/>
  <c r="BQ103" i="1"/>
  <c r="BR103" i="1"/>
  <c r="BP104" i="1"/>
  <c r="BQ104" i="1"/>
  <c r="BR104" i="1"/>
  <c r="BP105" i="1"/>
  <c r="BQ105" i="1"/>
  <c r="BR105" i="1"/>
  <c r="BP106" i="1"/>
  <c r="BQ106" i="1"/>
  <c r="BR106" i="1"/>
  <c r="BP107" i="1"/>
  <c r="BQ107" i="1"/>
  <c r="BR107" i="1"/>
  <c r="BP108" i="1"/>
  <c r="BQ108" i="1"/>
  <c r="BR108" i="1"/>
  <c r="BP109" i="1"/>
  <c r="BQ109" i="1"/>
  <c r="BR109" i="1"/>
  <c r="BP110" i="1"/>
  <c r="BQ110" i="1"/>
  <c r="BR110" i="1"/>
  <c r="BP111" i="1"/>
  <c r="BQ111" i="1"/>
  <c r="BR111" i="1"/>
  <c r="BP112" i="1"/>
  <c r="BQ112" i="1"/>
  <c r="BR112" i="1"/>
  <c r="BQ113" i="1"/>
  <c r="BR113" i="1"/>
  <c r="BQ114" i="1"/>
  <c r="BR114" i="1"/>
  <c r="BQ115" i="1"/>
  <c r="BR115" i="1"/>
  <c r="BQ116" i="1"/>
  <c r="BR116" i="1"/>
  <c r="BP117" i="1"/>
  <c r="BQ117" i="1"/>
  <c r="BR117" i="1"/>
  <c r="BP118" i="1"/>
  <c r="BQ118" i="1"/>
  <c r="BR118" i="1"/>
  <c r="BP119" i="1"/>
  <c r="BQ119" i="1"/>
  <c r="BR119" i="1"/>
  <c r="BP120" i="1"/>
  <c r="BQ120" i="1"/>
  <c r="BR120" i="1"/>
  <c r="BP121" i="1"/>
  <c r="BQ121" i="1"/>
  <c r="BR121" i="1"/>
  <c r="BP122" i="1"/>
  <c r="BQ122" i="1"/>
  <c r="BR122" i="1"/>
  <c r="BP123" i="1"/>
  <c r="BQ123" i="1"/>
  <c r="BR123" i="1"/>
  <c r="BP124" i="1"/>
  <c r="BQ124" i="1"/>
  <c r="BR124" i="1"/>
  <c r="BP125" i="1"/>
  <c r="BQ125" i="1"/>
  <c r="BR125" i="1"/>
  <c r="BR39" i="1" l="1"/>
  <c r="BR40" i="1"/>
  <c r="BR41" i="1"/>
  <c r="BR42" i="1"/>
  <c r="BQ42" i="1"/>
  <c r="BG287" i="1" l="1"/>
  <c r="BD287" i="1"/>
  <c r="BD289" i="1"/>
  <c r="AX134" i="1"/>
  <c r="BD131" i="1"/>
  <c r="AO255" i="1" l="1"/>
  <c r="AL254" i="1"/>
  <c r="BJ253" i="1"/>
  <c r="BJ244" i="1"/>
  <c r="BJ242" i="1"/>
  <c r="BP242" i="1" s="1"/>
  <c r="AL238" i="1"/>
  <c r="BP196" i="1"/>
  <c r="BD163" i="1"/>
  <c r="BD160" i="1"/>
  <c r="BD154" i="1"/>
  <c r="BJ154" i="1"/>
  <c r="BD150" i="1"/>
  <c r="BD151" i="1"/>
  <c r="BD138" i="1"/>
  <c r="BD137" i="1"/>
  <c r="BD136" i="1"/>
  <c r="BD135" i="1"/>
  <c r="BP126" i="1"/>
  <c r="BD32" i="1"/>
  <c r="BD31" i="1"/>
  <c r="BP288" i="1" l="1"/>
  <c r="BP155" i="1"/>
  <c r="AR138" i="1"/>
  <c r="BQ137" i="1"/>
  <c r="F211" i="6" l="1"/>
  <c r="J198" i="6"/>
  <c r="K198" i="6"/>
  <c r="J199" i="6"/>
  <c r="K199" i="6"/>
  <c r="J204" i="6"/>
  <c r="K204" i="6"/>
  <c r="J202" i="6"/>
  <c r="K202" i="6"/>
  <c r="I202" i="6"/>
  <c r="I199" i="6"/>
  <c r="I198" i="6"/>
  <c r="G204" i="6"/>
  <c r="H204" i="6"/>
  <c r="G202" i="6"/>
  <c r="H202" i="6"/>
  <c r="G198" i="6"/>
  <c r="H198" i="6"/>
  <c r="G199" i="6"/>
  <c r="H199" i="6"/>
  <c r="F202" i="6"/>
  <c r="F199" i="6"/>
  <c r="F198" i="6"/>
  <c r="P190" i="6"/>
  <c r="Q190" i="6"/>
  <c r="P191" i="6"/>
  <c r="Q191" i="6"/>
  <c r="O191" i="6"/>
  <c r="O190" i="6"/>
  <c r="M190" i="6"/>
  <c r="N190" i="6"/>
  <c r="M191" i="6"/>
  <c r="N191" i="6"/>
  <c r="L191" i="6"/>
  <c r="J190" i="6"/>
  <c r="K190" i="6"/>
  <c r="J191" i="6"/>
  <c r="K191" i="6"/>
  <c r="I190" i="6"/>
  <c r="G190" i="6"/>
  <c r="H190" i="6"/>
  <c r="G191" i="6"/>
  <c r="H191" i="6"/>
  <c r="F191" i="6"/>
  <c r="F190" i="6"/>
  <c r="F181" i="6"/>
  <c r="G173" i="6"/>
  <c r="H173" i="6"/>
  <c r="G174" i="6"/>
  <c r="H174" i="6"/>
  <c r="F174" i="6"/>
  <c r="G177" i="6"/>
  <c r="H177" i="6"/>
  <c r="G178" i="6"/>
  <c r="H178" i="6"/>
  <c r="F178" i="6"/>
  <c r="S164" i="6"/>
  <c r="T164" i="6"/>
  <c r="S165" i="6"/>
  <c r="T165" i="6"/>
  <c r="S166" i="6"/>
  <c r="T166" i="6"/>
  <c r="R166" i="6"/>
  <c r="R165" i="6"/>
  <c r="P164" i="6"/>
  <c r="Q164" i="6"/>
  <c r="P165" i="6"/>
  <c r="Q165" i="6"/>
  <c r="P166" i="6"/>
  <c r="Q166" i="6"/>
  <c r="M164" i="6"/>
  <c r="N164" i="6"/>
  <c r="M165" i="6"/>
  <c r="N165" i="6"/>
  <c r="M166" i="6"/>
  <c r="N166" i="6"/>
  <c r="L165" i="6"/>
  <c r="J164" i="6"/>
  <c r="K164" i="6"/>
  <c r="J165" i="6"/>
  <c r="K165" i="6"/>
  <c r="J166" i="6"/>
  <c r="K166" i="6"/>
  <c r="G164" i="6"/>
  <c r="H164" i="6"/>
  <c r="G165" i="6"/>
  <c r="H165" i="6"/>
  <c r="G166" i="6"/>
  <c r="H166" i="6"/>
  <c r="J156" i="6"/>
  <c r="K156" i="6"/>
  <c r="J157" i="6"/>
  <c r="K157" i="6"/>
  <c r="J153" i="6"/>
  <c r="K153" i="6"/>
  <c r="J151" i="6"/>
  <c r="K151" i="6"/>
  <c r="I151" i="6"/>
  <c r="J147" i="6"/>
  <c r="K147" i="6"/>
  <c r="J148" i="6"/>
  <c r="K148" i="6"/>
  <c r="J144" i="6"/>
  <c r="K144" i="6"/>
  <c r="I144" i="6"/>
  <c r="J142" i="6"/>
  <c r="K142" i="6"/>
  <c r="G148" i="6"/>
  <c r="H148" i="6"/>
  <c r="Z131" i="6"/>
  <c r="AA131" i="6"/>
  <c r="Y131" i="6"/>
  <c r="W131" i="6"/>
  <c r="X131" i="6"/>
  <c r="V131" i="6"/>
  <c r="T131" i="6"/>
  <c r="U131" i="6"/>
  <c r="T132" i="6"/>
  <c r="U132" i="6"/>
  <c r="T135" i="6"/>
  <c r="U135" i="6"/>
  <c r="S135" i="6"/>
  <c r="S132" i="6"/>
  <c r="P131" i="6"/>
  <c r="Q131" i="6"/>
  <c r="O131" i="6"/>
  <c r="M131" i="6"/>
  <c r="N131" i="6"/>
  <c r="L131" i="6"/>
  <c r="J131" i="6"/>
  <c r="K131" i="6"/>
  <c r="G132" i="6"/>
  <c r="F132" i="6"/>
  <c r="G131" i="6"/>
  <c r="H131" i="6"/>
  <c r="H132" i="6"/>
  <c r="G135" i="6"/>
  <c r="H135" i="6"/>
  <c r="F135" i="6"/>
  <c r="F131" i="6"/>
  <c r="I102" i="6"/>
  <c r="I101" i="6"/>
  <c r="G112" i="6"/>
  <c r="H112" i="6"/>
  <c r="G113" i="6"/>
  <c r="H113" i="6"/>
  <c r="G114" i="6"/>
  <c r="H114" i="6"/>
  <c r="G115" i="6"/>
  <c r="H115" i="6"/>
  <c r="G116" i="6"/>
  <c r="H116" i="6"/>
  <c r="F116" i="6"/>
  <c r="F115" i="6"/>
  <c r="F114" i="6"/>
  <c r="F112" i="6"/>
  <c r="G109" i="6"/>
  <c r="H109" i="6"/>
  <c r="F109" i="6"/>
  <c r="G101" i="6"/>
  <c r="H101" i="6"/>
  <c r="G102" i="6"/>
  <c r="H102" i="6"/>
  <c r="G103" i="6"/>
  <c r="H103" i="6"/>
  <c r="G104" i="6"/>
  <c r="H104" i="6"/>
  <c r="G105" i="6"/>
  <c r="H105" i="6"/>
  <c r="G106" i="6"/>
  <c r="H106" i="6"/>
  <c r="G107" i="6"/>
  <c r="H107" i="6"/>
  <c r="F107" i="6"/>
  <c r="F106" i="6"/>
  <c r="F105" i="6"/>
  <c r="F104" i="6"/>
  <c r="F103" i="6"/>
  <c r="F102" i="6"/>
  <c r="F37" i="6"/>
  <c r="J92" i="6"/>
  <c r="K92" i="6"/>
  <c r="G94" i="6"/>
  <c r="H94" i="6"/>
  <c r="G92" i="6"/>
  <c r="H92" i="6"/>
  <c r="O84" i="6"/>
  <c r="O83" i="6" s="1"/>
  <c r="O82" i="6" s="1"/>
  <c r="O81" i="6" s="1"/>
  <c r="I85" i="6"/>
  <c r="G85" i="6"/>
  <c r="H85" i="6"/>
  <c r="F85" i="6"/>
  <c r="J60" i="6"/>
  <c r="K60" i="6"/>
  <c r="J61" i="6"/>
  <c r="K61" i="6"/>
  <c r="J62" i="6"/>
  <c r="K62" i="6"/>
  <c r="J64" i="6"/>
  <c r="J63" i="6" s="1"/>
  <c r="K64" i="6"/>
  <c r="K63" i="6" s="1"/>
  <c r="J66" i="6"/>
  <c r="K66" i="6"/>
  <c r="J67" i="6"/>
  <c r="K67" i="6"/>
  <c r="J69" i="6"/>
  <c r="J68" i="6" s="1"/>
  <c r="K69" i="6"/>
  <c r="K68" i="6" s="1"/>
  <c r="J72" i="6"/>
  <c r="J71" i="6" s="1"/>
  <c r="K72" i="6"/>
  <c r="K71" i="6" s="1"/>
  <c r="J74" i="6"/>
  <c r="J73" i="6" s="1"/>
  <c r="K74" i="6"/>
  <c r="K73" i="6" s="1"/>
  <c r="J77" i="6"/>
  <c r="J76" i="6" s="1"/>
  <c r="J75" i="6" s="1"/>
  <c r="K77" i="6"/>
  <c r="K76" i="6" s="1"/>
  <c r="K75" i="6" s="1"/>
  <c r="I62" i="6"/>
  <c r="G69" i="6"/>
  <c r="H69" i="6"/>
  <c r="J46" i="6"/>
  <c r="K46" i="6"/>
  <c r="I46" i="6"/>
  <c r="S44" i="6"/>
  <c r="T44" i="6"/>
  <c r="R44" i="6"/>
  <c r="R32" i="6"/>
  <c r="R31" i="6" s="1"/>
  <c r="S32" i="6"/>
  <c r="S31" i="6" s="1"/>
  <c r="T32" i="6"/>
  <c r="T31" i="6" s="1"/>
  <c r="P33" i="6"/>
  <c r="P32" i="6" s="1"/>
  <c r="Q33" i="6"/>
  <c r="Q32" i="6" s="1"/>
  <c r="P35" i="6"/>
  <c r="P34" i="6" s="1"/>
  <c r="Q35" i="6"/>
  <c r="Q34" i="6" s="1"/>
  <c r="P36" i="6"/>
  <c r="Q36" i="6"/>
  <c r="P39" i="6"/>
  <c r="P38" i="6" s="1"/>
  <c r="Q39" i="6"/>
  <c r="Q38" i="6" s="1"/>
  <c r="P40" i="6"/>
  <c r="Q40" i="6"/>
  <c r="P44" i="6"/>
  <c r="P43" i="6" s="1"/>
  <c r="Q44" i="6"/>
  <c r="P46" i="6"/>
  <c r="P45" i="6" s="1"/>
  <c r="Q46" i="6"/>
  <c r="Q45" i="6" s="1"/>
  <c r="P48" i="6"/>
  <c r="Q48" i="6"/>
  <c r="P49" i="6"/>
  <c r="Q49" i="6"/>
  <c r="P52" i="6"/>
  <c r="Q52" i="6"/>
  <c r="P53" i="6"/>
  <c r="Q53" i="6"/>
  <c r="O53" i="6"/>
  <c r="O49" i="6"/>
  <c r="O48" i="6"/>
  <c r="O46" i="6"/>
  <c r="O44" i="6"/>
  <c r="M49" i="6"/>
  <c r="N49" i="6"/>
  <c r="J26" i="6"/>
  <c r="J25" i="6" s="1"/>
  <c r="J24" i="6" s="1"/>
  <c r="J23" i="6" s="1"/>
  <c r="K26" i="6"/>
  <c r="K25" i="6" s="1"/>
  <c r="K24" i="6" s="1"/>
  <c r="K23" i="6" s="1"/>
  <c r="G26" i="6"/>
  <c r="G25" i="6" s="1"/>
  <c r="G24" i="6" s="1"/>
  <c r="G23" i="6" s="1"/>
  <c r="H26" i="6"/>
  <c r="H25" i="6" s="1"/>
  <c r="H24" i="6" s="1"/>
  <c r="H23" i="6" s="1"/>
  <c r="F48" i="6"/>
  <c r="F41" i="6"/>
  <c r="F16" i="5"/>
  <c r="G16" i="5"/>
  <c r="F17" i="5"/>
  <c r="G17" i="5"/>
  <c r="F11" i="5"/>
  <c r="G11" i="5"/>
  <c r="F26" i="6"/>
  <c r="N148" i="6" l="1"/>
  <c r="H83" i="6"/>
  <c r="H82" i="6" s="1"/>
  <c r="H81" i="6" s="1"/>
  <c r="T85" i="6"/>
  <c r="G83" i="6"/>
  <c r="G82" i="6" s="1"/>
  <c r="G81" i="6" s="1"/>
  <c r="S85" i="6"/>
  <c r="H172" i="6"/>
  <c r="H171" i="6" s="1"/>
  <c r="P51" i="6"/>
  <c r="P50" i="6" s="1"/>
  <c r="P47" i="6"/>
  <c r="P42" i="6" s="1"/>
  <c r="P163" i="6"/>
  <c r="P162" i="6" s="1"/>
  <c r="P161" i="6" s="1"/>
  <c r="G172" i="6"/>
  <c r="G171" i="6" s="1"/>
  <c r="K65" i="6"/>
  <c r="W44" i="6"/>
  <c r="W43" i="6" s="1"/>
  <c r="M163" i="6"/>
  <c r="M162" i="6" s="1"/>
  <c r="M161" i="6" s="1"/>
  <c r="Q163" i="6"/>
  <c r="Q162" i="6" s="1"/>
  <c r="Q161" i="6" s="1"/>
  <c r="S163" i="6"/>
  <c r="S162" i="6" s="1"/>
  <c r="S161" i="6" s="1"/>
  <c r="T163" i="6"/>
  <c r="T162" i="6" s="1"/>
  <c r="T161" i="6" s="1"/>
  <c r="M26" i="6"/>
  <c r="M25" i="6" s="1"/>
  <c r="M24" i="6" s="1"/>
  <c r="M23" i="6" s="1"/>
  <c r="N26" i="6"/>
  <c r="N25" i="6" s="1"/>
  <c r="N24" i="6" s="1"/>
  <c r="N23" i="6" s="1"/>
  <c r="G15" i="5"/>
  <c r="G14" i="5" s="1"/>
  <c r="G13" i="5" s="1"/>
  <c r="I4" i="11" s="1"/>
  <c r="F15" i="5"/>
  <c r="F14" i="5" s="1"/>
  <c r="F13" i="5" s="1"/>
  <c r="G4" i="11" s="1"/>
  <c r="V44" i="6"/>
  <c r="V43" i="6" s="1"/>
  <c r="N163" i="6"/>
  <c r="N162" i="6" s="1"/>
  <c r="N161" i="6" s="1"/>
  <c r="P31" i="6"/>
  <c r="Q51" i="6"/>
  <c r="Q50" i="6" s="1"/>
  <c r="Q47" i="6"/>
  <c r="Q43" i="6"/>
  <c r="J65" i="6"/>
  <c r="K59" i="6"/>
  <c r="J59" i="6"/>
  <c r="K70" i="6"/>
  <c r="J70" i="6"/>
  <c r="Q31" i="6"/>
  <c r="K58" i="6" l="1"/>
  <c r="K57" i="6" s="1"/>
  <c r="Q42" i="6"/>
  <c r="Q30" i="6" s="1"/>
  <c r="J58" i="6"/>
  <c r="J57" i="6" s="1"/>
  <c r="P30" i="6"/>
  <c r="BQ24" i="1"/>
  <c r="BR24" i="1"/>
  <c r="BG285" i="1"/>
  <c r="BG286" i="1"/>
  <c r="BD263" i="1"/>
  <c r="BD262" i="1"/>
  <c r="AO218" i="1"/>
  <c r="AO219" i="1"/>
  <c r="AO220" i="1"/>
  <c r="L164" i="6" l="1"/>
  <c r="L190" i="6"/>
  <c r="BP201" i="1"/>
  <c r="AL235" i="1"/>
  <c r="AL234" i="1"/>
  <c r="AL228" i="1"/>
  <c r="AL227" i="1"/>
  <c r="AL207" i="1"/>
  <c r="AL206" i="1"/>
  <c r="AL205" i="1"/>
  <c r="BP205" i="1" s="1"/>
  <c r="AL204" i="1"/>
  <c r="AL203" i="1"/>
  <c r="AL200" i="1"/>
  <c r="BD256" i="1"/>
  <c r="BR165" i="1"/>
  <c r="BQ165" i="1"/>
  <c r="BR166" i="1"/>
  <c r="BQ166" i="1"/>
  <c r="BR167" i="1"/>
  <c r="BQ167" i="1"/>
  <c r="BR178" i="1"/>
  <c r="BQ178" i="1"/>
  <c r="BQ179" i="1"/>
  <c r="BR179" i="1"/>
  <c r="BR180" i="1"/>
  <c r="BR181" i="1"/>
  <c r="BQ180" i="1"/>
  <c r="BQ181" i="1"/>
  <c r="BQ182" i="1"/>
  <c r="BQ183" i="1"/>
  <c r="BQ184" i="1"/>
  <c r="BR186" i="1"/>
  <c r="BQ186" i="1"/>
  <c r="BR187" i="1"/>
  <c r="BQ187" i="1"/>
  <c r="BR188" i="1"/>
  <c r="BQ188" i="1"/>
  <c r="BR189" i="1"/>
  <c r="BQ189" i="1"/>
  <c r="BR190" i="1"/>
  <c r="BQ190" i="1"/>
  <c r="BR191" i="1"/>
  <c r="BQ191" i="1"/>
  <c r="BR193" i="1"/>
  <c r="BQ193" i="1"/>
  <c r="BR194" i="1"/>
  <c r="BQ194" i="1"/>
  <c r="BR195" i="1"/>
  <c r="BQ195" i="1"/>
  <c r="BP195" i="1"/>
  <c r="BR196" i="1"/>
  <c r="BQ196" i="1"/>
  <c r="BR198" i="1"/>
  <c r="BR199" i="1"/>
  <c r="BQ198" i="1"/>
  <c r="BQ199" i="1"/>
  <c r="BP197" i="1"/>
  <c r="BD199" i="1"/>
  <c r="BP199" i="1" s="1"/>
  <c r="BD188" i="1"/>
  <c r="BD174" i="1"/>
  <c r="BD173" i="1"/>
  <c r="BD172" i="1"/>
  <c r="BD171" i="1"/>
  <c r="BD170" i="1"/>
  <c r="BD166" i="1"/>
  <c r="BD165" i="1"/>
  <c r="BP161" i="1"/>
  <c r="BP160" i="1"/>
  <c r="BP159" i="1"/>
  <c r="BP158" i="1"/>
  <c r="BP157" i="1"/>
  <c r="BP153" i="1"/>
  <c r="BP150" i="1"/>
  <c r="BP149" i="1"/>
  <c r="BP148" i="1"/>
  <c r="BP147" i="1"/>
  <c r="BP146" i="1"/>
  <c r="BP144" i="1"/>
  <c r="BP141" i="1"/>
  <c r="BP140" i="1"/>
  <c r="BP137" i="1"/>
  <c r="BP133" i="1"/>
  <c r="BP131" i="1"/>
  <c r="BR163" i="1"/>
  <c r="BQ163" i="1"/>
  <c r="BQ157" i="1"/>
  <c r="BR156" i="1"/>
  <c r="BQ156" i="1"/>
  <c r="BQ155" i="1"/>
  <c r="BR154" i="1"/>
  <c r="BQ154" i="1"/>
  <c r="BQ153" i="1"/>
  <c r="BR151" i="1"/>
  <c r="BQ151" i="1"/>
  <c r="BQ150" i="1"/>
  <c r="BQ148" i="1"/>
  <c r="BR146" i="1"/>
  <c r="BQ146" i="1"/>
  <c r="BR143" i="1"/>
  <c r="BQ143" i="1"/>
  <c r="BQ142" i="1"/>
  <c r="BR136" i="1"/>
  <c r="BQ136" i="1"/>
  <c r="BR134" i="1"/>
  <c r="BQ134" i="1"/>
  <c r="BR129" i="1"/>
  <c r="BQ129" i="1"/>
  <c r="BD162" i="1"/>
  <c r="BP162" i="1" s="1"/>
  <c r="BD152" i="1"/>
  <c r="BP152" i="1" s="1"/>
  <c r="BP151" i="1"/>
  <c r="BD139" i="1"/>
  <c r="BP139" i="1" s="1"/>
  <c r="BP136" i="1"/>
  <c r="I142" i="6" l="1"/>
  <c r="O166" i="6"/>
  <c r="G114" i="5"/>
  <c r="F133" i="5"/>
  <c r="F132" i="5" s="1"/>
  <c r="F114" i="5"/>
  <c r="G131" i="5"/>
  <c r="G130" i="5" s="1"/>
  <c r="F127" i="5"/>
  <c r="G133" i="5"/>
  <c r="G132" i="5" s="1"/>
  <c r="F124" i="5"/>
  <c r="F123" i="5" s="1"/>
  <c r="F122" i="5"/>
  <c r="F121" i="5" s="1"/>
  <c r="F131" i="5"/>
  <c r="F130" i="5" s="1"/>
  <c r="G124" i="5"/>
  <c r="G123" i="5" s="1"/>
  <c r="G122" i="5"/>
  <c r="G121" i="5" s="1"/>
  <c r="BP163" i="1"/>
  <c r="BP135" i="1"/>
  <c r="BD134" i="1"/>
  <c r="F129" i="5" l="1"/>
  <c r="G129" i="5"/>
  <c r="E114" i="5"/>
  <c r="BP134" i="1"/>
  <c r="BD87" i="1" l="1"/>
  <c r="BD85" i="1"/>
  <c r="BD84" i="1"/>
  <c r="BD80" i="1"/>
  <c r="Z72" i="1"/>
  <c r="Z71" i="1"/>
  <c r="BG75" i="1"/>
  <c r="L85" i="6" s="1"/>
  <c r="R85" i="6" s="1"/>
  <c r="BD72" i="1"/>
  <c r="BD71" i="1"/>
  <c r="BD68" i="1"/>
  <c r="BD67" i="1"/>
  <c r="BD66" i="1"/>
  <c r="BD26" i="1"/>
  <c r="O33" i="6" s="1"/>
  <c r="BD21" i="1"/>
  <c r="BD20" i="1"/>
  <c r="BD19" i="1"/>
  <c r="BD18" i="1"/>
  <c r="BD16" i="1"/>
  <c r="BP16" i="1" s="1"/>
  <c r="BD15" i="1"/>
  <c r="BP15" i="1" s="1"/>
  <c r="BD14" i="1"/>
  <c r="BD11" i="1"/>
  <c r="E11" i="5" s="1"/>
  <c r="BD9" i="1"/>
  <c r="BD8" i="1"/>
  <c r="BP84" i="1" l="1"/>
  <c r="F94" i="6"/>
  <c r="BP66" i="1"/>
  <c r="BD290" i="1"/>
  <c r="I191" i="6" s="1"/>
  <c r="BR287" i="1" l="1"/>
  <c r="BR290" i="1" l="1"/>
  <c r="BQ290" i="1"/>
  <c r="AL255" i="1" l="1"/>
  <c r="F166" i="6" s="1"/>
  <c r="BR298" i="1" l="1"/>
  <c r="BQ291" i="1"/>
  <c r="BR291" i="1"/>
  <c r="BQ292" i="1"/>
  <c r="BR292" i="1"/>
  <c r="BQ293" i="1"/>
  <c r="BR293" i="1"/>
  <c r="BQ294" i="1"/>
  <c r="BR294" i="1"/>
  <c r="BQ295" i="1"/>
  <c r="BR295" i="1"/>
  <c r="BQ296" i="1"/>
  <c r="BR296" i="1"/>
  <c r="BQ297" i="1"/>
  <c r="BR297" i="1"/>
  <c r="BQ298" i="1"/>
  <c r="BQ299" i="1"/>
  <c r="BR299" i="1"/>
  <c r="BQ300" i="1"/>
  <c r="BR300" i="1"/>
  <c r="G175" i="5" l="1"/>
  <c r="G174" i="5" s="1"/>
  <c r="G170" i="5"/>
  <c r="G169" i="5" s="1"/>
  <c r="F175" i="5"/>
  <c r="F174" i="5" s="1"/>
  <c r="F170" i="5"/>
  <c r="F169" i="5" s="1"/>
  <c r="G177" i="5"/>
  <c r="G176" i="5" s="1"/>
  <c r="G172" i="5"/>
  <c r="G171" i="5" s="1"/>
  <c r="F177" i="5"/>
  <c r="F176" i="5" s="1"/>
  <c r="F172" i="5"/>
  <c r="F171" i="5" s="1"/>
  <c r="G168" i="5" l="1"/>
  <c r="F168" i="5"/>
  <c r="F173" i="5"/>
  <c r="G173" i="5"/>
  <c r="G167" i="5" s="1"/>
  <c r="I18" i="11" s="1"/>
  <c r="Z130" i="6"/>
  <c r="Z129" i="6" s="1"/>
  <c r="Z128" i="6" s="1"/>
  <c r="AA130" i="6"/>
  <c r="AA129" i="6" s="1"/>
  <c r="AA128" i="6" s="1"/>
  <c r="S43" i="6"/>
  <c r="S42" i="6" s="1"/>
  <c r="S30" i="6" s="1"/>
  <c r="T43" i="6"/>
  <c r="T42" i="6" s="1"/>
  <c r="T30" i="6" s="1"/>
  <c r="I108" i="6"/>
  <c r="J108" i="6"/>
  <c r="K108" i="6"/>
  <c r="I111" i="6"/>
  <c r="I110" i="6" s="1"/>
  <c r="J111" i="6"/>
  <c r="J110" i="6" s="1"/>
  <c r="K111" i="6"/>
  <c r="K110" i="6" s="1"/>
  <c r="F167" i="5" l="1"/>
  <c r="G18" i="11" s="1"/>
  <c r="BG295" i="1"/>
  <c r="F204" i="6" l="1"/>
  <c r="I204" i="6"/>
  <c r="BD186" i="1"/>
  <c r="BD185" i="1"/>
  <c r="I148" i="6" s="1"/>
  <c r="G88" i="5" l="1"/>
  <c r="F88" i="5"/>
  <c r="E88" i="5"/>
  <c r="I100" i="6" l="1"/>
  <c r="I99" i="6" s="1"/>
  <c r="I98" i="6" s="1"/>
  <c r="J100" i="6"/>
  <c r="J99" i="6" s="1"/>
  <c r="J98" i="6" s="1"/>
  <c r="K100" i="6"/>
  <c r="K99" i="6" s="1"/>
  <c r="K98" i="6" s="1"/>
  <c r="BQ289" i="1"/>
  <c r="F165" i="5" s="1"/>
  <c r="BR289" i="1"/>
  <c r="G165" i="5" s="1"/>
  <c r="E20" i="11" l="1"/>
  <c r="K16" i="11"/>
  <c r="C34" i="11" l="1"/>
  <c r="C28" i="11"/>
  <c r="E16" i="11"/>
  <c r="E22" i="11" l="1"/>
  <c r="C48" i="11" s="1"/>
  <c r="C25" i="11"/>
  <c r="BJ204" i="1" l="1"/>
  <c r="R164" i="6" s="1"/>
  <c r="BP281" i="1" l="1"/>
  <c r="BQ281" i="1"/>
  <c r="BR281" i="1"/>
  <c r="Z189" i="1" l="1"/>
  <c r="BP189" i="1" l="1"/>
  <c r="F148" i="6"/>
  <c r="BQ23" i="1"/>
  <c r="BR23" i="1"/>
  <c r="BQ22" i="1"/>
  <c r="BR22" i="1"/>
  <c r="BQ21" i="1"/>
  <c r="BR21" i="1"/>
  <c r="BQ20" i="1"/>
  <c r="BR20" i="1"/>
  <c r="BQ19" i="1"/>
  <c r="BR19" i="1"/>
  <c r="BQ18" i="1"/>
  <c r="BR18" i="1"/>
  <c r="BQ17" i="1"/>
  <c r="BQ16" i="1"/>
  <c r="BR16" i="1"/>
  <c r="BQ15" i="1"/>
  <c r="BR15" i="1"/>
  <c r="BQ14" i="1"/>
  <c r="BR14" i="1"/>
  <c r="BQ13" i="1"/>
  <c r="BR12" i="1"/>
  <c r="BQ12" i="1"/>
  <c r="BR17" i="1"/>
  <c r="BR13" i="1"/>
  <c r="H18" i="6" l="1"/>
  <c r="H19" i="6"/>
  <c r="G19" i="6"/>
  <c r="G18" i="6"/>
  <c r="BJ24" i="1"/>
  <c r="I26" i="6" s="1"/>
  <c r="L26" i="6" s="1"/>
  <c r="L25" i="6" s="1"/>
  <c r="L24" i="6" s="1"/>
  <c r="L23" i="6" s="1"/>
  <c r="H17" i="6" l="1"/>
  <c r="H16" i="6" s="1"/>
  <c r="H15" i="6" s="1"/>
  <c r="G17" i="6"/>
  <c r="G16" i="6" s="1"/>
  <c r="G15" i="6" s="1"/>
  <c r="BD276" i="1"/>
  <c r="BD275" i="1"/>
  <c r="F177" i="6" s="1"/>
  <c r="BD265" i="1"/>
  <c r="F173" i="6" s="1"/>
  <c r="AI255" i="1" l="1"/>
  <c r="AL250" i="1"/>
  <c r="AL212" i="1"/>
  <c r="AL210" i="1"/>
  <c r="AO253" i="1"/>
  <c r="BD191" i="1"/>
  <c r="I153" i="6" s="1"/>
  <c r="BD184" i="1"/>
  <c r="BD181" i="1"/>
  <c r="BD175" i="1"/>
  <c r="BD169" i="1"/>
  <c r="BD168" i="1"/>
  <c r="I146" i="6" s="1"/>
  <c r="F165" i="6" l="1"/>
  <c r="I147" i="6"/>
  <c r="F164" i="6"/>
  <c r="BD127" i="1"/>
  <c r="BD115" i="1"/>
  <c r="BP115" i="1" s="1"/>
  <c r="BD91" i="1"/>
  <c r="BG83" i="1"/>
  <c r="I92" i="6" s="1"/>
  <c r="AC55" i="1"/>
  <c r="F69" i="6" s="1"/>
  <c r="BD65" i="1"/>
  <c r="BD64" i="1"/>
  <c r="BD62" i="1"/>
  <c r="BD61" i="1"/>
  <c r="BD60" i="1"/>
  <c r="BD59" i="1"/>
  <c r="BD58" i="1"/>
  <c r="BD57" i="1"/>
  <c r="I72" i="6" s="1"/>
  <c r="BD56" i="1"/>
  <c r="I69" i="6" s="1"/>
  <c r="BD54" i="1"/>
  <c r="I67" i="6" s="1"/>
  <c r="BD52" i="1"/>
  <c r="BD53" i="1"/>
  <c r="BD51" i="1"/>
  <c r="BD50" i="1"/>
  <c r="BD49" i="1"/>
  <c r="BD48" i="1"/>
  <c r="I64" i="6" s="1"/>
  <c r="BD46" i="1"/>
  <c r="I61" i="6" s="1"/>
  <c r="BD45" i="1"/>
  <c r="I60" i="6" s="1"/>
  <c r="BD43" i="1"/>
  <c r="O52" i="6" s="1"/>
  <c r="BD29" i="1"/>
  <c r="O39" i="6" s="1"/>
  <c r="BD27" i="1"/>
  <c r="O35" i="6" s="1"/>
  <c r="F101" i="6" l="1"/>
  <c r="BP91" i="1"/>
  <c r="I77" i="6"/>
  <c r="I66" i="6"/>
  <c r="I74" i="6"/>
  <c r="BA38" i="1"/>
  <c r="L49" i="6" s="1"/>
  <c r="Z39" i="1"/>
  <c r="F49" i="6" s="1"/>
  <c r="BD12" i="1"/>
  <c r="BP12" i="1" l="1"/>
  <c r="E16" i="5"/>
  <c r="BQ200" i="1" l="1"/>
  <c r="BR200" i="1"/>
  <c r="BQ201" i="1"/>
  <c r="BR201" i="1"/>
  <c r="BQ202" i="1"/>
  <c r="BR202" i="1"/>
  <c r="BQ203" i="1"/>
  <c r="BR203" i="1"/>
  <c r="BQ204" i="1"/>
  <c r="BR204" i="1"/>
  <c r="BQ205" i="1"/>
  <c r="BR205" i="1"/>
  <c r="BQ206" i="1"/>
  <c r="BR206" i="1"/>
  <c r="BQ207" i="1"/>
  <c r="BR207" i="1"/>
  <c r="BQ208" i="1"/>
  <c r="BR208" i="1"/>
  <c r="BQ209" i="1"/>
  <c r="BR209" i="1"/>
  <c r="BQ210" i="1"/>
  <c r="BR210" i="1"/>
  <c r="BQ211" i="1"/>
  <c r="BR211" i="1"/>
  <c r="BQ212" i="1"/>
  <c r="BR212" i="1"/>
  <c r="BQ213" i="1"/>
  <c r="BR213" i="1"/>
  <c r="BQ214" i="1"/>
  <c r="BR214" i="1"/>
  <c r="BQ215" i="1"/>
  <c r="BR215" i="1"/>
  <c r="BQ216" i="1"/>
  <c r="BR216" i="1"/>
  <c r="BQ217" i="1"/>
  <c r="BR217" i="1"/>
  <c r="BQ218" i="1"/>
  <c r="BR218" i="1"/>
  <c r="BQ219" i="1"/>
  <c r="BR219" i="1"/>
  <c r="BQ220" i="1"/>
  <c r="BR220" i="1"/>
  <c r="BQ221" i="1"/>
  <c r="BR221" i="1"/>
  <c r="BQ222" i="1"/>
  <c r="BR222" i="1"/>
  <c r="BQ223" i="1"/>
  <c r="BR223" i="1"/>
  <c r="BQ224" i="1"/>
  <c r="BR224" i="1"/>
  <c r="BQ225" i="1"/>
  <c r="BR225" i="1"/>
  <c r="BQ226" i="1"/>
  <c r="BR226" i="1"/>
  <c r="BQ227" i="1"/>
  <c r="BR227" i="1"/>
  <c r="BQ228" i="1"/>
  <c r="BR228" i="1"/>
  <c r="BQ229" i="1"/>
  <c r="BR229" i="1"/>
  <c r="BQ230" i="1"/>
  <c r="BR230" i="1"/>
  <c r="BQ231" i="1"/>
  <c r="BR231" i="1"/>
  <c r="BQ232" i="1"/>
  <c r="BR232" i="1"/>
  <c r="BQ233" i="1"/>
  <c r="BR233" i="1"/>
  <c r="BQ234" i="1"/>
  <c r="BR234" i="1"/>
  <c r="BQ235" i="1"/>
  <c r="BR235" i="1"/>
  <c r="BQ236" i="1"/>
  <c r="BR236" i="1"/>
  <c r="BQ237" i="1"/>
  <c r="BR237" i="1"/>
  <c r="BQ238" i="1"/>
  <c r="BR238" i="1"/>
  <c r="BQ239" i="1"/>
  <c r="BR239" i="1"/>
  <c r="BQ240" i="1"/>
  <c r="BR240" i="1"/>
  <c r="BQ241" i="1"/>
  <c r="BR241" i="1"/>
  <c r="BQ242" i="1"/>
  <c r="BR242" i="1"/>
  <c r="BQ243" i="1"/>
  <c r="BR243" i="1"/>
  <c r="BQ244" i="1"/>
  <c r="BR244" i="1"/>
  <c r="BQ245" i="1"/>
  <c r="BR245" i="1"/>
  <c r="BQ246" i="1"/>
  <c r="BR246" i="1"/>
  <c r="BQ247" i="1"/>
  <c r="BR247" i="1"/>
  <c r="BQ248" i="1"/>
  <c r="BR248" i="1"/>
  <c r="BQ249" i="1"/>
  <c r="BR249" i="1"/>
  <c r="BQ250" i="1"/>
  <c r="BR250" i="1"/>
  <c r="BQ251" i="1"/>
  <c r="BR251" i="1"/>
  <c r="BQ252" i="1"/>
  <c r="BR252" i="1"/>
  <c r="BQ253" i="1"/>
  <c r="BR253" i="1"/>
  <c r="BQ254" i="1"/>
  <c r="BR254" i="1"/>
  <c r="BQ255" i="1"/>
  <c r="BR255" i="1"/>
  <c r="BQ256" i="1"/>
  <c r="BR256" i="1"/>
  <c r="BQ257" i="1"/>
  <c r="BR257" i="1"/>
  <c r="BQ258" i="1"/>
  <c r="BR258" i="1"/>
  <c r="BQ259" i="1"/>
  <c r="BR259" i="1"/>
  <c r="BQ260" i="1"/>
  <c r="BR260" i="1"/>
  <c r="F144" i="5" l="1"/>
  <c r="G143" i="5"/>
  <c r="G142" i="5"/>
  <c r="G144" i="5"/>
  <c r="F143" i="5"/>
  <c r="F142" i="5"/>
  <c r="F141" i="5" l="1"/>
  <c r="F140" i="5" s="1"/>
  <c r="F139" i="5" s="1"/>
  <c r="G14" i="11" s="1"/>
  <c r="G141" i="5"/>
  <c r="G140" i="5" s="1"/>
  <c r="G139" i="5" s="1"/>
  <c r="I14" i="11" s="1"/>
  <c r="J14" i="11" l="1"/>
  <c r="L14" i="11"/>
  <c r="BR301" i="1"/>
  <c r="BR302" i="1"/>
  <c r="BR303" i="1"/>
  <c r="BR304" i="1"/>
  <c r="BQ301" i="1"/>
  <c r="BQ302" i="1"/>
  <c r="BQ303" i="1"/>
  <c r="BQ304" i="1"/>
  <c r="F182" i="5" l="1"/>
  <c r="F181" i="5" s="1"/>
  <c r="F180" i="5" s="1"/>
  <c r="F179" i="5" s="1"/>
  <c r="G19" i="11" s="1"/>
  <c r="G182" i="5"/>
  <c r="G181" i="5" s="1"/>
  <c r="G180" i="5" s="1"/>
  <c r="G179" i="5" s="1"/>
  <c r="I19" i="11" s="1"/>
  <c r="J93" i="6"/>
  <c r="K93" i="6"/>
  <c r="K19" i="11" l="1"/>
  <c r="W135" i="6"/>
  <c r="W134" i="6" s="1"/>
  <c r="W133" i="6" s="1"/>
  <c r="X135" i="6"/>
  <c r="X134" i="6" s="1"/>
  <c r="X133" i="6" s="1"/>
  <c r="J19" i="11" l="1"/>
  <c r="L19" i="11"/>
  <c r="D143" i="10" l="1"/>
  <c r="F143" i="10"/>
  <c r="D155" i="10"/>
  <c r="F155" i="10"/>
  <c r="D156" i="10"/>
  <c r="F156" i="10"/>
  <c r="D163" i="10"/>
  <c r="D162" i="10" s="1"/>
  <c r="F163" i="10"/>
  <c r="F162" i="10" s="1"/>
  <c r="G143" i="6"/>
  <c r="H143" i="6"/>
  <c r="N147" i="6"/>
  <c r="G150" i="6"/>
  <c r="G157" i="6"/>
  <c r="H157" i="6"/>
  <c r="V135" i="6"/>
  <c r="V134" i="6" s="1"/>
  <c r="V133" i="6" s="1"/>
  <c r="G134" i="6"/>
  <c r="G133" i="6" s="1"/>
  <c r="H134" i="6"/>
  <c r="H133" i="6" s="1"/>
  <c r="J134" i="6"/>
  <c r="J133" i="6" s="1"/>
  <c r="K134" i="6"/>
  <c r="K133" i="6" s="1"/>
  <c r="M134" i="6"/>
  <c r="M133" i="6" s="1"/>
  <c r="N134" i="6"/>
  <c r="N133" i="6" s="1"/>
  <c r="P134" i="6"/>
  <c r="P133" i="6" s="1"/>
  <c r="Q134" i="6"/>
  <c r="Q133" i="6" s="1"/>
  <c r="M34" i="6"/>
  <c r="N34" i="6"/>
  <c r="M36" i="6"/>
  <c r="M38" i="6"/>
  <c r="N38" i="6"/>
  <c r="M40" i="6"/>
  <c r="N40" i="6"/>
  <c r="M45" i="6"/>
  <c r="N45" i="6"/>
  <c r="V53" i="6" l="1"/>
  <c r="G45" i="6"/>
  <c r="V46" i="6"/>
  <c r="V45" i="6" s="1"/>
  <c r="G34" i="6"/>
  <c r="V35" i="6"/>
  <c r="V34" i="6" s="1"/>
  <c r="H38" i="6"/>
  <c r="W39" i="6"/>
  <c r="W38" i="6" s="1"/>
  <c r="G38" i="6"/>
  <c r="V39" i="6"/>
  <c r="V38" i="6" s="1"/>
  <c r="W53" i="6"/>
  <c r="H45" i="6"/>
  <c r="W46" i="6"/>
  <c r="W45" i="6" s="1"/>
  <c r="H34" i="6"/>
  <c r="W35" i="6"/>
  <c r="W34" i="6" s="1"/>
  <c r="E53" i="9"/>
  <c r="G53" i="9"/>
  <c r="G73" i="6"/>
  <c r="G71" i="6"/>
  <c r="G63" i="6"/>
  <c r="H76" i="6"/>
  <c r="H75" i="6" s="1"/>
  <c r="G58" i="9"/>
  <c r="G155" i="10"/>
  <c r="E58" i="9"/>
  <c r="G162" i="10"/>
  <c r="G163" i="10"/>
  <c r="G155" i="6"/>
  <c r="G154" i="6" s="1"/>
  <c r="H150" i="6"/>
  <c r="H152" i="6"/>
  <c r="G152" i="6"/>
  <c r="G149" i="6" s="1"/>
  <c r="H155" i="6"/>
  <c r="H154" i="6" s="1"/>
  <c r="G76" i="6"/>
  <c r="G75" i="6" s="1"/>
  <c r="H63" i="6"/>
  <c r="G65" i="6"/>
  <c r="H71" i="6"/>
  <c r="H65" i="6"/>
  <c r="H73" i="6"/>
  <c r="H51" i="6"/>
  <c r="H50" i="6" s="1"/>
  <c r="N36" i="6"/>
  <c r="G51" i="6"/>
  <c r="G50" i="6" s="1"/>
  <c r="G70" i="6" l="1"/>
  <c r="H58" i="9"/>
  <c r="H149" i="6"/>
  <c r="H70" i="6"/>
  <c r="AR154" i="1" l="1"/>
  <c r="BP154" i="1" s="1"/>
  <c r="H210" i="6" l="1"/>
  <c r="H209" i="6" s="1"/>
  <c r="H208" i="6" s="1"/>
  <c r="G201" i="6"/>
  <c r="N199" i="6"/>
  <c r="D160" i="10"/>
  <c r="F160" i="10"/>
  <c r="D159" i="10"/>
  <c r="F159" i="10"/>
  <c r="BQ285" i="1"/>
  <c r="BQ306" i="1" s="1"/>
  <c r="BR285" i="1"/>
  <c r="BQ286" i="1"/>
  <c r="BR286" i="1"/>
  <c r="BQ287" i="1"/>
  <c r="BQ288" i="1"/>
  <c r="BR288" i="1"/>
  <c r="E55" i="9"/>
  <c r="G55" i="9"/>
  <c r="Q189" i="6"/>
  <c r="Q188" i="6" s="1"/>
  <c r="Q187" i="6" s="1"/>
  <c r="G180" i="6"/>
  <c r="G179" i="6" s="1"/>
  <c r="BQ34" i="1"/>
  <c r="BR34" i="1"/>
  <c r="BQ35" i="1"/>
  <c r="D29" i="10" s="1"/>
  <c r="BR35" i="1"/>
  <c r="F29" i="10" s="1"/>
  <c r="BP34" i="1"/>
  <c r="BQ56" i="1"/>
  <c r="D43" i="10" s="1"/>
  <c r="BR56" i="1"/>
  <c r="F43" i="10" s="1"/>
  <c r="BP56" i="1"/>
  <c r="BQ261" i="1"/>
  <c r="BR261" i="1"/>
  <c r="BQ262" i="1"/>
  <c r="BR262" i="1"/>
  <c r="BQ263" i="1"/>
  <c r="BR263" i="1"/>
  <c r="BQ264" i="1"/>
  <c r="BR264" i="1"/>
  <c r="BQ265" i="1"/>
  <c r="BR265" i="1"/>
  <c r="BQ266" i="1"/>
  <c r="BR266" i="1"/>
  <c r="BQ267" i="1"/>
  <c r="BR267" i="1"/>
  <c r="BQ268" i="1"/>
  <c r="BR268" i="1"/>
  <c r="BQ269" i="1"/>
  <c r="BR269" i="1"/>
  <c r="BQ270" i="1"/>
  <c r="BR270" i="1"/>
  <c r="BQ271" i="1"/>
  <c r="BR271" i="1"/>
  <c r="BQ272" i="1"/>
  <c r="BR272" i="1"/>
  <c r="BQ273" i="1"/>
  <c r="BR273" i="1"/>
  <c r="BQ274" i="1"/>
  <c r="BR274" i="1"/>
  <c r="BQ275" i="1"/>
  <c r="BR275" i="1"/>
  <c r="BQ276" i="1"/>
  <c r="BR276" i="1"/>
  <c r="BQ277" i="1"/>
  <c r="BR277" i="1"/>
  <c r="BQ278" i="1"/>
  <c r="BR278" i="1"/>
  <c r="BQ279" i="1"/>
  <c r="BR279" i="1"/>
  <c r="BQ280" i="1"/>
  <c r="BR280" i="1"/>
  <c r="BQ282" i="1"/>
  <c r="BR282" i="1"/>
  <c r="BQ283" i="1"/>
  <c r="BR283" i="1"/>
  <c r="BQ284" i="1"/>
  <c r="BR284" i="1"/>
  <c r="D142" i="10"/>
  <c r="F142" i="10"/>
  <c r="D128" i="10"/>
  <c r="F130" i="10"/>
  <c r="D132" i="10"/>
  <c r="F132" i="10"/>
  <c r="F133" i="10"/>
  <c r="D135" i="10"/>
  <c r="F135" i="10"/>
  <c r="D136" i="10"/>
  <c r="F136" i="10"/>
  <c r="D137" i="10"/>
  <c r="F137" i="10"/>
  <c r="D138" i="10"/>
  <c r="F138" i="10"/>
  <c r="D139" i="10"/>
  <c r="F139" i="10"/>
  <c r="D140" i="10"/>
  <c r="F140" i="10"/>
  <c r="D141" i="10"/>
  <c r="F141" i="10"/>
  <c r="D123" i="10"/>
  <c r="F124" i="10"/>
  <c r="D125" i="10"/>
  <c r="F125" i="10"/>
  <c r="F127" i="10"/>
  <c r="M147" i="6"/>
  <c r="BQ197" i="1"/>
  <c r="F137" i="5" s="1"/>
  <c r="BR197" i="1"/>
  <c r="G137" i="5" s="1"/>
  <c r="D120" i="10"/>
  <c r="F120" i="10"/>
  <c r="D113" i="10"/>
  <c r="F113" i="10"/>
  <c r="BQ192" i="1"/>
  <c r="F136" i="5" s="1"/>
  <c r="BR192" i="1"/>
  <c r="G136" i="5" s="1"/>
  <c r="F111" i="10"/>
  <c r="D110" i="10"/>
  <c r="F110" i="10"/>
  <c r="D114" i="10"/>
  <c r="F114" i="10"/>
  <c r="D115" i="10"/>
  <c r="F115" i="10"/>
  <c r="D117" i="10"/>
  <c r="F117" i="10"/>
  <c r="D116" i="10"/>
  <c r="BQ185" i="1"/>
  <c r="BR185" i="1"/>
  <c r="D109" i="10"/>
  <c r="F109" i="10"/>
  <c r="D102" i="10"/>
  <c r="F102" i="10"/>
  <c r="D103" i="10"/>
  <c r="F103" i="10"/>
  <c r="D104" i="10"/>
  <c r="F104" i="10"/>
  <c r="D105" i="10"/>
  <c r="F105" i="10"/>
  <c r="BR182" i="1"/>
  <c r="BR183" i="1"/>
  <c r="D107" i="10"/>
  <c r="BR184" i="1"/>
  <c r="F107" i="10" s="1"/>
  <c r="BR306" i="1" l="1"/>
  <c r="F157" i="5"/>
  <c r="F156" i="5" s="1"/>
  <c r="F155" i="5" s="1"/>
  <c r="F153" i="5"/>
  <c r="F149" i="5"/>
  <c r="D28" i="10"/>
  <c r="F40" i="5"/>
  <c r="F39" i="5" s="1"/>
  <c r="F150" i="10"/>
  <c r="G154" i="5"/>
  <c r="G150" i="5"/>
  <c r="G127" i="5"/>
  <c r="F128" i="5"/>
  <c r="E19" i="9" s="1"/>
  <c r="F135" i="5"/>
  <c r="F134" i="5" s="1"/>
  <c r="D150" i="10"/>
  <c r="F154" i="5"/>
  <c r="F150" i="5"/>
  <c r="F164" i="5"/>
  <c r="F163" i="5" s="1"/>
  <c r="F162" i="5" s="1"/>
  <c r="F161" i="5" s="1"/>
  <c r="G128" i="5"/>
  <c r="G19" i="9" s="1"/>
  <c r="G164" i="5"/>
  <c r="G163" i="5" s="1"/>
  <c r="G162" i="5" s="1"/>
  <c r="G161" i="5" s="1"/>
  <c r="G135" i="5"/>
  <c r="G134" i="5" s="1"/>
  <c r="G157" i="5"/>
  <c r="G156" i="5" s="1"/>
  <c r="G155" i="5" s="1"/>
  <c r="G153" i="5"/>
  <c r="G149" i="5"/>
  <c r="F28" i="10"/>
  <c r="G40" i="5"/>
  <c r="G39" i="5" s="1"/>
  <c r="D118" i="10"/>
  <c r="F119" i="10"/>
  <c r="D119" i="10"/>
  <c r="F118" i="10"/>
  <c r="S191" i="6"/>
  <c r="T190" i="6"/>
  <c r="T191" i="6"/>
  <c r="H197" i="6"/>
  <c r="H196" i="6" s="1"/>
  <c r="G142" i="10"/>
  <c r="G105" i="10"/>
  <c r="H176" i="6"/>
  <c r="H175" i="6" s="1"/>
  <c r="F106" i="10"/>
  <c r="F112" i="10"/>
  <c r="K163" i="6"/>
  <c r="K162" i="6" s="1"/>
  <c r="K161" i="6" s="1"/>
  <c r="F149" i="10"/>
  <c r="F147" i="10"/>
  <c r="F146" i="10"/>
  <c r="N198" i="6"/>
  <c r="N197" i="6" s="1"/>
  <c r="N196" i="6" s="1"/>
  <c r="K197" i="6"/>
  <c r="K196" i="6" s="1"/>
  <c r="D158" i="10"/>
  <c r="F161" i="10"/>
  <c r="M199" i="6"/>
  <c r="H201" i="6"/>
  <c r="G203" i="6"/>
  <c r="G200" i="6" s="1"/>
  <c r="D106" i="10"/>
  <c r="D112" i="10"/>
  <c r="F116" i="10"/>
  <c r="G116" i="10" s="1"/>
  <c r="M148" i="6"/>
  <c r="J163" i="6"/>
  <c r="J162" i="6" s="1"/>
  <c r="J161" i="6" s="1"/>
  <c r="G125" i="10"/>
  <c r="G139" i="10"/>
  <c r="G138" i="10"/>
  <c r="G136" i="10"/>
  <c r="G135" i="10"/>
  <c r="F148" i="10"/>
  <c r="D146" i="10"/>
  <c r="F154" i="10"/>
  <c r="F153" i="10" s="1"/>
  <c r="F158" i="10"/>
  <c r="J201" i="6"/>
  <c r="M202" i="6"/>
  <c r="M201" i="6" s="1"/>
  <c r="K203" i="6"/>
  <c r="D161" i="10"/>
  <c r="H203" i="6"/>
  <c r="H55" i="9"/>
  <c r="W166" i="6"/>
  <c r="F144" i="10"/>
  <c r="V166" i="6"/>
  <c r="D144" i="10"/>
  <c r="G141" i="10"/>
  <c r="W165" i="6"/>
  <c r="G140" i="10"/>
  <c r="G137" i="10"/>
  <c r="V165" i="6"/>
  <c r="F134" i="10"/>
  <c r="D134" i="10"/>
  <c r="D133" i="10"/>
  <c r="G133" i="10" s="1"/>
  <c r="G132" i="10"/>
  <c r="F131" i="10"/>
  <c r="D131" i="10"/>
  <c r="D130" i="10"/>
  <c r="F129" i="10"/>
  <c r="D129" i="10"/>
  <c r="F128" i="10"/>
  <c r="G128" i="10" s="1"/>
  <c r="D127" i="10"/>
  <c r="G127" i="10" s="1"/>
  <c r="F126" i="10"/>
  <c r="D126" i="10"/>
  <c r="D124" i="10"/>
  <c r="G124" i="10" s="1"/>
  <c r="F123" i="10"/>
  <c r="G123" i="10" s="1"/>
  <c r="D122" i="10"/>
  <c r="F122" i="10"/>
  <c r="N189" i="6"/>
  <c r="N188" i="6" s="1"/>
  <c r="N187" i="6" s="1"/>
  <c r="M189" i="6"/>
  <c r="M188" i="6" s="1"/>
  <c r="M187" i="6" s="1"/>
  <c r="K189" i="6"/>
  <c r="K188" i="6" s="1"/>
  <c r="K187" i="6" s="1"/>
  <c r="D154" i="10"/>
  <c r="D153" i="10" s="1"/>
  <c r="P189" i="6"/>
  <c r="P188" i="6" s="1"/>
  <c r="P187" i="6" s="1"/>
  <c r="G210" i="6"/>
  <c r="G209" i="6" s="1"/>
  <c r="G208" i="6" s="1"/>
  <c r="G113" i="10"/>
  <c r="G120" i="10"/>
  <c r="G115" i="10"/>
  <c r="G114" i="10"/>
  <c r="G110" i="10"/>
  <c r="M156" i="6"/>
  <c r="D111" i="10"/>
  <c r="G111" i="10" s="1"/>
  <c r="G117" i="10"/>
  <c r="J152" i="6"/>
  <c r="M153" i="6"/>
  <c r="M152" i="6" s="1"/>
  <c r="J150" i="6"/>
  <c r="M151" i="6"/>
  <c r="M150" i="6" s="1"/>
  <c r="G109" i="10"/>
  <c r="F108" i="10"/>
  <c r="D108" i="10"/>
  <c r="G104" i="10"/>
  <c r="G103" i="10"/>
  <c r="G102" i="10"/>
  <c r="G29" i="10"/>
  <c r="G43" i="10"/>
  <c r="F151" i="10"/>
  <c r="D151" i="10"/>
  <c r="H180" i="6"/>
  <c r="H179" i="6" s="1"/>
  <c r="D149" i="10"/>
  <c r="G176" i="6"/>
  <c r="G175" i="6" s="1"/>
  <c r="G170" i="6" s="1"/>
  <c r="D148" i="10"/>
  <c r="D147" i="10"/>
  <c r="D96" i="10"/>
  <c r="F96" i="10"/>
  <c r="D98" i="10"/>
  <c r="F98" i="10"/>
  <c r="D99" i="10"/>
  <c r="F99" i="10"/>
  <c r="D101" i="10"/>
  <c r="F101" i="10"/>
  <c r="D94" i="10"/>
  <c r="F94" i="10"/>
  <c r="F184" i="5" l="1"/>
  <c r="G17" i="11"/>
  <c r="G184" i="5"/>
  <c r="I17" i="11"/>
  <c r="H145" i="6"/>
  <c r="N146" i="6"/>
  <c r="N145" i="6" s="1"/>
  <c r="G146" i="10"/>
  <c r="G28" i="10"/>
  <c r="E13" i="9"/>
  <c r="G148" i="5"/>
  <c r="G147" i="5" s="1"/>
  <c r="G152" i="5"/>
  <c r="G151" i="5" s="1"/>
  <c r="F148" i="5"/>
  <c r="F147" i="5" s="1"/>
  <c r="G13" i="9"/>
  <c r="F152" i="5"/>
  <c r="F151" i="5" s="1"/>
  <c r="F126" i="5"/>
  <c r="F125" i="5" s="1"/>
  <c r="F120" i="5" s="1"/>
  <c r="F119" i="5" s="1"/>
  <c r="G13" i="11" s="1"/>
  <c r="H170" i="6"/>
  <c r="G126" i="5"/>
  <c r="G125" i="5" s="1"/>
  <c r="G120" i="5" s="1"/>
  <c r="G119" i="5" s="1"/>
  <c r="I13" i="11" s="1"/>
  <c r="M149" i="6"/>
  <c r="J149" i="6"/>
  <c r="J189" i="6"/>
  <c r="J188" i="6" s="1"/>
  <c r="J187" i="6" s="1"/>
  <c r="S190" i="6"/>
  <c r="S189" i="6" s="1"/>
  <c r="S188" i="6" s="1"/>
  <c r="S187" i="6" s="1"/>
  <c r="V164" i="6"/>
  <c r="V163" i="6" s="1"/>
  <c r="V162" i="6" s="1"/>
  <c r="V161" i="6" s="1"/>
  <c r="D95" i="10"/>
  <c r="G148" i="10"/>
  <c r="G147" i="10"/>
  <c r="F95" i="10"/>
  <c r="F145" i="10"/>
  <c r="G149" i="10"/>
  <c r="H200" i="6"/>
  <c r="H195" i="6" s="1"/>
  <c r="G151" i="10"/>
  <c r="G112" i="10"/>
  <c r="J197" i="6"/>
  <c r="J196" i="6" s="1"/>
  <c r="M198" i="6"/>
  <c r="M197" i="6" s="1"/>
  <c r="M196" i="6" s="1"/>
  <c r="D157" i="10"/>
  <c r="D164" i="10" s="1"/>
  <c r="G145" i="6"/>
  <c r="F100" i="10"/>
  <c r="G197" i="6"/>
  <c r="G196" i="6" s="1"/>
  <c r="G195" i="6" s="1"/>
  <c r="N204" i="6"/>
  <c r="N203" i="6" s="1"/>
  <c r="F157" i="10"/>
  <c r="F164" i="10" s="1"/>
  <c r="G32" i="9"/>
  <c r="G59" i="9"/>
  <c r="J203" i="6"/>
  <c r="J200" i="6" s="1"/>
  <c r="M204" i="6"/>
  <c r="M203" i="6" s="1"/>
  <c r="M200" i="6" s="1"/>
  <c r="N202" i="6"/>
  <c r="N201" i="6" s="1"/>
  <c r="K201" i="6"/>
  <c r="K200" i="6" s="1"/>
  <c r="K195" i="6" s="1"/>
  <c r="K152" i="6"/>
  <c r="N153" i="6"/>
  <c r="N152" i="6" s="1"/>
  <c r="K150" i="6"/>
  <c r="N151" i="6"/>
  <c r="N150" i="6" s="1"/>
  <c r="G129" i="10"/>
  <c r="G144" i="10"/>
  <c r="G134" i="10"/>
  <c r="G131" i="10"/>
  <c r="G130" i="10"/>
  <c r="G126" i="10"/>
  <c r="E7" i="9"/>
  <c r="D121" i="10"/>
  <c r="G163" i="6"/>
  <c r="G162" i="6" s="1"/>
  <c r="G161" i="6" s="1"/>
  <c r="G122" i="10"/>
  <c r="F121" i="10"/>
  <c r="H163" i="6"/>
  <c r="H162" i="6" s="1"/>
  <c r="H161" i="6" s="1"/>
  <c r="W164" i="6"/>
  <c r="W163" i="6" s="1"/>
  <c r="W162" i="6" s="1"/>
  <c r="W161" i="6" s="1"/>
  <c r="G7" i="9"/>
  <c r="T189" i="6"/>
  <c r="T188" i="6" s="1"/>
  <c r="T187" i="6" s="1"/>
  <c r="G154" i="10"/>
  <c r="G153" i="10"/>
  <c r="N157" i="6"/>
  <c r="N156" i="6"/>
  <c r="E32" i="9"/>
  <c r="G108" i="10"/>
  <c r="H19" i="9"/>
  <c r="G101" i="10"/>
  <c r="D100" i="10"/>
  <c r="G99" i="10"/>
  <c r="G98" i="10"/>
  <c r="D97" i="10"/>
  <c r="F97" i="10"/>
  <c r="G96" i="10"/>
  <c r="K145" i="6"/>
  <c r="G94" i="10"/>
  <c r="D93" i="10"/>
  <c r="F93" i="10"/>
  <c r="D145" i="10"/>
  <c r="G12" i="9"/>
  <c r="G141" i="6"/>
  <c r="AC132" i="6"/>
  <c r="AD132" i="6"/>
  <c r="BQ144" i="1"/>
  <c r="BR144" i="1"/>
  <c r="H13" i="9" l="1"/>
  <c r="G146" i="5"/>
  <c r="I15" i="11" s="1"/>
  <c r="G95" i="10"/>
  <c r="F146" i="5"/>
  <c r="G15" i="11" s="1"/>
  <c r="G100" i="10"/>
  <c r="M195" i="6"/>
  <c r="G213" i="6" s="1"/>
  <c r="N200" i="6"/>
  <c r="N195" i="6" s="1"/>
  <c r="H213" i="6" s="1"/>
  <c r="K155" i="6"/>
  <c r="K154" i="6" s="1"/>
  <c r="N155" i="6"/>
  <c r="N154" i="6" s="1"/>
  <c r="J17" i="11"/>
  <c r="L17" i="11"/>
  <c r="E54" i="9"/>
  <c r="K149" i="6"/>
  <c r="G140" i="6"/>
  <c r="G139" i="6" s="1"/>
  <c r="G145" i="10"/>
  <c r="G54" i="9"/>
  <c r="G52" i="9" s="1"/>
  <c r="G16" i="8" s="1"/>
  <c r="N149" i="6"/>
  <c r="D92" i="10"/>
  <c r="G97" i="10"/>
  <c r="H141" i="6"/>
  <c r="H140" i="6" s="1"/>
  <c r="H139" i="6" s="1"/>
  <c r="G33" i="9"/>
  <c r="K143" i="6"/>
  <c r="N144" i="6"/>
  <c r="N143" i="6" s="1"/>
  <c r="J195" i="6"/>
  <c r="E59" i="9"/>
  <c r="E57" i="9"/>
  <c r="G57" i="9"/>
  <c r="H7" i="9"/>
  <c r="G121" i="10"/>
  <c r="G164" i="10"/>
  <c r="M157" i="6"/>
  <c r="M155" i="6" s="1"/>
  <c r="M154" i="6" s="1"/>
  <c r="J155" i="6"/>
  <c r="J154" i="6" s="1"/>
  <c r="H32" i="9"/>
  <c r="J145" i="6"/>
  <c r="M146" i="6"/>
  <c r="M145" i="6" s="1"/>
  <c r="E17" i="9"/>
  <c r="G17" i="9"/>
  <c r="J143" i="6"/>
  <c r="M144" i="6"/>
  <c r="M143" i="6" s="1"/>
  <c r="G93" i="10"/>
  <c r="F92" i="10"/>
  <c r="G46" i="9"/>
  <c r="E46" i="9"/>
  <c r="E33" i="9"/>
  <c r="E12" i="9"/>
  <c r="BQ141" i="1"/>
  <c r="BR141" i="1"/>
  <c r="N130" i="6"/>
  <c r="N129" i="6" s="1"/>
  <c r="N128" i="6" s="1"/>
  <c r="Q130" i="6"/>
  <c r="Q129" i="6" s="1"/>
  <c r="Q128" i="6" s="1"/>
  <c r="U130" i="6"/>
  <c r="U129" i="6" s="1"/>
  <c r="X130" i="6"/>
  <c r="X129" i="6" s="1"/>
  <c r="X128" i="6" s="1"/>
  <c r="BQ164" i="1"/>
  <c r="F117" i="5" s="1"/>
  <c r="F116" i="5" s="1"/>
  <c r="F115" i="5" s="1"/>
  <c r="BR164" i="1"/>
  <c r="G117" i="5" s="1"/>
  <c r="G116" i="5" s="1"/>
  <c r="G115" i="5" s="1"/>
  <c r="BQ130" i="1"/>
  <c r="BR130" i="1"/>
  <c r="BQ131" i="1"/>
  <c r="BR131" i="1"/>
  <c r="BQ132" i="1"/>
  <c r="BR132" i="1"/>
  <c r="BQ133" i="1"/>
  <c r="BR133" i="1"/>
  <c r="BQ135" i="1"/>
  <c r="BR135" i="1"/>
  <c r="BR137" i="1"/>
  <c r="BQ138" i="1"/>
  <c r="BR138" i="1"/>
  <c r="BQ139" i="1"/>
  <c r="BR139" i="1"/>
  <c r="BQ140" i="1"/>
  <c r="BR140" i="1"/>
  <c r="BR142" i="1"/>
  <c r="BQ145" i="1"/>
  <c r="BR145" i="1"/>
  <c r="BQ147" i="1"/>
  <c r="BR147" i="1"/>
  <c r="BR148" i="1"/>
  <c r="BQ149" i="1"/>
  <c r="BR149" i="1"/>
  <c r="BR150" i="1"/>
  <c r="BQ152" i="1"/>
  <c r="BR152" i="1"/>
  <c r="BR153" i="1"/>
  <c r="BR155" i="1"/>
  <c r="BR157" i="1"/>
  <c r="BQ158" i="1"/>
  <c r="BR158" i="1"/>
  <c r="BQ159" i="1"/>
  <c r="BR159" i="1"/>
  <c r="BQ160" i="1"/>
  <c r="BR160" i="1"/>
  <c r="BQ161" i="1"/>
  <c r="BR161" i="1"/>
  <c r="BQ162" i="1"/>
  <c r="BR162" i="1"/>
  <c r="BQ126" i="1"/>
  <c r="BR126" i="1"/>
  <c r="BQ128" i="1"/>
  <c r="BR128" i="1"/>
  <c r="BQ127" i="1"/>
  <c r="D80" i="10" s="1"/>
  <c r="BR127" i="1"/>
  <c r="F100" i="5"/>
  <c r="G100" i="5"/>
  <c r="E100" i="5"/>
  <c r="D73" i="10"/>
  <c r="F73" i="10"/>
  <c r="D74" i="10"/>
  <c r="F74" i="10"/>
  <c r="M116" i="6"/>
  <c r="N116" i="6"/>
  <c r="M115" i="6"/>
  <c r="N115" i="6"/>
  <c r="M114" i="6"/>
  <c r="N114" i="6"/>
  <c r="M113" i="6"/>
  <c r="M112" i="6"/>
  <c r="N112" i="6"/>
  <c r="M107" i="6"/>
  <c r="N107" i="6"/>
  <c r="M105" i="6"/>
  <c r="N105" i="6"/>
  <c r="M106" i="6"/>
  <c r="N106" i="6"/>
  <c r="E91" i="5"/>
  <c r="E90" i="5"/>
  <c r="D64" i="10"/>
  <c r="F64" i="10"/>
  <c r="M103" i="6"/>
  <c r="N103" i="6"/>
  <c r="BQ88" i="1"/>
  <c r="BR88" i="1"/>
  <c r="D63" i="10"/>
  <c r="F63" i="10"/>
  <c r="BP88" i="1"/>
  <c r="BQ84" i="1"/>
  <c r="BR84" i="1"/>
  <c r="BQ85" i="1"/>
  <c r="BR85" i="1"/>
  <c r="BQ86" i="1"/>
  <c r="BR86" i="1"/>
  <c r="BQ87" i="1"/>
  <c r="BR87" i="1"/>
  <c r="BQ76" i="1"/>
  <c r="BR76" i="1"/>
  <c r="BQ77" i="1"/>
  <c r="BR77" i="1"/>
  <c r="BQ78" i="1"/>
  <c r="BR78" i="1"/>
  <c r="BQ79" i="1"/>
  <c r="BR79" i="1"/>
  <c r="BQ80" i="1"/>
  <c r="BR80" i="1"/>
  <c r="BQ81" i="1"/>
  <c r="BR81" i="1"/>
  <c r="BQ83" i="1"/>
  <c r="D56" i="10" s="1"/>
  <c r="BR83" i="1"/>
  <c r="F56" i="10" s="1"/>
  <c r="BQ74" i="1"/>
  <c r="BR74" i="1"/>
  <c r="BQ75" i="1"/>
  <c r="BR75" i="1"/>
  <c r="BR66" i="1"/>
  <c r="BQ66" i="1"/>
  <c r="BQ67" i="1"/>
  <c r="BR67" i="1"/>
  <c r="BQ68" i="1"/>
  <c r="BR68" i="1"/>
  <c r="BQ69" i="1"/>
  <c r="BR69" i="1"/>
  <c r="BQ70" i="1"/>
  <c r="BR70" i="1"/>
  <c r="BQ71" i="1"/>
  <c r="BR71" i="1"/>
  <c r="BQ72" i="1"/>
  <c r="BR72" i="1"/>
  <c r="BQ73" i="1"/>
  <c r="D50" i="10" s="1"/>
  <c r="BR73" i="1"/>
  <c r="F50" i="10" s="1"/>
  <c r="BQ61" i="1"/>
  <c r="BR61" i="1"/>
  <c r="BQ62" i="1"/>
  <c r="BR62" i="1"/>
  <c r="BQ63" i="1"/>
  <c r="BR63" i="1"/>
  <c r="BQ64" i="1"/>
  <c r="BR64" i="1"/>
  <c r="BQ65" i="1"/>
  <c r="BR65" i="1"/>
  <c r="BQ58" i="1"/>
  <c r="BR58" i="1"/>
  <c r="BQ59" i="1"/>
  <c r="BR59" i="1"/>
  <c r="BQ60" i="1"/>
  <c r="BR60" i="1"/>
  <c r="BQ57" i="1"/>
  <c r="BR57" i="1"/>
  <c r="BQ55" i="1"/>
  <c r="F61" i="5" s="1"/>
  <c r="F60" i="5" s="1"/>
  <c r="BR55" i="1"/>
  <c r="G61" i="5" s="1"/>
  <c r="G60" i="5" s="1"/>
  <c r="BR54" i="1"/>
  <c r="G59" i="5" s="1"/>
  <c r="BQ54" i="1"/>
  <c r="F59" i="5" s="1"/>
  <c r="BQ49" i="1"/>
  <c r="BR49" i="1"/>
  <c r="BQ50" i="1"/>
  <c r="BR50" i="1"/>
  <c r="BQ51" i="1"/>
  <c r="BR51" i="1"/>
  <c r="BQ52" i="1"/>
  <c r="BR52" i="1"/>
  <c r="BQ53" i="1"/>
  <c r="BR53" i="1"/>
  <c r="BQ48" i="1"/>
  <c r="BR48" i="1"/>
  <c r="BQ47" i="1"/>
  <c r="BR47" i="1"/>
  <c r="BQ46" i="1"/>
  <c r="BR46" i="1"/>
  <c r="BQ45" i="1"/>
  <c r="BR45" i="1"/>
  <c r="G52" i="5" s="1"/>
  <c r="BQ44" i="1"/>
  <c r="BR44" i="1"/>
  <c r="BQ43" i="1"/>
  <c r="BR43" i="1"/>
  <c r="BQ37" i="1"/>
  <c r="BQ38" i="1"/>
  <c r="BR38" i="1"/>
  <c r="BQ39" i="1"/>
  <c r="BQ40" i="1"/>
  <c r="BQ41" i="1"/>
  <c r="BQ36" i="1"/>
  <c r="BR36" i="1"/>
  <c r="BQ31" i="1"/>
  <c r="BR31" i="1"/>
  <c r="BQ32" i="1"/>
  <c r="BR32" i="1"/>
  <c r="BQ33" i="1"/>
  <c r="D27" i="10" s="1"/>
  <c r="BR33" i="1"/>
  <c r="F27" i="10" s="1"/>
  <c r="BQ30" i="1"/>
  <c r="BR30" i="1"/>
  <c r="BQ29" i="1"/>
  <c r="BR29" i="1"/>
  <c r="BQ28" i="1"/>
  <c r="BR28" i="1"/>
  <c r="BQ27" i="1"/>
  <c r="BR27" i="1"/>
  <c r="BQ26" i="1"/>
  <c r="BR26" i="1"/>
  <c r="D18" i="10"/>
  <c r="F18" i="10"/>
  <c r="BQ25" i="1"/>
  <c r="BR25" i="1"/>
  <c r="D12" i="10"/>
  <c r="F12" i="10"/>
  <c r="D13" i="10"/>
  <c r="F13" i="10"/>
  <c r="D14" i="10"/>
  <c r="F14" i="10"/>
  <c r="D16" i="10"/>
  <c r="F16" i="10"/>
  <c r="D11" i="10"/>
  <c r="F11" i="10"/>
  <c r="BQ11" i="1"/>
  <c r="G11" i="6" s="1"/>
  <c r="BR11" i="1"/>
  <c r="H11" i="6" s="1"/>
  <c r="BQ8" i="1"/>
  <c r="BR8" i="1"/>
  <c r="BQ9" i="1"/>
  <c r="D6" i="10" s="1"/>
  <c r="BR9" i="1"/>
  <c r="F6" i="10" s="1"/>
  <c r="BQ10" i="1"/>
  <c r="D7" i="10" s="1"/>
  <c r="BR10" i="1"/>
  <c r="F7" i="10" s="1"/>
  <c r="M67" i="6"/>
  <c r="N67" i="6"/>
  <c r="M62" i="6"/>
  <c r="N62" i="6"/>
  <c r="M61" i="6"/>
  <c r="M101" i="6"/>
  <c r="N101" i="6"/>
  <c r="BR305" i="1" l="1"/>
  <c r="BR307" i="1" s="1"/>
  <c r="BQ305" i="1"/>
  <c r="BQ307" i="1" s="1"/>
  <c r="N83" i="6"/>
  <c r="N82" i="6" s="1"/>
  <c r="N81" i="6" s="1"/>
  <c r="T84" i="6"/>
  <c r="L15" i="11"/>
  <c r="N102" i="6"/>
  <c r="M102" i="6"/>
  <c r="F75" i="5"/>
  <c r="G89" i="5"/>
  <c r="E92" i="5"/>
  <c r="F92" i="5"/>
  <c r="F98" i="5"/>
  <c r="F89" i="5"/>
  <c r="E95" i="5"/>
  <c r="G95" i="5"/>
  <c r="G94" i="5" s="1"/>
  <c r="E102" i="5"/>
  <c r="G38" i="5"/>
  <c r="G37" i="5" s="1"/>
  <c r="E93" i="5"/>
  <c r="F93" i="5"/>
  <c r="E101" i="5"/>
  <c r="F101" i="5"/>
  <c r="F22" i="10"/>
  <c r="G29" i="5"/>
  <c r="G28" i="5" s="1"/>
  <c r="F32" i="10"/>
  <c r="G46" i="5"/>
  <c r="G87" i="5"/>
  <c r="F99" i="5"/>
  <c r="G102" i="5"/>
  <c r="D22" i="10"/>
  <c r="F29" i="5"/>
  <c r="F28" i="5" s="1"/>
  <c r="D24" i="10"/>
  <c r="F33" i="5"/>
  <c r="F32" i="5" s="1"/>
  <c r="F38" i="5"/>
  <c r="F37" i="5" s="1"/>
  <c r="D32" i="10"/>
  <c r="F46" i="5"/>
  <c r="D35" i="10"/>
  <c r="F52" i="5"/>
  <c r="D37" i="10"/>
  <c r="F54" i="5"/>
  <c r="F58" i="5"/>
  <c r="F57" i="5" s="1"/>
  <c r="F66" i="5"/>
  <c r="F65" i="5" s="1"/>
  <c r="G80" i="5"/>
  <c r="G79" i="5" s="1"/>
  <c r="G82" i="5"/>
  <c r="G81" i="5" s="1"/>
  <c r="F87" i="5"/>
  <c r="F102" i="5"/>
  <c r="H124" i="6"/>
  <c r="G108" i="5"/>
  <c r="F113" i="5"/>
  <c r="F112" i="5" s="1"/>
  <c r="F111" i="5" s="1"/>
  <c r="F110" i="5" s="1"/>
  <c r="G12" i="11" s="1"/>
  <c r="F24" i="10"/>
  <c r="G33" i="5"/>
  <c r="G32" i="5" s="1"/>
  <c r="F37" i="10"/>
  <c r="G54" i="5"/>
  <c r="G74" i="5"/>
  <c r="G123" i="6"/>
  <c r="F107" i="5"/>
  <c r="F21" i="10"/>
  <c r="G27" i="5"/>
  <c r="G26" i="5" s="1"/>
  <c r="F23" i="10"/>
  <c r="G31" i="5"/>
  <c r="G30" i="5" s="1"/>
  <c r="F25" i="10"/>
  <c r="G35" i="5"/>
  <c r="G34" i="5" s="1"/>
  <c r="F30" i="10"/>
  <c r="G42" i="5"/>
  <c r="G43" i="5"/>
  <c r="F33" i="10"/>
  <c r="G47" i="5"/>
  <c r="F36" i="10"/>
  <c r="G53" i="5"/>
  <c r="G51" i="5" s="1"/>
  <c r="F38" i="10"/>
  <c r="G56" i="5"/>
  <c r="G55" i="5" s="1"/>
  <c r="F44" i="10"/>
  <c r="G64" i="5"/>
  <c r="G63" i="5" s="1"/>
  <c r="G69" i="5"/>
  <c r="G68" i="5" s="1"/>
  <c r="G67" i="5" s="1"/>
  <c r="F80" i="5"/>
  <c r="F79" i="5" s="1"/>
  <c r="F82" i="5"/>
  <c r="F81" i="5" s="1"/>
  <c r="F67" i="10"/>
  <c r="G91" i="5"/>
  <c r="F95" i="5"/>
  <c r="F94" i="5" s="1"/>
  <c r="D81" i="10"/>
  <c r="G124" i="6"/>
  <c r="F108" i="5"/>
  <c r="G58" i="5"/>
  <c r="G57" i="5" s="1"/>
  <c r="G66" i="5"/>
  <c r="G65" i="5" s="1"/>
  <c r="E89" i="5"/>
  <c r="D66" i="10"/>
  <c r="F90" i="5"/>
  <c r="E26" i="9" s="1"/>
  <c r="G113" i="5"/>
  <c r="G112" i="5" s="1"/>
  <c r="G111" i="5" s="1"/>
  <c r="G110" i="5" s="1"/>
  <c r="I12" i="11" s="1"/>
  <c r="D21" i="10"/>
  <c r="F27" i="5"/>
  <c r="F26" i="5" s="1"/>
  <c r="D23" i="10"/>
  <c r="F31" i="5"/>
  <c r="F30" i="5" s="1"/>
  <c r="D25" i="10"/>
  <c r="F35" i="5"/>
  <c r="F34" i="5" s="1"/>
  <c r="D30" i="10"/>
  <c r="F42" i="5"/>
  <c r="F43" i="5"/>
  <c r="D33" i="10"/>
  <c r="F47" i="5"/>
  <c r="D36" i="10"/>
  <c r="F53" i="5"/>
  <c r="D38" i="10"/>
  <c r="F56" i="5"/>
  <c r="F55" i="5" s="1"/>
  <c r="D44" i="10"/>
  <c r="F64" i="5"/>
  <c r="F63" i="5" s="1"/>
  <c r="D42" i="10"/>
  <c r="F69" i="5"/>
  <c r="F68" i="5" s="1"/>
  <c r="F67" i="5" s="1"/>
  <c r="F74" i="5"/>
  <c r="G75" i="5"/>
  <c r="E87" i="5"/>
  <c r="F66" i="10"/>
  <c r="G90" i="5"/>
  <c r="G26" i="9" s="1"/>
  <c r="D67" i="10"/>
  <c r="F91" i="5"/>
  <c r="G92" i="5"/>
  <c r="G93" i="5"/>
  <c r="E98" i="5"/>
  <c r="G98" i="5"/>
  <c r="G99" i="5"/>
  <c r="G101" i="5"/>
  <c r="F79" i="10"/>
  <c r="H123" i="6"/>
  <c r="G107" i="5"/>
  <c r="F19" i="10"/>
  <c r="F17" i="10" s="1"/>
  <c r="G22" i="5"/>
  <c r="G21" i="5" s="1"/>
  <c r="G20" i="5" s="1"/>
  <c r="G19" i="5" s="1"/>
  <c r="I5" i="11" s="1"/>
  <c r="D19" i="10"/>
  <c r="D17" i="10" s="1"/>
  <c r="F22" i="5"/>
  <c r="F21" i="5" s="1"/>
  <c r="F20" i="5" s="1"/>
  <c r="F19" i="5" s="1"/>
  <c r="G5" i="11" s="1"/>
  <c r="F5" i="10"/>
  <c r="G10" i="5"/>
  <c r="G9" i="5" s="1"/>
  <c r="G8" i="5" s="1"/>
  <c r="H10" i="6"/>
  <c r="H9" i="6" s="1"/>
  <c r="H8" i="6" s="1"/>
  <c r="H7" i="6" s="1"/>
  <c r="G10" i="6"/>
  <c r="G9" i="6" s="1"/>
  <c r="G8" i="6" s="1"/>
  <c r="G7" i="6" s="1"/>
  <c r="F10" i="5"/>
  <c r="F9" i="5" s="1"/>
  <c r="F8" i="5" s="1"/>
  <c r="D79" i="10"/>
  <c r="N104" i="6"/>
  <c r="H100" i="6"/>
  <c r="G100" i="6"/>
  <c r="M104" i="6"/>
  <c r="M111" i="6"/>
  <c r="M110" i="6" s="1"/>
  <c r="G20" i="11"/>
  <c r="E52" i="9"/>
  <c r="H52" i="9" s="1"/>
  <c r="G92" i="10"/>
  <c r="G56" i="10"/>
  <c r="N69" i="6"/>
  <c r="N68" i="6" s="1"/>
  <c r="G73" i="10"/>
  <c r="F54" i="10"/>
  <c r="H54" i="9"/>
  <c r="N61" i="6"/>
  <c r="N94" i="6"/>
  <c r="H93" i="6"/>
  <c r="D8" i="10"/>
  <c r="D10" i="10"/>
  <c r="D15" i="10"/>
  <c r="D31" i="10"/>
  <c r="G18" i="9"/>
  <c r="F40" i="10"/>
  <c r="F49" i="10"/>
  <c r="F51" i="10"/>
  <c r="H91" i="6"/>
  <c r="J91" i="6"/>
  <c r="J90" i="6" s="1"/>
  <c r="J89" i="6" s="1"/>
  <c r="F55" i="10"/>
  <c r="F53" i="10"/>
  <c r="D57" i="10"/>
  <c r="F62" i="10"/>
  <c r="F61" i="10"/>
  <c r="F60" i="10"/>
  <c r="F59" i="10"/>
  <c r="D68" i="10"/>
  <c r="F70" i="10"/>
  <c r="F71" i="10"/>
  <c r="F72" i="10"/>
  <c r="F76" i="10"/>
  <c r="F77" i="10"/>
  <c r="F89" i="10"/>
  <c r="F88" i="10"/>
  <c r="F87" i="10"/>
  <c r="F85" i="10"/>
  <c r="F84" i="10"/>
  <c r="F90" i="10"/>
  <c r="G11" i="9"/>
  <c r="D91" i="10"/>
  <c r="W130" i="6"/>
  <c r="W129" i="6" s="1"/>
  <c r="W128" i="6" s="1"/>
  <c r="G56" i="9"/>
  <c r="E56" i="9"/>
  <c r="G6" i="10"/>
  <c r="F8" i="10"/>
  <c r="G11" i="10"/>
  <c r="F10" i="10"/>
  <c r="G16" i="10"/>
  <c r="F15" i="10"/>
  <c r="G14" i="10"/>
  <c r="G13" i="10"/>
  <c r="G12" i="10"/>
  <c r="G18" i="10"/>
  <c r="F26" i="10"/>
  <c r="F31" i="10"/>
  <c r="F35" i="10"/>
  <c r="D49" i="10"/>
  <c r="D48" i="10"/>
  <c r="F48" i="10"/>
  <c r="K91" i="6"/>
  <c r="K90" i="6" s="1"/>
  <c r="K89" i="6" s="1"/>
  <c r="D55" i="10"/>
  <c r="D53" i="10"/>
  <c r="F57" i="10"/>
  <c r="D61" i="10"/>
  <c r="D59" i="10"/>
  <c r="G64" i="10"/>
  <c r="F65" i="10"/>
  <c r="F68" i="10"/>
  <c r="F69" i="10"/>
  <c r="D70" i="10"/>
  <c r="D71" i="10"/>
  <c r="D76" i="10"/>
  <c r="D77" i="10"/>
  <c r="D89" i="10"/>
  <c r="D88" i="10"/>
  <c r="D87" i="10"/>
  <c r="D85" i="10"/>
  <c r="D84" i="10"/>
  <c r="D90" i="10"/>
  <c r="E11" i="9"/>
  <c r="T134" i="6"/>
  <c r="T133" i="6" s="1"/>
  <c r="AC135" i="6"/>
  <c r="AC134" i="6" s="1"/>
  <c r="AC133" i="6" s="1"/>
  <c r="F91" i="10"/>
  <c r="D51" i="10"/>
  <c r="F86" i="10"/>
  <c r="F80" i="10"/>
  <c r="G80" i="10" s="1"/>
  <c r="F81" i="10"/>
  <c r="D54" i="10"/>
  <c r="H17" i="9"/>
  <c r="E8" i="9"/>
  <c r="J141" i="6"/>
  <c r="J140" i="6" s="1"/>
  <c r="J139" i="6" s="1"/>
  <c r="M142" i="6"/>
  <c r="M141" i="6" s="1"/>
  <c r="M140" i="6" s="1"/>
  <c r="M139" i="6" s="1"/>
  <c r="K141" i="6"/>
  <c r="K140" i="6" s="1"/>
  <c r="K139" i="6" s="1"/>
  <c r="N142" i="6"/>
  <c r="N141" i="6" s="1"/>
  <c r="N140" i="6" s="1"/>
  <c r="N139" i="6" s="1"/>
  <c r="G8" i="9"/>
  <c r="G27" i="10"/>
  <c r="D26" i="10"/>
  <c r="E39" i="9"/>
  <c r="D75" i="10"/>
  <c r="G39" i="9"/>
  <c r="F75" i="10"/>
  <c r="G74" i="10"/>
  <c r="G111" i="6"/>
  <c r="G110" i="6" s="1"/>
  <c r="D72" i="10"/>
  <c r="D69" i="10"/>
  <c r="D65" i="10"/>
  <c r="E24" i="9"/>
  <c r="G24" i="9"/>
  <c r="G63" i="10"/>
  <c r="D62" i="10"/>
  <c r="D60" i="10"/>
  <c r="M130" i="6"/>
  <c r="M129" i="6" s="1"/>
  <c r="M128" i="6" s="1"/>
  <c r="D86" i="10"/>
  <c r="D83" i="10"/>
  <c r="P130" i="6"/>
  <c r="P129" i="6" s="1"/>
  <c r="P128" i="6" s="1"/>
  <c r="F83" i="10"/>
  <c r="M66" i="6"/>
  <c r="M65" i="6" s="1"/>
  <c r="F46" i="10"/>
  <c r="D46" i="10"/>
  <c r="F42" i="10"/>
  <c r="F45" i="10"/>
  <c r="D45" i="10"/>
  <c r="F41" i="10"/>
  <c r="H68" i="6"/>
  <c r="M69" i="6"/>
  <c r="M68" i="6" s="1"/>
  <c r="D41" i="10"/>
  <c r="E18" i="9"/>
  <c r="D40" i="10"/>
  <c r="F39" i="10"/>
  <c r="D39" i="10"/>
  <c r="H46" i="9"/>
  <c r="H33" i="9"/>
  <c r="H12" i="9"/>
  <c r="D5" i="10"/>
  <c r="M47" i="6"/>
  <c r="N47" i="6"/>
  <c r="V49" i="6"/>
  <c r="H43" i="6"/>
  <c r="W41" i="6"/>
  <c r="W40" i="6" s="1"/>
  <c r="V37" i="6"/>
  <c r="V36" i="6" s="1"/>
  <c r="F7" i="5" l="1"/>
  <c r="G3" i="11"/>
  <c r="G7" i="5"/>
  <c r="I3" i="11"/>
  <c r="M83" i="6"/>
  <c r="M82" i="6" s="1"/>
  <c r="M81" i="6" s="1"/>
  <c r="S84" i="6"/>
  <c r="S83" i="6" s="1"/>
  <c r="S82" i="6" s="1"/>
  <c r="S81" i="6" s="1"/>
  <c r="W48" i="6"/>
  <c r="E15" i="9"/>
  <c r="J15" i="11"/>
  <c r="G81" i="10"/>
  <c r="E37" i="9"/>
  <c r="G41" i="9"/>
  <c r="N100" i="6"/>
  <c r="D78" i="10"/>
  <c r="F73" i="5"/>
  <c r="F72" i="5" s="1"/>
  <c r="F71" i="5" s="1"/>
  <c r="G8" i="11" s="1"/>
  <c r="V48" i="6"/>
  <c r="V47" i="6" s="1"/>
  <c r="V42" i="6" s="1"/>
  <c r="G22" i="10"/>
  <c r="M100" i="6"/>
  <c r="G38" i="10"/>
  <c r="G29" i="9"/>
  <c r="G42" i="10"/>
  <c r="G71" i="10"/>
  <c r="E27" i="9"/>
  <c r="G122" i="6"/>
  <c r="G121" i="6" s="1"/>
  <c r="G120" i="6" s="1"/>
  <c r="H122" i="6"/>
  <c r="H121" i="6" s="1"/>
  <c r="H120" i="6" s="1"/>
  <c r="F4" i="10"/>
  <c r="G37" i="10"/>
  <c r="G19" i="10"/>
  <c r="E41" i="9"/>
  <c r="G27" i="9"/>
  <c r="F52" i="10"/>
  <c r="G25" i="9"/>
  <c r="G79" i="10"/>
  <c r="F62" i="5"/>
  <c r="G44" i="10"/>
  <c r="E25" i="9"/>
  <c r="G45" i="5"/>
  <c r="G44" i="5" s="1"/>
  <c r="E29" i="9"/>
  <c r="G5" i="10"/>
  <c r="E28" i="9"/>
  <c r="G106" i="5"/>
  <c r="G105" i="5" s="1"/>
  <c r="G104" i="5" s="1"/>
  <c r="I11" i="11" s="1"/>
  <c r="G23" i="10"/>
  <c r="F106" i="5"/>
  <c r="F105" i="5" s="1"/>
  <c r="F104" i="5" s="1"/>
  <c r="G11" i="11" s="1"/>
  <c r="L11" i="11" s="1"/>
  <c r="G25" i="10"/>
  <c r="G21" i="10"/>
  <c r="G32" i="10"/>
  <c r="E43" i="9"/>
  <c r="G35" i="10"/>
  <c r="F41" i="5"/>
  <c r="F36" i="5" s="1"/>
  <c r="F78" i="5"/>
  <c r="F77" i="5" s="1"/>
  <c r="G36" i="10"/>
  <c r="G24" i="10"/>
  <c r="F97" i="5"/>
  <c r="F96" i="5" s="1"/>
  <c r="G5" i="9"/>
  <c r="E5" i="9"/>
  <c r="G6" i="9"/>
  <c r="G97" i="5"/>
  <c r="G96" i="5" s="1"/>
  <c r="F25" i="5"/>
  <c r="G78" i="5"/>
  <c r="G77" i="5" s="1"/>
  <c r="I9" i="11" s="1"/>
  <c r="G86" i="5"/>
  <c r="G85" i="5" s="1"/>
  <c r="E6" i="9"/>
  <c r="E38" i="9"/>
  <c r="J13" i="11"/>
  <c r="G28" i="9"/>
  <c r="F51" i="5"/>
  <c r="F50" i="5" s="1"/>
  <c r="G50" i="5"/>
  <c r="G62" i="5"/>
  <c r="G25" i="5"/>
  <c r="G73" i="5"/>
  <c r="G72" i="5" s="1"/>
  <c r="G71" i="5" s="1"/>
  <c r="I8" i="11" s="1"/>
  <c r="F45" i="5"/>
  <c r="F44" i="5" s="1"/>
  <c r="G41" i="5"/>
  <c r="G36" i="5" s="1"/>
  <c r="F86" i="5"/>
  <c r="F85" i="5" s="1"/>
  <c r="G49" i="10"/>
  <c r="G54" i="10"/>
  <c r="G68" i="10"/>
  <c r="G59" i="10"/>
  <c r="F9" i="10"/>
  <c r="I20" i="11"/>
  <c r="C36" i="11" s="1"/>
  <c r="K20" i="11"/>
  <c r="L20" i="11" s="1"/>
  <c r="C35" i="11"/>
  <c r="H130" i="6"/>
  <c r="H129" i="6" s="1"/>
  <c r="H128" i="6" s="1"/>
  <c r="AD131" i="6"/>
  <c r="AD130" i="6" s="1"/>
  <c r="AD129" i="6" s="1"/>
  <c r="G130" i="6"/>
  <c r="G129" i="6" s="1"/>
  <c r="G128" i="6" s="1"/>
  <c r="AC131" i="6"/>
  <c r="AC130" i="6" s="1"/>
  <c r="AC129" i="6" s="1"/>
  <c r="AC128" i="6" s="1"/>
  <c r="H111" i="6"/>
  <c r="H110" i="6" s="1"/>
  <c r="N113" i="6"/>
  <c r="N111" i="6" s="1"/>
  <c r="N110" i="6" s="1"/>
  <c r="H108" i="6"/>
  <c r="H99" i="6" s="1"/>
  <c r="N109" i="6"/>
  <c r="N108" i="6" s="1"/>
  <c r="G108" i="6"/>
  <c r="G99" i="6" s="1"/>
  <c r="G98" i="6" s="1"/>
  <c r="M109" i="6"/>
  <c r="M108" i="6" s="1"/>
  <c r="G48" i="10"/>
  <c r="G86" i="10"/>
  <c r="L13" i="11"/>
  <c r="F20" i="10"/>
  <c r="G42" i="9"/>
  <c r="G37" i="9"/>
  <c r="E16" i="8"/>
  <c r="E60" i="9"/>
  <c r="G57" i="10"/>
  <c r="G53" i="10"/>
  <c r="G17" i="10"/>
  <c r="L3" i="11"/>
  <c r="H90" i="6"/>
  <c r="H89" i="6" s="1"/>
  <c r="F82" i="10"/>
  <c r="G60" i="10"/>
  <c r="F47" i="10"/>
  <c r="G8" i="10"/>
  <c r="G15" i="10"/>
  <c r="G75" i="10"/>
  <c r="H39" i="9"/>
  <c r="G39" i="10"/>
  <c r="D52" i="10"/>
  <c r="G65" i="10"/>
  <c r="G72" i="10"/>
  <c r="G61" i="10"/>
  <c r="N77" i="6"/>
  <c r="N76" i="6" s="1"/>
  <c r="N75" i="6" s="1"/>
  <c r="M74" i="6"/>
  <c r="M73" i="6" s="1"/>
  <c r="M72" i="6"/>
  <c r="M71" i="6" s="1"/>
  <c r="M64" i="6"/>
  <c r="M63" i="6" s="1"/>
  <c r="N32" i="6"/>
  <c r="N31" i="6" s="1"/>
  <c r="G43" i="6"/>
  <c r="M43" i="6"/>
  <c r="G43" i="9"/>
  <c r="N60" i="6"/>
  <c r="N59" i="6" s="1"/>
  <c r="H59" i="6"/>
  <c r="H58" i="6" s="1"/>
  <c r="H57" i="6" s="1"/>
  <c r="G91" i="6"/>
  <c r="M92" i="6"/>
  <c r="M91" i="6" s="1"/>
  <c r="M77" i="6"/>
  <c r="M76" i="6" s="1"/>
  <c r="M75" i="6" s="1"/>
  <c r="N74" i="6"/>
  <c r="N73" i="6" s="1"/>
  <c r="N72" i="6"/>
  <c r="N71" i="6" s="1"/>
  <c r="E17" i="8"/>
  <c r="G17" i="8"/>
  <c r="G18" i="8" s="1"/>
  <c r="H56" i="9"/>
  <c r="G60" i="9"/>
  <c r="G85" i="10"/>
  <c r="M32" i="6"/>
  <c r="M31" i="6" s="1"/>
  <c r="W37" i="6"/>
  <c r="W36" i="6" s="1"/>
  <c r="N43" i="6"/>
  <c r="W52" i="6"/>
  <c r="W51" i="6" s="1"/>
  <c r="W50" i="6" s="1"/>
  <c r="G47" i="6"/>
  <c r="W49" i="6"/>
  <c r="E42" i="9"/>
  <c r="D20" i="10"/>
  <c r="D47" i="10"/>
  <c r="T83" i="6"/>
  <c r="T82" i="6" s="1"/>
  <c r="T81" i="6" s="1"/>
  <c r="N66" i="6"/>
  <c r="N65" i="6" s="1"/>
  <c r="N64" i="6"/>
  <c r="N63" i="6" s="1"/>
  <c r="G93" i="6"/>
  <c r="M94" i="6"/>
  <c r="U134" i="6"/>
  <c r="U133" i="6" s="1"/>
  <c r="U128" i="6" s="1"/>
  <c r="AD135" i="6"/>
  <c r="AD134" i="6" s="1"/>
  <c r="AD133" i="6" s="1"/>
  <c r="G55" i="10"/>
  <c r="N92" i="6"/>
  <c r="N91" i="6" s="1"/>
  <c r="D9" i="10"/>
  <c r="H8" i="9"/>
  <c r="G51" i="10"/>
  <c r="F78" i="10"/>
  <c r="E31" i="9"/>
  <c r="G30" i="9"/>
  <c r="H24" i="9"/>
  <c r="J45" i="6"/>
  <c r="J42" i="6" s="1"/>
  <c r="J30" i="6" s="1"/>
  <c r="K45" i="6"/>
  <c r="K42" i="6" s="1"/>
  <c r="K30" i="6" s="1"/>
  <c r="G26" i="10"/>
  <c r="V41" i="6"/>
  <c r="V40" i="6" s="1"/>
  <c r="H40" i="6"/>
  <c r="G36" i="6"/>
  <c r="T130" i="6"/>
  <c r="T129" i="6" s="1"/>
  <c r="T128" i="6" s="1"/>
  <c r="F58" i="10"/>
  <c r="G38" i="9"/>
  <c r="G69" i="10"/>
  <c r="G23" i="9"/>
  <c r="D58" i="10"/>
  <c r="G62" i="10"/>
  <c r="E23" i="9"/>
  <c r="D82" i="10"/>
  <c r="G83" i="10"/>
  <c r="K130" i="6"/>
  <c r="K129" i="6" s="1"/>
  <c r="K128" i="6" s="1"/>
  <c r="J130" i="6"/>
  <c r="J129" i="6" s="1"/>
  <c r="J128" i="6" s="1"/>
  <c r="G46" i="10"/>
  <c r="F34" i="10"/>
  <c r="D34" i="10"/>
  <c r="G45" i="10"/>
  <c r="G44" i="9"/>
  <c r="E44" i="9"/>
  <c r="G40" i="9"/>
  <c r="G41" i="10"/>
  <c r="G68" i="6"/>
  <c r="G40" i="10"/>
  <c r="H18" i="9"/>
  <c r="G16" i="9"/>
  <c r="E16" i="9"/>
  <c r="G10" i="9"/>
  <c r="D4" i="10"/>
  <c r="J11" i="11" l="1"/>
  <c r="F49" i="5"/>
  <c r="G7" i="11" s="1"/>
  <c r="H37" i="9"/>
  <c r="W47" i="6"/>
  <c r="W42" i="6" s="1"/>
  <c r="G78" i="10"/>
  <c r="N99" i="6"/>
  <c r="N98" i="6" s="1"/>
  <c r="M99" i="6"/>
  <c r="M98" i="6" s="1"/>
  <c r="H29" i="9"/>
  <c r="G42" i="6"/>
  <c r="H38" i="9"/>
  <c r="G52" i="10"/>
  <c r="G9" i="10"/>
  <c r="W33" i="6"/>
  <c r="W32" i="6" s="1"/>
  <c r="W31" i="6" s="1"/>
  <c r="H25" i="9"/>
  <c r="H28" i="9"/>
  <c r="D36" i="11"/>
  <c r="H6" i="9"/>
  <c r="H5" i="9"/>
  <c r="J5" i="11"/>
  <c r="F84" i="5"/>
  <c r="G10" i="11" s="1"/>
  <c r="G84" i="5"/>
  <c r="I10" i="11" s="1"/>
  <c r="L9" i="11"/>
  <c r="J3" i="11"/>
  <c r="F24" i="5"/>
  <c r="G6" i="11" s="1"/>
  <c r="G49" i="5"/>
  <c r="I7" i="11" s="1"/>
  <c r="G24" i="5"/>
  <c r="I6" i="11" s="1"/>
  <c r="M51" i="6"/>
  <c r="M50" i="6" s="1"/>
  <c r="V52" i="6"/>
  <c r="V51" i="6" s="1"/>
  <c r="V50" i="6" s="1"/>
  <c r="G32" i="6"/>
  <c r="V33" i="6"/>
  <c r="V32" i="6" s="1"/>
  <c r="V31" i="6" s="1"/>
  <c r="M42" i="6"/>
  <c r="J20" i="11"/>
  <c r="G31" i="9"/>
  <c r="H31" i="9" s="1"/>
  <c r="G20" i="10"/>
  <c r="J4" i="11"/>
  <c r="H98" i="6"/>
  <c r="C37" i="11"/>
  <c r="D37" i="11" s="1"/>
  <c r="K22" i="11"/>
  <c r="C51" i="11" s="1"/>
  <c r="L4" i="11"/>
  <c r="L5" i="11"/>
  <c r="G48" i="9"/>
  <c r="E18" i="8"/>
  <c r="H18" i="8" s="1"/>
  <c r="E48" i="9"/>
  <c r="H16" i="8"/>
  <c r="H60" i="9"/>
  <c r="G47" i="10"/>
  <c r="E10" i="9"/>
  <c r="H10" i="9" s="1"/>
  <c r="N42" i="6"/>
  <c r="G4" i="9"/>
  <c r="E4" i="9"/>
  <c r="M70" i="6"/>
  <c r="G82" i="10"/>
  <c r="F152" i="10"/>
  <c r="F165" i="10" s="1"/>
  <c r="AD128" i="6"/>
  <c r="N70" i="6"/>
  <c r="G90" i="6"/>
  <c r="G89" i="6" s="1"/>
  <c r="H17" i="8"/>
  <c r="G15" i="9"/>
  <c r="H15" i="9" s="1"/>
  <c r="M60" i="6"/>
  <c r="M59" i="6" s="1"/>
  <c r="M58" i="6" s="1"/>
  <c r="G59" i="6"/>
  <c r="G58" i="6" s="1"/>
  <c r="G57" i="6" s="1"/>
  <c r="N51" i="6"/>
  <c r="N50" i="6" s="1"/>
  <c r="E34" i="9"/>
  <c r="G34" i="9"/>
  <c r="H36" i="6"/>
  <c r="G9" i="9"/>
  <c r="H32" i="6"/>
  <c r="N58" i="6"/>
  <c r="H47" i="6"/>
  <c r="H42" i="6" s="1"/>
  <c r="G14" i="9"/>
  <c r="E30" i="9"/>
  <c r="G36" i="9"/>
  <c r="G35" i="9" s="1"/>
  <c r="E36" i="9"/>
  <c r="E20" i="9"/>
  <c r="G40" i="6"/>
  <c r="G20" i="9"/>
  <c r="E14" i="9"/>
  <c r="E9" i="9"/>
  <c r="G58" i="10"/>
  <c r="H23" i="9"/>
  <c r="G47" i="9"/>
  <c r="E47" i="9"/>
  <c r="G34" i="10"/>
  <c r="H44" i="9"/>
  <c r="E40" i="9"/>
  <c r="G21" i="9"/>
  <c r="E21" i="9"/>
  <c r="H16" i="9"/>
  <c r="D152" i="10"/>
  <c r="G4" i="10"/>
  <c r="W30" i="6" l="1"/>
  <c r="F159" i="5"/>
  <c r="F186" i="5" s="1"/>
  <c r="L10" i="11"/>
  <c r="G159" i="5"/>
  <c r="G186" i="5" s="1"/>
  <c r="J9" i="11"/>
  <c r="G31" i="6"/>
  <c r="G30" i="6" s="1"/>
  <c r="M30" i="6"/>
  <c r="V30" i="6"/>
  <c r="M57" i="6"/>
  <c r="J12" i="11"/>
  <c r="L12" i="11"/>
  <c r="L7" i="11"/>
  <c r="N30" i="6"/>
  <c r="J7" i="11"/>
  <c r="G45" i="9"/>
  <c r="G6" i="8" s="1"/>
  <c r="H48" i="9"/>
  <c r="H20" i="9"/>
  <c r="H4" i="9"/>
  <c r="H40" i="9"/>
  <c r="E22" i="9"/>
  <c r="E4" i="8" s="1"/>
  <c r="G152" i="10"/>
  <c r="N57" i="6"/>
  <c r="H31" i="6"/>
  <c r="H30" i="6" s="1"/>
  <c r="G3" i="9"/>
  <c r="G3" i="8" s="1"/>
  <c r="G32" i="8" s="1"/>
  <c r="G22" i="9"/>
  <c r="G4" i="8" s="1"/>
  <c r="G33" i="8" s="1"/>
  <c r="H30" i="9"/>
  <c r="H36" i="9"/>
  <c r="H14" i="9"/>
  <c r="H9" i="9"/>
  <c r="E3" i="9"/>
  <c r="E3" i="8" s="1"/>
  <c r="H47" i="9"/>
  <c r="E45" i="9"/>
  <c r="E35" i="9"/>
  <c r="G5" i="8"/>
  <c r="H21" i="9"/>
  <c r="D165" i="10"/>
  <c r="J10" i="11" l="1"/>
  <c r="I16" i="11"/>
  <c r="I22" i="11" s="1"/>
  <c r="C50" i="11" s="1"/>
  <c r="L6" i="11"/>
  <c r="G16" i="11"/>
  <c r="G22" i="11" s="1"/>
  <c r="E6" i="8"/>
  <c r="E35" i="8" s="1"/>
  <c r="G49" i="9"/>
  <c r="G62" i="9" s="1"/>
  <c r="H22" i="9"/>
  <c r="E33" i="8"/>
  <c r="H4" i="8"/>
  <c r="H45" i="9"/>
  <c r="G34" i="8"/>
  <c r="E5" i="8"/>
  <c r="E49" i="9"/>
  <c r="H35" i="9"/>
  <c r="H3" i="8"/>
  <c r="E32" i="8"/>
  <c r="G35" i="8"/>
  <c r="G7" i="8"/>
  <c r="G165" i="10"/>
  <c r="Z73" i="1"/>
  <c r="Z67" i="1"/>
  <c r="BD69" i="1"/>
  <c r="BP145" i="1"/>
  <c r="BD249" i="1"/>
  <c r="BD245" i="1"/>
  <c r="BD210" i="1"/>
  <c r="AR156" i="1"/>
  <c r="BP156" i="1" s="1"/>
  <c r="AR143" i="1"/>
  <c r="AR132" i="1"/>
  <c r="BP132" i="1" s="1"/>
  <c r="AR129" i="1"/>
  <c r="BD82" i="1"/>
  <c r="BP35" i="1"/>
  <c r="E40" i="5" s="1"/>
  <c r="J6" i="11" l="1"/>
  <c r="C27" i="11"/>
  <c r="F84" i="6"/>
  <c r="F83" i="6" s="1"/>
  <c r="F82" i="6" s="1"/>
  <c r="F81" i="6" s="1"/>
  <c r="BP129" i="1"/>
  <c r="I131" i="6"/>
  <c r="I84" i="6"/>
  <c r="I83" i="6" s="1"/>
  <c r="I82" i="6" s="1"/>
  <c r="I81" i="6" s="1"/>
  <c r="H6" i="8"/>
  <c r="L16" i="11"/>
  <c r="C26" i="11"/>
  <c r="J16" i="11"/>
  <c r="H32" i="8"/>
  <c r="E34" i="8"/>
  <c r="H34" i="8" s="1"/>
  <c r="H33" i="8"/>
  <c r="E62" i="9"/>
  <c r="H49" i="9"/>
  <c r="E7" i="8"/>
  <c r="H5" i="8"/>
  <c r="H35" i="8"/>
  <c r="G36" i="8"/>
  <c r="A120" i="10"/>
  <c r="A119" i="10"/>
  <c r="D28" i="11" l="1"/>
  <c r="D27" i="11"/>
  <c r="C49" i="11"/>
  <c r="L22" i="11"/>
  <c r="J22" i="11"/>
  <c r="H62" i="9"/>
  <c r="H7" i="8"/>
  <c r="E36" i="8"/>
  <c r="H36" i="8" s="1"/>
  <c r="D51" i="11" l="1"/>
  <c r="D50" i="11"/>
  <c r="AO252" i="1" l="1"/>
  <c r="L166" i="6" s="1"/>
  <c r="AI254" i="1" l="1"/>
  <c r="I166" i="6" s="1"/>
  <c r="AI248" i="1" l="1"/>
  <c r="AI235" i="1"/>
  <c r="AI210" i="1"/>
  <c r="I164" i="6" s="1"/>
  <c r="I165" i="6" l="1"/>
  <c r="BP69" i="1"/>
  <c r="BD193" i="1" l="1"/>
  <c r="I156" i="6" s="1"/>
  <c r="BD198" i="1" l="1"/>
  <c r="BP198" i="1" l="1"/>
  <c r="C120" i="10" s="1"/>
  <c r="E120" i="10" s="1"/>
  <c r="I157" i="6"/>
  <c r="BP194" i="1"/>
  <c r="C110" i="10" s="1"/>
  <c r="E110" i="10" s="1"/>
  <c r="BP193" i="1"/>
  <c r="C111" i="10" s="1"/>
  <c r="E111" i="10" s="1"/>
  <c r="BP172" i="1"/>
  <c r="E137" i="5" l="1"/>
  <c r="F157" i="6"/>
  <c r="C113" i="10" l="1"/>
  <c r="E113" i="10" s="1"/>
  <c r="BP171" i="1" l="1"/>
  <c r="C97" i="10" s="1"/>
  <c r="E97" i="10" s="1"/>
  <c r="C119" i="10" l="1"/>
  <c r="E119" i="10" s="1"/>
  <c r="BP138" i="1"/>
  <c r="BD130" i="1"/>
  <c r="S131" i="6" s="1"/>
  <c r="BP130" i="1" l="1"/>
  <c r="L157" i="6"/>
  <c r="C115" i="10" l="1"/>
  <c r="E115" i="10" s="1"/>
  <c r="C114" i="10"/>
  <c r="E114" i="10" s="1"/>
  <c r="BP61" i="1"/>
  <c r="C42" i="10" l="1"/>
  <c r="E42" i="10" s="1"/>
  <c r="BP142" i="1"/>
  <c r="BP143" i="1"/>
  <c r="E113" i="5" l="1"/>
  <c r="BD79" i="1"/>
  <c r="F92" i="6" s="1"/>
  <c r="O189" i="6" l="1"/>
  <c r="O188" i="6" s="1"/>
  <c r="O187" i="6" s="1"/>
  <c r="F189" i="6"/>
  <c r="F188" i="6" s="1"/>
  <c r="F187" i="6" s="1"/>
  <c r="BP177" i="1"/>
  <c r="C101" i="10" s="1"/>
  <c r="E101" i="10" s="1"/>
  <c r="BP176" i="1"/>
  <c r="BP175" i="1"/>
  <c r="BP174" i="1"/>
  <c r="C99" i="10" s="1"/>
  <c r="E99" i="10" s="1"/>
  <c r="BP173" i="1"/>
  <c r="C98" i="10" s="1"/>
  <c r="E98" i="10" s="1"/>
  <c r="BP170" i="1"/>
  <c r="C96" i="10" s="1"/>
  <c r="E96" i="10" s="1"/>
  <c r="BP169" i="1"/>
  <c r="BP168" i="1"/>
  <c r="BP166" i="1"/>
  <c r="BP165" i="1"/>
  <c r="BP167" i="1"/>
  <c r="E124" i="5" s="1"/>
  <c r="Y130" i="6"/>
  <c r="Y129" i="6" s="1"/>
  <c r="Y128" i="6" s="1"/>
  <c r="L101" i="6"/>
  <c r="E122" i="5" l="1"/>
  <c r="E126" i="5"/>
  <c r="C100" i="10"/>
  <c r="E100" i="10" s="1"/>
  <c r="R43" i="6"/>
  <c r="R42" i="6" s="1"/>
  <c r="R30" i="6" s="1"/>
  <c r="L146" i="6"/>
  <c r="I45" i="6"/>
  <c r="I42" i="6" s="1"/>
  <c r="I30" i="6" s="1"/>
  <c r="I93" i="6"/>
  <c r="V130" i="6"/>
  <c r="V129" i="6" s="1"/>
  <c r="V128" i="6" s="1"/>
  <c r="C94" i="10"/>
  <c r="E94" i="10" s="1"/>
  <c r="C93" i="10"/>
  <c r="E93" i="10" s="1"/>
  <c r="C95" i="10"/>
  <c r="E95" i="10" s="1"/>
  <c r="F91" i="6" l="1"/>
  <c r="L94" i="6"/>
  <c r="F93" i="6"/>
  <c r="C66" i="10"/>
  <c r="E66" i="10" s="1"/>
  <c r="F90" i="6" l="1"/>
  <c r="F89" i="6" s="1"/>
  <c r="F63" i="6" l="1"/>
  <c r="F59" i="6"/>
  <c r="BD114" i="1"/>
  <c r="BP114" i="1" s="1"/>
  <c r="BD116" i="1"/>
  <c r="BP116" i="1" s="1"/>
  <c r="BD113" i="1"/>
  <c r="BP113" i="1" s="1"/>
  <c r="E99" i="5" l="1"/>
  <c r="F113" i="6"/>
  <c r="BP190" i="1" l="1"/>
  <c r="E131" i="5" s="1"/>
  <c r="I141" i="6"/>
  <c r="L105" i="6"/>
  <c r="I68" i="6"/>
  <c r="BP62" i="1"/>
  <c r="BP65" i="1"/>
  <c r="BP64" i="1"/>
  <c r="BP63" i="1"/>
  <c r="BP60" i="1"/>
  <c r="BP59" i="1"/>
  <c r="BP58" i="1"/>
  <c r="BP57" i="1"/>
  <c r="C43" i="10"/>
  <c r="E43" i="10" s="1"/>
  <c r="C29" i="10"/>
  <c r="E29" i="10" s="1"/>
  <c r="C10" i="10"/>
  <c r="E10" i="10" s="1"/>
  <c r="BP11" i="1"/>
  <c r="F11" i="6" s="1"/>
  <c r="BP10" i="1"/>
  <c r="C7" i="10" s="1"/>
  <c r="E7" i="10" s="1"/>
  <c r="BP9" i="1"/>
  <c r="C6" i="10" s="1"/>
  <c r="E6" i="10" s="1"/>
  <c r="BP8" i="1"/>
  <c r="E66" i="5" l="1"/>
  <c r="C5" i="10"/>
  <c r="E5" i="10" s="1"/>
  <c r="F10" i="6"/>
  <c r="E10" i="5"/>
  <c r="E69" i="5"/>
  <c r="C44" i="10"/>
  <c r="E44" i="10" s="1"/>
  <c r="E64" i="5"/>
  <c r="R191" i="6"/>
  <c r="C45" i="10"/>
  <c r="E45" i="10" s="1"/>
  <c r="C116" i="10"/>
  <c r="E116" i="10" s="1"/>
  <c r="C46" i="10"/>
  <c r="E46" i="10" s="1"/>
  <c r="C8" i="10"/>
  <c r="F172" i="6"/>
  <c r="F171" i="6" s="1"/>
  <c r="C4" i="10" l="1"/>
  <c r="E4" i="10" s="1"/>
  <c r="E8" i="10"/>
  <c r="F38" i="6"/>
  <c r="I189" i="6"/>
  <c r="I188" i="6" s="1"/>
  <c r="I187" i="6" s="1"/>
  <c r="E65" i="5"/>
  <c r="E68" i="5"/>
  <c r="E67" i="5" s="1"/>
  <c r="E63" i="5"/>
  <c r="L83" i="6"/>
  <c r="L82" i="6" s="1"/>
  <c r="L81" i="6" s="1"/>
  <c r="R84" i="6" l="1"/>
  <c r="R83" i="6" s="1"/>
  <c r="R82" i="6" s="1"/>
  <c r="E62" i="5"/>
  <c r="D44" i="9"/>
  <c r="F44" i="9" s="1"/>
  <c r="BP298" i="1"/>
  <c r="BP299" i="1"/>
  <c r="BP300" i="1"/>
  <c r="F203" i="6"/>
  <c r="I203" i="6" l="1"/>
  <c r="L204" i="6"/>
  <c r="L203" i="6" s="1"/>
  <c r="I197" i="6"/>
  <c r="I196" i="6" s="1"/>
  <c r="BP70" i="1" l="1"/>
  <c r="C28" i="10" l="1"/>
  <c r="E28" i="10" s="1"/>
  <c r="BP258" i="1"/>
  <c r="BP259" i="1"/>
  <c r="BP260" i="1"/>
  <c r="BP280" i="1" l="1"/>
  <c r="BP282" i="1"/>
  <c r="BP283" i="1"/>
  <c r="BP284" i="1"/>
  <c r="BP271" i="1"/>
  <c r="BP272" i="1"/>
  <c r="BP273" i="1"/>
  <c r="BP274" i="1"/>
  <c r="BP262" i="1"/>
  <c r="BP263" i="1"/>
  <c r="BP264" i="1"/>
  <c r="BP265" i="1"/>
  <c r="BP266" i="1"/>
  <c r="BP267" i="1"/>
  <c r="BP268" i="1"/>
  <c r="BP269" i="1"/>
  <c r="C88" i="10" l="1"/>
  <c r="E88" i="10" s="1"/>
  <c r="C147" i="10"/>
  <c r="E147" i="10" s="1"/>
  <c r="C89" i="10"/>
  <c r="E89" i="10" s="1"/>
  <c r="C87" i="10"/>
  <c r="E87" i="10" s="1"/>
  <c r="BD17" i="1"/>
  <c r="E17" i="5" s="1"/>
  <c r="BP42" i="1" l="1"/>
  <c r="BP257" i="1" l="1"/>
  <c r="BP75" i="1" l="1"/>
  <c r="R190" i="6" l="1"/>
  <c r="L189" i="6" l="1"/>
  <c r="L188" i="6" s="1"/>
  <c r="L187" i="6" s="1"/>
  <c r="R189" i="6" l="1"/>
  <c r="R188" i="6" s="1"/>
  <c r="R187" i="6" s="1"/>
  <c r="BP164" i="1"/>
  <c r="E117" i="5" l="1"/>
  <c r="C91" i="10"/>
  <c r="E91" i="10" s="1"/>
  <c r="O134" i="6"/>
  <c r="O133" i="6" s="1"/>
  <c r="L134" i="6"/>
  <c r="L133" i="6" s="1"/>
  <c r="S134" i="6"/>
  <c r="S133" i="6" s="1"/>
  <c r="I134" i="6"/>
  <c r="I133" i="6" s="1"/>
  <c r="F134" i="6" l="1"/>
  <c r="F133" i="6" s="1"/>
  <c r="AB135" i="6"/>
  <c r="AB134" i="6" s="1"/>
  <c r="AB133" i="6" s="1"/>
  <c r="E116" i="5"/>
  <c r="E115" i="5" s="1"/>
  <c r="I91" i="6" l="1"/>
  <c r="I90" i="6" s="1"/>
  <c r="I89" i="6" s="1"/>
  <c r="L92" i="6"/>
  <c r="F176" i="6"/>
  <c r="F175" i="6" s="1"/>
  <c r="F180" i="6"/>
  <c r="F179" i="6" s="1"/>
  <c r="L148" i="6"/>
  <c r="L116" i="6"/>
  <c r="L115" i="6"/>
  <c r="L113" i="6"/>
  <c r="L112" i="6"/>
  <c r="L107" i="6"/>
  <c r="L103" i="6"/>
  <c r="I155" i="6" l="1"/>
  <c r="I154" i="6" s="1"/>
  <c r="I145" i="6"/>
  <c r="F170" i="6"/>
  <c r="F111" i="6" l="1"/>
  <c r="F110" i="6" s="1"/>
  <c r="L114" i="6"/>
  <c r="L111" i="6" s="1"/>
  <c r="L110" i="6" s="1"/>
  <c r="E15" i="5"/>
  <c r="E14" i="5" s="1"/>
  <c r="E13" i="5" s="1"/>
  <c r="C4" i="11" s="1"/>
  <c r="C86" i="10"/>
  <c r="E86" i="10" s="1"/>
  <c r="C84" i="10"/>
  <c r="E84" i="10" s="1"/>
  <c r="C85" i="10"/>
  <c r="E85" i="10" s="1"/>
  <c r="C76" i="10"/>
  <c r="E76" i="10" s="1"/>
  <c r="BP68" i="1" l="1"/>
  <c r="BP13" i="1"/>
  <c r="BP304" i="1"/>
  <c r="BP303" i="1"/>
  <c r="BP302" i="1"/>
  <c r="BP301" i="1"/>
  <c r="BP297" i="1"/>
  <c r="BP296" i="1"/>
  <c r="BP295" i="1"/>
  <c r="BP294" i="1"/>
  <c r="BP293" i="1"/>
  <c r="E175" i="5" s="1"/>
  <c r="L199" i="6"/>
  <c r="BP291" i="1"/>
  <c r="E170" i="5" s="1"/>
  <c r="BP290" i="1"/>
  <c r="C156" i="10" s="1"/>
  <c r="E156" i="10" s="1"/>
  <c r="BP289" i="1"/>
  <c r="BP287" i="1"/>
  <c r="BP286" i="1"/>
  <c r="BP285" i="1"/>
  <c r="BP279" i="1"/>
  <c r="BP278" i="1"/>
  <c r="BP277" i="1"/>
  <c r="BP276" i="1"/>
  <c r="BP275" i="1"/>
  <c r="BP270" i="1"/>
  <c r="BP261" i="1"/>
  <c r="BP254" i="1"/>
  <c r="BP253" i="1"/>
  <c r="BP251" i="1"/>
  <c r="U166" i="6"/>
  <c r="BP249" i="1"/>
  <c r="C140" i="10" s="1"/>
  <c r="E140" i="10" s="1"/>
  <c r="BP248" i="1"/>
  <c r="C139" i="10" s="1"/>
  <c r="E139" i="10" s="1"/>
  <c r="BP247" i="1"/>
  <c r="C138" i="10" s="1"/>
  <c r="E138" i="10" s="1"/>
  <c r="BP246" i="1"/>
  <c r="C137" i="10" s="1"/>
  <c r="E137" i="10" s="1"/>
  <c r="BP245" i="1"/>
  <c r="C136" i="10" s="1"/>
  <c r="E136" i="10" s="1"/>
  <c r="BP244" i="1"/>
  <c r="BP243" i="1"/>
  <c r="BD240" i="1"/>
  <c r="O165" i="6" s="1"/>
  <c r="BP239" i="1"/>
  <c r="BP238" i="1"/>
  <c r="BP237" i="1"/>
  <c r="BP236" i="1"/>
  <c r="BP235" i="1"/>
  <c r="BP234" i="1"/>
  <c r="BP233" i="1"/>
  <c r="BP232" i="1"/>
  <c r="BP231" i="1"/>
  <c r="BP230" i="1"/>
  <c r="BP229" i="1"/>
  <c r="BP228" i="1"/>
  <c r="BP227" i="1"/>
  <c r="BP226" i="1"/>
  <c r="BP225" i="1"/>
  <c r="BP224" i="1"/>
  <c r="BP223" i="1"/>
  <c r="BP222" i="1"/>
  <c r="BP221" i="1"/>
  <c r="BP220" i="1"/>
  <c r="BP219" i="1"/>
  <c r="BP218" i="1"/>
  <c r="BP217" i="1"/>
  <c r="BP216" i="1"/>
  <c r="BP215" i="1"/>
  <c r="BP214" i="1"/>
  <c r="BP213" i="1"/>
  <c r="C125" i="10" s="1"/>
  <c r="E125" i="10" s="1"/>
  <c r="BP212" i="1"/>
  <c r="BP211" i="1"/>
  <c r="BP210" i="1"/>
  <c r="BP209" i="1"/>
  <c r="BP208" i="1"/>
  <c r="BP207" i="1"/>
  <c r="BP206" i="1"/>
  <c r="BP204" i="1"/>
  <c r="BP203" i="1"/>
  <c r="BP202" i="1"/>
  <c r="BD200" i="1"/>
  <c r="BP192" i="1"/>
  <c r="BP191" i="1"/>
  <c r="I152" i="6"/>
  <c r="I150" i="6"/>
  <c r="BP188" i="1"/>
  <c r="BP187" i="1"/>
  <c r="BP186" i="1"/>
  <c r="BP185" i="1"/>
  <c r="BP184" i="1"/>
  <c r="C107" i="10" s="1"/>
  <c r="E107" i="10" s="1"/>
  <c r="BP183" i="1"/>
  <c r="BP182" i="1"/>
  <c r="BP181" i="1"/>
  <c r="C105" i="10" s="1"/>
  <c r="E105" i="10" s="1"/>
  <c r="BP180" i="1"/>
  <c r="C104" i="10" s="1"/>
  <c r="E104" i="10" s="1"/>
  <c r="BP179" i="1"/>
  <c r="C103" i="10" s="1"/>
  <c r="E103" i="10" s="1"/>
  <c r="BP178" i="1"/>
  <c r="L147" i="6"/>
  <c r="I143" i="6"/>
  <c r="I140" i="6" s="1"/>
  <c r="AB131" i="6"/>
  <c r="BP128" i="1"/>
  <c r="BP127" i="1"/>
  <c r="C79" i="10"/>
  <c r="E79" i="10" s="1"/>
  <c r="C77" i="10"/>
  <c r="E77" i="10" s="1"/>
  <c r="C74" i="10"/>
  <c r="E74" i="10" s="1"/>
  <c r="C73" i="10"/>
  <c r="E73" i="10" s="1"/>
  <c r="C71" i="10"/>
  <c r="E71" i="10" s="1"/>
  <c r="L106" i="6"/>
  <c r="D26" i="9"/>
  <c r="F26" i="9" s="1"/>
  <c r="L102" i="6"/>
  <c r="C63" i="10"/>
  <c r="E63" i="10" s="1"/>
  <c r="BP87" i="1"/>
  <c r="BP86" i="1"/>
  <c r="BP85" i="1"/>
  <c r="BP81" i="1"/>
  <c r="BP82" i="1"/>
  <c r="BP80" i="1"/>
  <c r="BP79" i="1"/>
  <c r="BP78" i="1"/>
  <c r="BP77" i="1"/>
  <c r="BP76" i="1"/>
  <c r="BP74" i="1"/>
  <c r="E75" i="5" s="1"/>
  <c r="BP73" i="1"/>
  <c r="C50" i="10" s="1"/>
  <c r="E50" i="10" s="1"/>
  <c r="BP71" i="1"/>
  <c r="BP67" i="1"/>
  <c r="I73" i="6"/>
  <c r="I71" i="6"/>
  <c r="BP55" i="1"/>
  <c r="E61" i="5" s="1"/>
  <c r="L69" i="6"/>
  <c r="BP54" i="1"/>
  <c r="BP53" i="1"/>
  <c r="BP52" i="1"/>
  <c r="BP51" i="1"/>
  <c r="BP50" i="1"/>
  <c r="BP49" i="1"/>
  <c r="BP48" i="1"/>
  <c r="L64" i="6"/>
  <c r="BP47" i="1"/>
  <c r="L61" i="6"/>
  <c r="BP45" i="1"/>
  <c r="E52" i="5" s="1"/>
  <c r="L60" i="6"/>
  <c r="BP44" i="1"/>
  <c r="E47" i="5" s="1"/>
  <c r="BP43" i="1"/>
  <c r="BP41" i="1"/>
  <c r="BP40" i="1"/>
  <c r="BP39" i="1"/>
  <c r="BP38" i="1"/>
  <c r="BP37" i="1"/>
  <c r="U49" i="6"/>
  <c r="BP36" i="1"/>
  <c r="O47" i="6"/>
  <c r="L47" i="6"/>
  <c r="L45" i="6"/>
  <c r="BP33" i="1"/>
  <c r="C27" i="10" s="1"/>
  <c r="E27" i="10" s="1"/>
  <c r="BP32" i="1"/>
  <c r="BP30" i="1"/>
  <c r="E35" i="5" s="1"/>
  <c r="BP29" i="1"/>
  <c r="E33" i="5" s="1"/>
  <c r="BP28" i="1"/>
  <c r="E31" i="5" s="1"/>
  <c r="BP27" i="1"/>
  <c r="BP26" i="1"/>
  <c r="E27" i="5" s="1"/>
  <c r="O32" i="6"/>
  <c r="L32" i="6"/>
  <c r="BP25" i="1"/>
  <c r="C19" i="10" s="1"/>
  <c r="E19" i="10" s="1"/>
  <c r="BP24" i="1"/>
  <c r="F25" i="6"/>
  <c r="F24" i="6" s="1"/>
  <c r="BP23" i="1"/>
  <c r="C16" i="10" s="1"/>
  <c r="E16" i="10" s="1"/>
  <c r="BP22" i="1"/>
  <c r="BP21" i="1"/>
  <c r="BP20" i="1"/>
  <c r="BP19" i="1"/>
  <c r="BP18" i="1"/>
  <c r="BP17" i="1"/>
  <c r="C14" i="10"/>
  <c r="E14" i="10" s="1"/>
  <c r="C13" i="10"/>
  <c r="E13" i="10" s="1"/>
  <c r="BP14" i="1"/>
  <c r="F18" i="6" l="1"/>
  <c r="E29" i="5"/>
  <c r="E28" i="5" s="1"/>
  <c r="E43" i="5"/>
  <c r="E128" i="5"/>
  <c r="E177" i="5"/>
  <c r="E182" i="5"/>
  <c r="C37" i="10"/>
  <c r="E37" i="10" s="1"/>
  <c r="E54" i="5"/>
  <c r="E58" i="5"/>
  <c r="C80" i="10"/>
  <c r="E80" i="10" s="1"/>
  <c r="F123" i="6"/>
  <c r="E107" i="5"/>
  <c r="C117" i="10"/>
  <c r="E117" i="10" s="1"/>
  <c r="E133" i="5"/>
  <c r="BP200" i="1"/>
  <c r="E142" i="5" s="1"/>
  <c r="O164" i="6"/>
  <c r="C146" i="10"/>
  <c r="E146" i="10" s="1"/>
  <c r="E149" i="5"/>
  <c r="C18" i="10"/>
  <c r="E18" i="10" s="1"/>
  <c r="E22" i="5"/>
  <c r="C30" i="10"/>
  <c r="E30" i="10" s="1"/>
  <c r="E42" i="5"/>
  <c r="C32" i="10"/>
  <c r="E32" i="10" s="1"/>
  <c r="E46" i="5"/>
  <c r="C38" i="10"/>
  <c r="E38" i="10" s="1"/>
  <c r="E56" i="5"/>
  <c r="C40" i="10"/>
  <c r="E40" i="10" s="1"/>
  <c r="E59" i="5"/>
  <c r="C48" i="10"/>
  <c r="E48" i="10" s="1"/>
  <c r="E82" i="5"/>
  <c r="C81" i="10"/>
  <c r="E81" i="10" s="1"/>
  <c r="F124" i="6"/>
  <c r="E108" i="5"/>
  <c r="C148" i="10"/>
  <c r="E148" i="10" s="1"/>
  <c r="E150" i="5"/>
  <c r="C150" i="10"/>
  <c r="E150" i="10" s="1"/>
  <c r="E154" i="5"/>
  <c r="E164" i="5"/>
  <c r="C12" i="10"/>
  <c r="E12" i="10" s="1"/>
  <c r="F19" i="6"/>
  <c r="F17" i="6" s="1"/>
  <c r="F16" i="6" s="1"/>
  <c r="F15" i="6" s="1"/>
  <c r="E127" i="5"/>
  <c r="C118" i="10"/>
  <c r="E118" i="10" s="1"/>
  <c r="E136" i="5"/>
  <c r="E153" i="5"/>
  <c r="C151" i="10"/>
  <c r="E151" i="10" s="1"/>
  <c r="E157" i="5"/>
  <c r="C155" i="10"/>
  <c r="E155" i="10" s="1"/>
  <c r="E165" i="5"/>
  <c r="C102" i="10"/>
  <c r="E102" i="10" s="1"/>
  <c r="F108" i="6"/>
  <c r="L109" i="6"/>
  <c r="L108" i="6" s="1"/>
  <c r="L104" i="6"/>
  <c r="L100" i="6" s="1"/>
  <c r="F100" i="6"/>
  <c r="C109" i="10"/>
  <c r="E109" i="10" s="1"/>
  <c r="I201" i="6"/>
  <c r="I200" i="6" s="1"/>
  <c r="I195" i="6" s="1"/>
  <c r="F143" i="6"/>
  <c r="L144" i="6"/>
  <c r="L143" i="6" s="1"/>
  <c r="N93" i="6"/>
  <c r="N90" i="6" s="1"/>
  <c r="N89" i="6" s="1"/>
  <c r="M93" i="6"/>
  <c r="M90" i="6" s="1"/>
  <c r="M89" i="6" s="1"/>
  <c r="L66" i="6"/>
  <c r="L67" i="6"/>
  <c r="F71" i="6"/>
  <c r="L72" i="6"/>
  <c r="L71" i="6" s="1"/>
  <c r="F73" i="6"/>
  <c r="L74" i="6"/>
  <c r="L73" i="6" s="1"/>
  <c r="F45" i="6"/>
  <c r="C31" i="10"/>
  <c r="E31" i="10" s="1"/>
  <c r="C39" i="10"/>
  <c r="E39" i="10" s="1"/>
  <c r="C59" i="10"/>
  <c r="E59" i="10" s="1"/>
  <c r="C61" i="10"/>
  <c r="E61" i="10" s="1"/>
  <c r="C62" i="10"/>
  <c r="E62" i="10" s="1"/>
  <c r="C68" i="10"/>
  <c r="E68" i="10" s="1"/>
  <c r="C112" i="10"/>
  <c r="E112" i="10" s="1"/>
  <c r="C123" i="10"/>
  <c r="E123" i="10" s="1"/>
  <c r="C124" i="10"/>
  <c r="E124" i="10" s="1"/>
  <c r="C130" i="10"/>
  <c r="E130" i="10" s="1"/>
  <c r="C131" i="10"/>
  <c r="E131" i="10" s="1"/>
  <c r="C149" i="10"/>
  <c r="C161" i="10"/>
  <c r="E161" i="10" s="1"/>
  <c r="C163" i="10"/>
  <c r="C51" i="10"/>
  <c r="E51" i="10" s="1"/>
  <c r="D39" i="9"/>
  <c r="F39" i="9" s="1"/>
  <c r="C75" i="10"/>
  <c r="E75" i="10" s="1"/>
  <c r="D11" i="9"/>
  <c r="F11" i="9" s="1"/>
  <c r="C90" i="10"/>
  <c r="E90" i="10" s="1"/>
  <c r="C11" i="10"/>
  <c r="E11" i="10" s="1"/>
  <c r="C24" i="10"/>
  <c r="E24" i="10" s="1"/>
  <c r="E34" i="5"/>
  <c r="C25" i="10"/>
  <c r="E25" i="10" s="1"/>
  <c r="C15" i="10"/>
  <c r="E15" i="10" s="1"/>
  <c r="C21" i="10"/>
  <c r="E21" i="10" s="1"/>
  <c r="C22" i="10"/>
  <c r="E22" i="10" s="1"/>
  <c r="E30" i="5"/>
  <c r="C23" i="10"/>
  <c r="E23" i="10" s="1"/>
  <c r="C33" i="10"/>
  <c r="E33" i="10" s="1"/>
  <c r="C35" i="10"/>
  <c r="E35" i="10" s="1"/>
  <c r="C41" i="10"/>
  <c r="E41" i="10" s="1"/>
  <c r="C53" i="10"/>
  <c r="E53" i="10" s="1"/>
  <c r="C54" i="10"/>
  <c r="E54" i="10" s="1"/>
  <c r="C55" i="10"/>
  <c r="E55" i="10" s="1"/>
  <c r="C60" i="10"/>
  <c r="E60" i="10" s="1"/>
  <c r="C64" i="10"/>
  <c r="E64" i="10" s="1"/>
  <c r="C65" i="10"/>
  <c r="E65" i="10" s="1"/>
  <c r="D27" i="9"/>
  <c r="F27" i="9" s="1"/>
  <c r="C67" i="10"/>
  <c r="E67" i="10" s="1"/>
  <c r="C69" i="10"/>
  <c r="E69" i="10" s="1"/>
  <c r="C70" i="10"/>
  <c r="E70" i="10" s="1"/>
  <c r="C106" i="10"/>
  <c r="E106" i="10" s="1"/>
  <c r="C108" i="10"/>
  <c r="E108" i="10" s="1"/>
  <c r="C126" i="10"/>
  <c r="E126" i="10" s="1"/>
  <c r="C127" i="10"/>
  <c r="E127" i="10" s="1"/>
  <c r="C128" i="10"/>
  <c r="E128" i="10" s="1"/>
  <c r="C129" i="10"/>
  <c r="E129" i="10" s="1"/>
  <c r="C132" i="10"/>
  <c r="E132" i="10" s="1"/>
  <c r="C135" i="10"/>
  <c r="E135" i="10" s="1"/>
  <c r="C154" i="10"/>
  <c r="C158" i="10"/>
  <c r="E158" i="10" s="1"/>
  <c r="C160" i="10"/>
  <c r="E160" i="10" s="1"/>
  <c r="I163" i="6"/>
  <c r="I162" i="6" s="1"/>
  <c r="I161" i="6" s="1"/>
  <c r="L34" i="6"/>
  <c r="L36" i="6"/>
  <c r="O34" i="6"/>
  <c r="O36" i="6"/>
  <c r="L40" i="6"/>
  <c r="O40" i="6"/>
  <c r="E32" i="5"/>
  <c r="D41" i="9"/>
  <c r="F41" i="9" s="1"/>
  <c r="I70" i="6"/>
  <c r="I149" i="6"/>
  <c r="I139" i="6" s="1"/>
  <c r="O130" i="6"/>
  <c r="O129" i="6" s="1"/>
  <c r="O128" i="6" s="1"/>
  <c r="L145" i="6"/>
  <c r="F145" i="6"/>
  <c r="F65" i="6"/>
  <c r="I65" i="6"/>
  <c r="I25" i="6"/>
  <c r="I24" i="6" s="1"/>
  <c r="I23" i="6" s="1"/>
  <c r="L63" i="6"/>
  <c r="I63" i="6"/>
  <c r="L68" i="6"/>
  <c r="F68" i="6"/>
  <c r="O51" i="6"/>
  <c r="O50" i="6" s="1"/>
  <c r="U48" i="6"/>
  <c r="L43" i="6"/>
  <c r="L42" i="6" s="1"/>
  <c r="L93" i="6"/>
  <c r="F201" i="6"/>
  <c r="F200" i="6" s="1"/>
  <c r="U33" i="6"/>
  <c r="F23" i="6"/>
  <c r="E130" i="5"/>
  <c r="BP240" i="1"/>
  <c r="C133" i="10" s="1"/>
  <c r="E133" i="10" s="1"/>
  <c r="BP255" i="1"/>
  <c r="D25" i="9"/>
  <c r="F25" i="9" s="1"/>
  <c r="D29" i="9"/>
  <c r="F29" i="9" s="1"/>
  <c r="D28" i="9"/>
  <c r="F28" i="9" s="1"/>
  <c r="BP46" i="1"/>
  <c r="E53" i="5" s="1"/>
  <c r="E123" i="5"/>
  <c r="BP292" i="1"/>
  <c r="BP306" i="1" s="1"/>
  <c r="BP83" i="1"/>
  <c r="C56" i="10" s="1"/>
  <c r="E56" i="10" s="1"/>
  <c r="C57" i="10"/>
  <c r="E57" i="10" s="1"/>
  <c r="BP250" i="1"/>
  <c r="C141" i="10" s="1"/>
  <c r="E141" i="10" s="1"/>
  <c r="BP31" i="1"/>
  <c r="E38" i="5" s="1"/>
  <c r="BP252" i="1"/>
  <c r="C142" i="10" s="1"/>
  <c r="E142" i="10" s="1"/>
  <c r="BP72" i="1"/>
  <c r="BP241" i="1"/>
  <c r="C134" i="10" s="1"/>
  <c r="E134" i="10" s="1"/>
  <c r="BP256" i="1"/>
  <c r="U46" i="6"/>
  <c r="C72" i="10"/>
  <c r="E72" i="10" s="1"/>
  <c r="BP305" i="1" l="1"/>
  <c r="BP307" i="1" s="1"/>
  <c r="D6" i="9"/>
  <c r="F6" i="9" s="1"/>
  <c r="D43" i="9"/>
  <c r="F43" i="9" s="1"/>
  <c r="F122" i="6"/>
  <c r="F121" i="6" s="1"/>
  <c r="F120" i="6" s="1"/>
  <c r="C122" i="10"/>
  <c r="E122" i="10" s="1"/>
  <c r="C17" i="10"/>
  <c r="E17" i="10" s="1"/>
  <c r="D13" i="9"/>
  <c r="F13" i="9" s="1"/>
  <c r="C159" i="10"/>
  <c r="E159" i="10" s="1"/>
  <c r="E172" i="5"/>
  <c r="E144" i="5"/>
  <c r="C78" i="10"/>
  <c r="E78" i="10" s="1"/>
  <c r="E143" i="5"/>
  <c r="E80" i="5"/>
  <c r="E74" i="5"/>
  <c r="U164" i="6"/>
  <c r="F99" i="6"/>
  <c r="F98" i="6" s="1"/>
  <c r="D55" i="9"/>
  <c r="F55" i="9" s="1"/>
  <c r="O43" i="6"/>
  <c r="U44" i="6"/>
  <c r="U43" i="6" s="1"/>
  <c r="L99" i="6"/>
  <c r="L98" i="6" s="1"/>
  <c r="H183" i="6"/>
  <c r="H215" i="6" s="1"/>
  <c r="G183" i="6"/>
  <c r="G215" i="6" s="1"/>
  <c r="E9" i="5"/>
  <c r="E8" i="5" s="1"/>
  <c r="E7" i="5" s="1"/>
  <c r="C3" i="11" s="1"/>
  <c r="E163" i="5"/>
  <c r="E162" i="5" s="1"/>
  <c r="E161" i="5" s="1"/>
  <c r="C17" i="11" s="1"/>
  <c r="M17" i="11" s="1"/>
  <c r="D33" i="9"/>
  <c r="F33" i="9" s="1"/>
  <c r="D23" i="9"/>
  <c r="F23" i="9" s="1"/>
  <c r="E86" i="5"/>
  <c r="D16" i="9"/>
  <c r="F16" i="9" s="1"/>
  <c r="E57" i="5"/>
  <c r="D17" i="9"/>
  <c r="F17" i="9" s="1"/>
  <c r="C144" i="10"/>
  <c r="E144" i="10" s="1"/>
  <c r="C143" i="10"/>
  <c r="E143" i="10" s="1"/>
  <c r="D19" i="9"/>
  <c r="F19" i="9" s="1"/>
  <c r="D15" i="9"/>
  <c r="F15" i="9" s="1"/>
  <c r="C83" i="10"/>
  <c r="E83" i="10" s="1"/>
  <c r="L202" i="6"/>
  <c r="L201" i="6" s="1"/>
  <c r="L200" i="6" s="1"/>
  <c r="C153" i="10"/>
  <c r="E153" i="10" s="1"/>
  <c r="E154" i="10"/>
  <c r="C162" i="10"/>
  <c r="E162" i="10" s="1"/>
  <c r="E163" i="10"/>
  <c r="C145" i="10"/>
  <c r="E145" i="10" s="1"/>
  <c r="E149" i="10"/>
  <c r="F155" i="6"/>
  <c r="F154" i="6" s="1"/>
  <c r="L156" i="6"/>
  <c r="F141" i="6"/>
  <c r="F140" i="6" s="1"/>
  <c r="L142" i="6"/>
  <c r="L141" i="6" s="1"/>
  <c r="L140" i="6" s="1"/>
  <c r="F152" i="6"/>
  <c r="L153" i="6"/>
  <c r="L152" i="6" s="1"/>
  <c r="F150" i="6"/>
  <c r="L151" i="6"/>
  <c r="L150" i="6" s="1"/>
  <c r="F70" i="6"/>
  <c r="F130" i="6"/>
  <c r="F129" i="6" s="1"/>
  <c r="F128" i="6" s="1"/>
  <c r="U41" i="6"/>
  <c r="U40" i="6" s="1"/>
  <c r="F76" i="6"/>
  <c r="F75" i="6" s="1"/>
  <c r="U35" i="6"/>
  <c r="U34" i="6" s="1"/>
  <c r="U37" i="6"/>
  <c r="U36" i="6" s="1"/>
  <c r="U52" i="6"/>
  <c r="U53" i="6"/>
  <c r="F51" i="6"/>
  <c r="F50" i="6" s="1"/>
  <c r="F32" i="6"/>
  <c r="U32" i="6"/>
  <c r="F43" i="6"/>
  <c r="F40" i="6"/>
  <c r="E26" i="5"/>
  <c r="E25" i="5" s="1"/>
  <c r="E174" i="5"/>
  <c r="E60" i="5"/>
  <c r="C92" i="10"/>
  <c r="E92" i="10" s="1"/>
  <c r="C58" i="10"/>
  <c r="E58" i="10" s="1"/>
  <c r="C26" i="10"/>
  <c r="C52" i="10"/>
  <c r="E52" i="10" s="1"/>
  <c r="C36" i="10"/>
  <c r="C9" i="10"/>
  <c r="E9" i="10" s="1"/>
  <c r="C49" i="10"/>
  <c r="D20" i="9"/>
  <c r="F20" i="9" s="1"/>
  <c r="D24" i="9"/>
  <c r="F24" i="9" s="1"/>
  <c r="E135" i="5"/>
  <c r="E134" i="5" s="1"/>
  <c r="E94" i="5"/>
  <c r="E55" i="5"/>
  <c r="L51" i="6"/>
  <c r="L50" i="6" s="1"/>
  <c r="E45" i="5"/>
  <c r="E44" i="5" s="1"/>
  <c r="L70" i="6"/>
  <c r="E152" i="5"/>
  <c r="E151" i="5" s="1"/>
  <c r="E148" i="5"/>
  <c r="E147" i="5" s="1"/>
  <c r="E125" i="5"/>
  <c r="E132" i="5"/>
  <c r="E129" i="5" s="1"/>
  <c r="F210" i="6"/>
  <c r="F209" i="6" s="1"/>
  <c r="F208" i="6" s="1"/>
  <c r="E156" i="5"/>
  <c r="E155" i="5" s="1"/>
  <c r="E176" i="5"/>
  <c r="E41" i="5"/>
  <c r="O163" i="6"/>
  <c r="O162" i="6" s="1"/>
  <c r="O161" i="6" s="1"/>
  <c r="L65" i="6"/>
  <c r="L163" i="6"/>
  <c r="L162" i="6" s="1"/>
  <c r="L161" i="6" s="1"/>
  <c r="L130" i="6"/>
  <c r="L129" i="6" s="1"/>
  <c r="L128" i="6" s="1"/>
  <c r="I130" i="6"/>
  <c r="I129" i="6" s="1"/>
  <c r="I128" i="6" s="1"/>
  <c r="F36" i="6"/>
  <c r="U45" i="6"/>
  <c r="O45" i="6"/>
  <c r="U47" i="6"/>
  <c r="F47" i="6"/>
  <c r="F58" i="6"/>
  <c r="F9" i="6"/>
  <c r="F8" i="6" s="1"/>
  <c r="F7" i="6" s="1"/>
  <c r="F34" i="6"/>
  <c r="I76" i="6"/>
  <c r="I75" i="6" s="1"/>
  <c r="O38" i="6"/>
  <c r="O31" i="6" s="1"/>
  <c r="U39" i="6"/>
  <c r="AB132" i="6"/>
  <c r="E121" i="5"/>
  <c r="E106" i="5"/>
  <c r="E105" i="5" s="1"/>
  <c r="E104" i="5" s="1"/>
  <c r="C11" i="11" s="1"/>
  <c r="E39" i="5"/>
  <c r="E21" i="5"/>
  <c r="E20" i="5" s="1"/>
  <c r="E19" i="5" s="1"/>
  <c r="C5" i="11" s="1"/>
  <c r="M3" i="11" l="1"/>
  <c r="N3" i="11" s="1"/>
  <c r="F3" i="11"/>
  <c r="O42" i="6"/>
  <c r="O30" i="6" s="1"/>
  <c r="C157" i="10"/>
  <c r="C164" i="10" s="1"/>
  <c r="E164" i="10" s="1"/>
  <c r="E141" i="5"/>
  <c r="E140" i="5" s="1"/>
  <c r="E139" i="5" s="1"/>
  <c r="C14" i="11" s="1"/>
  <c r="C121" i="10"/>
  <c r="E121" i="10" s="1"/>
  <c r="U42" i="6"/>
  <c r="F149" i="6"/>
  <c r="F139" i="6" s="1"/>
  <c r="M5" i="11"/>
  <c r="N5" i="11" s="1"/>
  <c r="F5" i="11"/>
  <c r="D54" i="9"/>
  <c r="F54" i="9" s="1"/>
  <c r="E169" i="5"/>
  <c r="M11" i="11"/>
  <c r="N11" i="11" s="1"/>
  <c r="F11" i="11"/>
  <c r="H11" i="11"/>
  <c r="F17" i="11"/>
  <c r="H17" i="11"/>
  <c r="M4" i="11"/>
  <c r="F4" i="11"/>
  <c r="E173" i="5"/>
  <c r="E85" i="5"/>
  <c r="E73" i="5"/>
  <c r="E72" i="5" s="1"/>
  <c r="E71" i="5" s="1"/>
  <c r="C8" i="11" s="1"/>
  <c r="D37" i="9"/>
  <c r="F37" i="9" s="1"/>
  <c r="E146" i="5"/>
  <c r="C15" i="11" s="1"/>
  <c r="E120" i="5"/>
  <c r="E119" i="5" s="1"/>
  <c r="C13" i="11" s="1"/>
  <c r="D9" i="9"/>
  <c r="F9" i="9" s="1"/>
  <c r="C82" i="10"/>
  <c r="E82" i="10" s="1"/>
  <c r="C20" i="10"/>
  <c r="E20" i="10" s="1"/>
  <c r="E26" i="10"/>
  <c r="F197" i="6"/>
  <c r="F196" i="6" s="1"/>
  <c r="F195" i="6" s="1"/>
  <c r="L198" i="6"/>
  <c r="L197" i="6" s="1"/>
  <c r="L196" i="6" s="1"/>
  <c r="L195" i="6" s="1"/>
  <c r="F213" i="6" s="1"/>
  <c r="C47" i="10"/>
  <c r="E47" i="10" s="1"/>
  <c r="E49" i="10"/>
  <c r="C34" i="10"/>
  <c r="E34" i="10" s="1"/>
  <c r="E36" i="10"/>
  <c r="F163" i="6"/>
  <c r="F162" i="6" s="1"/>
  <c r="F161" i="6" s="1"/>
  <c r="U165" i="6"/>
  <c r="L91" i="6"/>
  <c r="L90" i="6" s="1"/>
  <c r="F42" i="6"/>
  <c r="F57" i="6"/>
  <c r="L77" i="6"/>
  <c r="L76" i="6" s="1"/>
  <c r="L75" i="6" s="1"/>
  <c r="I59" i="6"/>
  <c r="I58" i="6" s="1"/>
  <c r="I57" i="6" s="1"/>
  <c r="L62" i="6"/>
  <c r="L59" i="6" s="1"/>
  <c r="L58" i="6" s="1"/>
  <c r="L38" i="6"/>
  <c r="L31" i="6" s="1"/>
  <c r="L30" i="6" s="1"/>
  <c r="U38" i="6"/>
  <c r="U31" i="6" s="1"/>
  <c r="D4" i="9"/>
  <c r="F4" i="9" s="1"/>
  <c r="D57" i="9"/>
  <c r="F57" i="9" s="1"/>
  <c r="D21" i="9"/>
  <c r="F21" i="9" s="1"/>
  <c r="D14" i="9"/>
  <c r="F14" i="9" s="1"/>
  <c r="D40" i="9"/>
  <c r="F40" i="9" s="1"/>
  <c r="D59" i="9"/>
  <c r="F59" i="9" s="1"/>
  <c r="D46" i="9"/>
  <c r="F46" i="9" s="1"/>
  <c r="D12" i="9"/>
  <c r="F12" i="9" s="1"/>
  <c r="D47" i="9"/>
  <c r="F47" i="9" s="1"/>
  <c r="D42" i="9"/>
  <c r="F42" i="9" s="1"/>
  <c r="D32" i="9"/>
  <c r="F32" i="9" s="1"/>
  <c r="D34" i="9"/>
  <c r="F34" i="9" s="1"/>
  <c r="D48" i="9"/>
  <c r="F48" i="9" s="1"/>
  <c r="D18" i="9"/>
  <c r="F18" i="9" s="1"/>
  <c r="L155" i="6"/>
  <c r="L154" i="6" s="1"/>
  <c r="L149" i="6"/>
  <c r="F31" i="6"/>
  <c r="E79" i="5"/>
  <c r="R81" i="6"/>
  <c r="E81" i="5"/>
  <c r="E112" i="5"/>
  <c r="E111" i="5" s="1"/>
  <c r="E110" i="5" s="1"/>
  <c r="C12" i="11" s="1"/>
  <c r="E171" i="5"/>
  <c r="R163" i="6"/>
  <c r="R162" i="6" s="1"/>
  <c r="R161" i="6" s="1"/>
  <c r="S130" i="6"/>
  <c r="S129" i="6" s="1"/>
  <c r="S128" i="6" s="1"/>
  <c r="U51" i="6"/>
  <c r="U50" i="6" s="1"/>
  <c r="E97" i="5"/>
  <c r="E96" i="5" s="1"/>
  <c r="E157" i="10" l="1"/>
  <c r="M15" i="11"/>
  <c r="N15" i="11" s="1"/>
  <c r="E84" i="5"/>
  <c r="C10" i="11" s="1"/>
  <c r="N4" i="11"/>
  <c r="D58" i="9"/>
  <c r="F58" i="9" s="1"/>
  <c r="E181" i="5"/>
  <c r="E180" i="5" s="1"/>
  <c r="E179" i="5" s="1"/>
  <c r="C19" i="11" s="1"/>
  <c r="D5" i="9"/>
  <c r="F5" i="9" s="1"/>
  <c r="E51" i="5"/>
  <c r="E50" i="5" s="1"/>
  <c r="E49" i="5" s="1"/>
  <c r="C7" i="11" s="1"/>
  <c r="M7" i="11" s="1"/>
  <c r="N7" i="11" s="1"/>
  <c r="E78" i="5"/>
  <c r="E77" i="5" s="1"/>
  <c r="C9" i="11" s="1"/>
  <c r="H9" i="11" s="1"/>
  <c r="M8" i="11"/>
  <c r="N8" i="11" s="1"/>
  <c r="F8" i="11"/>
  <c r="H8" i="11"/>
  <c r="M10" i="11"/>
  <c r="N10" i="11" s="1"/>
  <c r="F10" i="11"/>
  <c r="H10" i="11"/>
  <c r="F9" i="11"/>
  <c r="N17" i="11"/>
  <c r="E168" i="5"/>
  <c r="E167" i="5" s="1"/>
  <c r="C18" i="11" s="1"/>
  <c r="F18" i="11" s="1"/>
  <c r="D7" i="9"/>
  <c r="F7" i="9" s="1"/>
  <c r="D36" i="9"/>
  <c r="F36" i="9" s="1"/>
  <c r="E37" i="5"/>
  <c r="E36" i="5" s="1"/>
  <c r="E24" i="5" s="1"/>
  <c r="C6" i="11" s="1"/>
  <c r="C152" i="10"/>
  <c r="E152" i="10" s="1"/>
  <c r="F30" i="6"/>
  <c r="D10" i="9"/>
  <c r="F10" i="9" s="1"/>
  <c r="D30" i="9"/>
  <c r="F30" i="9" s="1"/>
  <c r="D38" i="9"/>
  <c r="F38" i="9" s="1"/>
  <c r="D53" i="9"/>
  <c r="F53" i="9" s="1"/>
  <c r="D31" i="9"/>
  <c r="F31" i="9" s="1"/>
  <c r="D45" i="9"/>
  <c r="F45" i="9" s="1"/>
  <c r="D8" i="9"/>
  <c r="F8" i="9" s="1"/>
  <c r="L139" i="6"/>
  <c r="L89" i="6"/>
  <c r="AB130" i="6"/>
  <c r="U30" i="6"/>
  <c r="U163" i="6"/>
  <c r="L57" i="6"/>
  <c r="H7" i="11" l="1"/>
  <c r="F7" i="11"/>
  <c r="M9" i="11"/>
  <c r="M18" i="11"/>
  <c r="N18" i="11" s="1"/>
  <c r="H18" i="11"/>
  <c r="F19" i="11"/>
  <c r="M19" i="11"/>
  <c r="N19" i="11" s="1"/>
  <c r="H19" i="11"/>
  <c r="C20" i="11"/>
  <c r="H20" i="11" s="1"/>
  <c r="F20" i="11"/>
  <c r="H15" i="11"/>
  <c r="F15" i="11"/>
  <c r="E184" i="5"/>
  <c r="D56" i="9"/>
  <c r="F56" i="9" s="1"/>
  <c r="M6" i="11"/>
  <c r="F6" i="11"/>
  <c r="H6" i="11"/>
  <c r="M13" i="11"/>
  <c r="N13" i="11" s="1"/>
  <c r="F13" i="11"/>
  <c r="H13" i="11"/>
  <c r="E159" i="5"/>
  <c r="N9" i="11"/>
  <c r="M12" i="11"/>
  <c r="N12" i="11" s="1"/>
  <c r="F12" i="11"/>
  <c r="H12" i="11"/>
  <c r="C165" i="10"/>
  <c r="E165" i="10" s="1"/>
  <c r="D52" i="9"/>
  <c r="D35" i="9"/>
  <c r="F35" i="9" s="1"/>
  <c r="D3" i="9"/>
  <c r="D6" i="8"/>
  <c r="F6" i="8" s="1"/>
  <c r="D22" i="9"/>
  <c r="F22" i="9" s="1"/>
  <c r="AB129" i="6"/>
  <c r="AB128" i="6" s="1"/>
  <c r="U162" i="6"/>
  <c r="U161" i="6" s="1"/>
  <c r="M20" i="11" l="1"/>
  <c r="N20" i="11" s="1"/>
  <c r="C33" i="11"/>
  <c r="D34" i="11" s="1"/>
  <c r="C38" i="11"/>
  <c r="D33" i="11"/>
  <c r="E186" i="5"/>
  <c r="F183" i="6"/>
  <c r="F215" i="6" s="1"/>
  <c r="D17" i="8"/>
  <c r="F17" i="8" s="1"/>
  <c r="N6" i="11"/>
  <c r="M14" i="11"/>
  <c r="N14" i="11" s="1"/>
  <c r="F14" i="11"/>
  <c r="H14" i="11"/>
  <c r="C16" i="11"/>
  <c r="C22" i="11" s="1"/>
  <c r="D60" i="9"/>
  <c r="F60" i="9" s="1"/>
  <c r="F52" i="9"/>
  <c r="D4" i="8"/>
  <c r="F4" i="8" s="1"/>
  <c r="D5" i="8"/>
  <c r="F5" i="8" s="1"/>
  <c r="D16" i="8"/>
  <c r="F16" i="8" s="1"/>
  <c r="D3" i="8"/>
  <c r="F3" i="9"/>
  <c r="H3" i="9" s="1"/>
  <c r="D49" i="9"/>
  <c r="F49" i="9" s="1"/>
  <c r="D35" i="8"/>
  <c r="F35" i="8" s="1"/>
  <c r="D38" i="11" l="1"/>
  <c r="D35" i="11"/>
  <c r="M16" i="11"/>
  <c r="C29" i="11" s="1"/>
  <c r="C24" i="11"/>
  <c r="F16" i="11"/>
  <c r="H16" i="11"/>
  <c r="D32" i="8"/>
  <c r="F32" i="8" s="1"/>
  <c r="F3" i="8"/>
  <c r="D33" i="8"/>
  <c r="F33" i="8" s="1"/>
  <c r="D18" i="8"/>
  <c r="F18" i="8" s="1"/>
  <c r="D34" i="8"/>
  <c r="F34" i="8" s="1"/>
  <c r="D7" i="8"/>
  <c r="F7" i="8" s="1"/>
  <c r="D62" i="9"/>
  <c r="F62" i="9" s="1"/>
  <c r="N16" i="11" l="1"/>
  <c r="M22" i="11"/>
  <c r="C52" i="11" s="1"/>
  <c r="D29" i="11"/>
  <c r="C47" i="11"/>
  <c r="F22" i="11"/>
  <c r="H22" i="11"/>
  <c r="D24" i="11"/>
  <c r="D25" i="11"/>
  <c r="D26" i="11"/>
  <c r="D36" i="8"/>
  <c r="F36" i="8" s="1"/>
  <c r="N22" i="11" l="1"/>
  <c r="D48" i="11"/>
  <c r="D47" i="11"/>
  <c r="D49" i="11"/>
  <c r="D52" i="11"/>
</calcChain>
</file>

<file path=xl/sharedStrings.xml><?xml version="1.0" encoding="utf-8"?>
<sst xmlns="http://schemas.openxmlformats.org/spreadsheetml/2006/main" count="6037" uniqueCount="1697">
  <si>
    <t xml:space="preserve">CODIGO:  </t>
  </si>
  <si>
    <t xml:space="preserve">VERSIÓN: </t>
  </si>
  <si>
    <t xml:space="preserve">FECHA: </t>
  </si>
  <si>
    <t>PÁGINA:</t>
  </si>
  <si>
    <t>UNIDAD EJECUTORA</t>
  </si>
  <si>
    <t>LÍNEA ESTRATÉGICA</t>
  </si>
  <si>
    <t>SECTOR</t>
  </si>
  <si>
    <t>PROGRAMA</t>
  </si>
  <si>
    <t>INDICADOR DE RESULTADO Y/O BIENESTAR</t>
  </si>
  <si>
    <t>PRODUCTO</t>
  </si>
  <si>
    <t>INDICADOR PRODUCTO</t>
  </si>
  <si>
    <t>PROYECTO</t>
  </si>
  <si>
    <t>TOTAL RECURSOS</t>
  </si>
  <si>
    <t>RESPONSABLE</t>
  </si>
  <si>
    <t>CÓDIGO</t>
  </si>
  <si>
    <t>NOMBRE</t>
  </si>
  <si>
    <t>CÓDIGO PDD</t>
  </si>
  <si>
    <t>PRODUCTO PDD</t>
  </si>
  <si>
    <t>CÓDIGO CATÁLOGO DE PRODUCTOS MGA</t>
  </si>
  <si>
    <t xml:space="preserve">PRODUCTO CATÁLOGO MGA </t>
  </si>
  <si>
    <t>INDICADOR PDD</t>
  </si>
  <si>
    <t>CÓDIGO CATALOGO DE INDICADORES MGA</t>
  </si>
  <si>
    <t xml:space="preserve">INDICADOR CATÁLOGO MGA </t>
  </si>
  <si>
    <t>CÓDIGO BPIN</t>
  </si>
  <si>
    <t>NOMBRE DEL PROYECTO</t>
  </si>
  <si>
    <t>OBJETIVO DEL PROYECTO</t>
  </si>
  <si>
    <t xml:space="preserve">CONTRIBUCION ESPECIAL
(FONDO DE SEGURIDAD 5%) 
 </t>
  </si>
  <si>
    <t xml:space="preserve">SOBRETASA AL ACPM  
</t>
  </si>
  <si>
    <t xml:space="preserve">MONOPOLIO EDUCACIÓN Y SALUD  51% DESTINACION ESPECIFICA
 </t>
  </si>
  <si>
    <t xml:space="preserve">SGP SALÚD PUBLICA - PRESTACIÓN DE SERVICIOS
 </t>
  </si>
  <si>
    <t>SGP APORTES PATRONALES - CANCELACIÓN DE PRESTACIONES SOCIALES -EDUCACIÓN</t>
  </si>
  <si>
    <t xml:space="preserve">FONDO DE EDUCACION,  PAE, CONVENIO MEN 
</t>
  </si>
  <si>
    <t xml:space="preserve">SGP AGUA POTABLE Y SANEAMIENTO BÁSICO
</t>
  </si>
  <si>
    <t xml:space="preserve">RECURSO ORDINARIO
</t>
  </si>
  <si>
    <t xml:space="preserve">OTROS (IVA TELEFONIA MÓVIL  - REGISTRO - LEY 1816 (3% MONOPOLIO LICORES) (DEPORTES) EXTRACCION MATERIAL RIO  </t>
  </si>
  <si>
    <t>NACIÓN  - COFINANCIACIÓN
CONV ANTICONTRABANDO</t>
  </si>
  <si>
    <t xml:space="preserve">304 -SECRETARÍA ADMINISTRATIVA </t>
  </si>
  <si>
    <t xml:space="preserve">LIDERAZGO, GOBERNABILIDAD Y TRANSPARENCIA </t>
  </si>
  <si>
    <t>Gobierno territorial</t>
  </si>
  <si>
    <t>Fortalecimiento a la gestión y dirección de la administración pública territorial "Quindío con una administración al servicio de la ciudadanía "</t>
  </si>
  <si>
    <t>Índice de Gestión del Modelo Integrado de Planeación y de Gestión MIPG  de la Administración Departamental</t>
  </si>
  <si>
    <t>ND</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</si>
  <si>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</si>
  <si>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</si>
  <si>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</si>
  <si>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</si>
  <si>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202000363-0006</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</si>
  <si>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</si>
  <si>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</si>
  <si>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</si>
  <si>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</si>
  <si>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</si>
  <si>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202000363-0007</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</si>
  <si>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</si>
  <si>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</si>
  <si>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 xml:space="preserve">Proceso de modernización administrativa, incluido en  estudio de la viabilidad de creación de la Oficina de la Felicidad. </t>
  </si>
  <si>
    <t>Proceso de modernización administrativa implementada</t>
  </si>
  <si>
    <t xml:space="preserve">Metodologías aplicadas </t>
  </si>
  <si>
    <t>202000363-0041</t>
  </si>
  <si>
    <t xml:space="preserve">Implementación de un programa de modernización  de la gestión Administrativa  de la Administración Departamental del Quindío. "TÚ y YO SOMOS QUINDÍO" </t>
  </si>
  <si>
    <t>Fortalecimiento del buen gobierno para el respeto y garantía de los derechos humanos. "Quindío integrado y participativo"</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</si>
  <si>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</si>
  <si>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</si>
  <si>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</si>
  <si>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</si>
  <si>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</si>
  <si>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202000363-0005</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</si>
  <si>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</si>
  <si>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</si>
  <si>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 xml:space="preserve">305 SECRETARÍA DE PLANEACIÓN </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</si>
  <si>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</si>
  <si>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</si>
  <si>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</si>
  <si>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</si>
  <si>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</si>
  <si>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202000363-0042</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</si>
  <si>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</si>
  <si>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</si>
  <si>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Eventos de Rendición Pública de Cuentas que divulgan la gestión administrativa.</t>
  </si>
  <si>
    <t>Eventos de Rendición Públicas de Cuentas realizados</t>
  </si>
  <si>
    <t>202000363-0043</t>
  </si>
  <si>
    <t xml:space="preserve"> Implementación  de eventos de Rendición Pública de Cuentas  de divulgación de gestión  de la Administración Departamental  "TU Y YO SOMOS QUINDIO" </t>
  </si>
  <si>
    <t>Incrementar la  participación de ciudadanos en los eventos de elección popular, a través  de la realización de la  Rendición Pública de Cuentas, con el propósito de generar un espacio de interlocución entre la sociedad civil y/o organizada.</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</si>
  <si>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</si>
  <si>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</si>
  <si>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</si>
  <si>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</si>
  <si>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202000363-0044</t>
  </si>
  <si>
    <t xml:space="preserve"> Implementación   de instrumentos de planificación para  en  Ordenamiento y la Gestión Territorial Departamental del Quindío  "TU Y YO SOMOS QUINDIO" </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</si>
  <si>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</si>
  <si>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</si>
  <si>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</si>
  <si>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</si>
  <si>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</si>
  <si>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202000363-0045</t>
  </si>
  <si>
    <t xml:space="preserve">  Implementación del Observatorio Económico  de la Administración Departamental del Quindío "TU Y YO SOMOS QUINDIO"</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</si>
  <si>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</si>
  <si>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Banco de Programas y Proyectos del Departamento fortalecido</t>
  </si>
  <si>
    <t>202000363-0046</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</si>
  <si>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</si>
  <si>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</si>
  <si>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</si>
  <si>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</si>
  <si>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</si>
  <si>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</si>
  <si>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</si>
  <si>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202000363-0047</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</si>
  <si>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</si>
  <si>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</si>
  <si>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</si>
  <si>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</si>
  <si>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</si>
  <si>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</si>
  <si>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</si>
  <si>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</si>
  <si>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</si>
  <si>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</si>
  <si>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Número de Dimensiones y Políticas   de MIPG implementadas</t>
  </si>
  <si>
    <t>202000363-0008</t>
  </si>
  <si>
    <t xml:space="preserve"> Implementación  del Modelo Integrado de Planeación y de Gestión MIPG en la Administración Departamental del   Quindío</t>
  </si>
  <si>
    <t xml:space="preserve"> Aumentar en Índice de Gestión y Desempeño de la Administración Departamental considerando las dimensiones y políticas qué conforman en Modelo Integrado de Gestión y Desempeño </t>
  </si>
  <si>
    <t>307 SECRETARÍA DE HACIENDA</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</si>
  <si>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</si>
  <si>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</si>
  <si>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</si>
  <si>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</si>
  <si>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202000363-0048</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</si>
  <si>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</si>
  <si>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</si>
  <si>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</si>
  <si>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</si>
  <si>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</si>
  <si>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202000363-0049</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</si>
  <si>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</si>
  <si>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</si>
  <si>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 xml:space="preserve">308 SECRETARÍA DE AGUAS E INFRAESTRUCTURA </t>
  </si>
  <si>
    <t xml:space="preserve">INCLUSIÓN SOCIAL Y EQUIDAD </t>
  </si>
  <si>
    <t>Justicia y del derecho</t>
  </si>
  <si>
    <t>Promoción al acceso a la justicia. "Tú y yo con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</si>
  <si>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</si>
  <si>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</si>
  <si>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</si>
  <si>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</si>
  <si>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</si>
  <si>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202000363-0017</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</si>
  <si>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</si>
  <si>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</si>
  <si>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Salud y protección social</t>
  </si>
  <si>
    <t>Aseguramiento y Prestación integral de servicios de salud "Tú y yo con servicios de salud"</t>
  </si>
  <si>
    <t>Índice Departamental de Competitividad</t>
  </si>
  <si>
    <t xml:space="preserve">Infraestructura hospitalaria con procesos constructivos, mejorados, ampliados, mantenidos, y/o reforzados </t>
  </si>
  <si>
    <t>Hospitales de tercer nivel de atención adecuados</t>
  </si>
  <si>
    <t>Infraestructura hospitalaria con procesos constructivos, mejorados, ampliados, mantenidos, y/o reforzados realizados</t>
  </si>
  <si>
    <t>202000363-0018</t>
  </si>
  <si>
    <t>Mejoramiento de la infraestructura física de las instituciones de salud pública y bienestar social en el  departamento del Quindío</t>
  </si>
  <si>
    <t>Mejorar la infraestructura hospitalaria del Departamento del Quindío, con el propósito de optimización de la prestación del servicio y en acceso incluyente y equitativo a la oferta de servicios del Estado.</t>
  </si>
  <si>
    <t>Educación</t>
  </si>
  <si>
    <t>Calidad, cobertura y fortalecimiento de la educación inicial, prescolar, básica y media." Tú y yo con educación y  calidad"</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</si>
  <si>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</si>
  <si>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</si>
  <si>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</si>
  <si>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</si>
  <si>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</si>
  <si>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202000363-0050</t>
  </si>
  <si>
    <t xml:space="preserve"> Mantenimiento de  la infraestructura  Educativa en el Departamento del Quindío. </t>
  </si>
  <si>
    <t xml:space="preserve"> Mantener de la infraestructura educativa, con el propósito de garantizar  la permanencia y calidad  de la prestación  del servicio educativo en Departamento del Quindío.  </t>
  </si>
  <si>
    <t>Cultura</t>
  </si>
  <si>
    <t>Promoción y acceso efectivo a procesos culturales y artísticos. "Tú y yo somos cultura Quindiana"</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</si>
  <si>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</si>
  <si>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</si>
  <si>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</si>
  <si>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</si>
  <si>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</si>
  <si>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202000363-0051</t>
  </si>
  <si>
    <t xml:space="preserve"> Mantenimiento de la infraestructura cultural en el departamento del Quindío  </t>
  </si>
  <si>
    <t xml:space="preserve"> Realizar mantenimiento de la  infraestructura cultural, para fortalecer los espacios de los artistas y gestores culturales dedicados a la creación, promoción y divulgación de actividades en el Departamento del Quindío.</t>
  </si>
  <si>
    <t>Deporte y recreación</t>
  </si>
  <si>
    <t>Fomento a la recreación, la actividad física y el deporte para desarrollar entornos de convivencia y paz "Tú y yo en la recreación y en deporte"</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</si>
  <si>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</si>
  <si>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</si>
  <si>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</si>
  <si>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</si>
  <si>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</si>
  <si>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202000363-0052</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</si>
  <si>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</si>
  <si>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</si>
  <si>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 xml:space="preserve">TERRITORIO, AMBIENTE Y DESARROLLO SOSTENIBLE </t>
  </si>
  <si>
    <t>Transporte</t>
  </si>
  <si>
    <t>Infraestructura red vial regional. "Tú y yo con movilidad vial"</t>
  </si>
  <si>
    <t>Infraestructura  en  puentes  con procesos  de construcción, mejoramiento, ampliación, mantenimiento y/o reforzamiento</t>
  </si>
  <si>
    <t>Puente de la red vial secundaria con mantenimiento</t>
  </si>
  <si>
    <t>Infraestructura en puentes construida, mejorada, ampliada, mantenida y/o reforzada</t>
  </si>
  <si>
    <t>Puente de la red secundaria con mantenimiento</t>
  </si>
  <si>
    <t>202000363-0053</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</si>
  <si>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</si>
  <si>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</si>
  <si>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</si>
  <si>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</si>
  <si>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</si>
  <si>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</si>
  <si>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Estudios y diseños de infraestructura vial</t>
  </si>
  <si>
    <t>Estudios de preinversión para la red vial regional</t>
  </si>
  <si>
    <t>Estudios y diseños de infraestructura vial elaborado.</t>
  </si>
  <si>
    <t>Estudios de preinversión realizados</t>
  </si>
  <si>
    <t>202000363-0054</t>
  </si>
  <si>
    <t xml:space="preserve"> Elaboración estudios y diseños de Infraestructura vial en el Departamento de Quindío </t>
  </si>
  <si>
    <t>Realizar  estudios de pre inversión de infraestructura vial,  con el objeto de gestionar  recursos de inversión   para  la  optimización de la red vial, reducción de costos de operación y  mejoramiento de la calidad de vida se los  habitantes del  departamento del Quindío,</t>
  </si>
  <si>
    <t>Ambiente y desarrollo sostenible</t>
  </si>
  <si>
    <t>Ordenamiento Ambiental Territorial. "Tú y yo planificamos con sentido ambiental"</t>
  </si>
  <si>
    <t xml:space="preserve">Porcentaje de Ecosistemas protegidos y/o en procesos de restauración en el Departamento </t>
  </si>
  <si>
    <t>Obras para estabilización de taludes</t>
  </si>
  <si>
    <t>320501000</t>
  </si>
  <si>
    <t>Obras para estabilización de taludes realizadas</t>
  </si>
  <si>
    <t>202000363-0055</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</si>
  <si>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</si>
  <si>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</si>
  <si>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Obras de infraestructura para mitigación y atención a desastres</t>
  </si>
  <si>
    <t xml:space="preserve">Obras de infraestructura para mitigación y atención a desastres realizadas </t>
  </si>
  <si>
    <t>202000363-0056</t>
  </si>
  <si>
    <t xml:space="preserve"> Construcción, mantenimiento y/o mejoramiento de obras de infraestructura  para la mitigación y atención de desastres en los municipios del departamento del Quindío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</si>
  <si>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</si>
  <si>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Vivienda, Ciudad y Territorio</t>
  </si>
  <si>
    <t>Acceso a soluciones de vivienda. "Tú y yo con vivienda digna"</t>
  </si>
  <si>
    <t>Déficit cualitativo de viviendas por hogares</t>
  </si>
  <si>
    <t>Viviendas de interés social urbanas mejoradas</t>
  </si>
  <si>
    <t>400101500</t>
  </si>
  <si>
    <t>Viviendas de Interés Social urbanas mejoradas</t>
  </si>
  <si>
    <t>202000363-0057</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</si>
  <si>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</si>
  <si>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</si>
  <si>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</si>
  <si>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</si>
  <si>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</si>
  <si>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</si>
  <si>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</si>
  <si>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</si>
  <si>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202000363-0014</t>
  </si>
  <si>
    <t xml:space="preserve"> Implementación del plan departamental para el manejo empresarial de los servicios de agua y saneamiento básico en el Departamento del Quindío  </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</si>
  <si>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</si>
  <si>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</si>
  <si>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</si>
  <si>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</si>
  <si>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</si>
  <si>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</si>
  <si>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</si>
  <si>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</si>
  <si>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</si>
  <si>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</si>
  <si>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</si>
  <si>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</si>
  <si>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</si>
  <si>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</si>
  <si>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</si>
  <si>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</si>
  <si>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202000363-0058</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</si>
  <si>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</si>
  <si>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</si>
  <si>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</si>
  <si>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202000363-0059</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</si>
  <si>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</si>
  <si>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</si>
  <si>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 xml:space="preserve">309  SECRETARÍA DEL INTERIOR </t>
  </si>
  <si>
    <t>Servicio de asistencia técnica para la articulación de los operadores de los servicio de justicia</t>
  </si>
  <si>
    <t>202000363-0060</t>
  </si>
  <si>
    <t>Disminuir los índice delitos  en el departamento del Quindío a través de procesos de asistencia Técnica y articulación  de acciones  con las Administraciones municipales .</t>
  </si>
  <si>
    <t>Promoción de los métodos de resolución de conflictos. "Tú y yo resolvemos los conflictos"</t>
  </si>
  <si>
    <t>Servicio de asistencia técnica para la implementación de los métodos de resolución de conflictos</t>
  </si>
  <si>
    <t>Instituciones públicas y privadas asistidas técnicamente en métodos de resolución de conflictos</t>
  </si>
  <si>
    <t>202000363-0061</t>
  </si>
  <si>
    <t xml:space="preserve">  Implementación de  métodos  para la resolución de conflictos y el  fortalecimiento de la seguridad de los ciudadanos den el Departamento del Quindío  </t>
  </si>
  <si>
    <t>Coordinar con los organismos de seguridad métodos  de intervenciones  transformadoras en zonas de miedo e impunidad</t>
  </si>
  <si>
    <t>Sistema penitenciario y carcelario en el marco de los derechos humanos. "Quindío respeta derechos penitenciarios"</t>
  </si>
  <si>
    <t>Servicio de resocialización de personas privadas de la libertad</t>
  </si>
  <si>
    <t>Personas privadas de la libertad (PPL) que reciben servicio de resocialización</t>
  </si>
  <si>
    <t>202000363-0062</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</si>
  <si>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</si>
  <si>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</si>
  <si>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</si>
  <si>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</si>
  <si>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</si>
  <si>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</si>
  <si>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202000363-0063</t>
  </si>
  <si>
    <t xml:space="preserve"> Implementación  y/o fortalecimiento  de  los planes para la gestión del riesgo y desastres en las Instituciones Educativas Oficiales  del Departamento </t>
  </si>
  <si>
    <t>Aumentar la cobertura de Instituciones Educativas con Planes Escolares de Gestión del Riesgo de Desastres-PEGERD, a través de procesos de acompañamiento  a la  comunidad educativa  en la implementación y fortalecimiento de los mismos.</t>
  </si>
  <si>
    <t xml:space="preserve">Inclusión social y Reconciliación </t>
  </si>
  <si>
    <t>Atención, asistencia y reparación integral a las víctimas. "Tú y yo con reparación integral"</t>
  </si>
  <si>
    <t>Cobertura de la población víctima atendida con procesos de atención, prevención y asistencia humanitaria</t>
  </si>
  <si>
    <t>Servicio de orientación y comunicación a las víctimas</t>
  </si>
  <si>
    <t>Solicitudes tramitadas</t>
  </si>
  <si>
    <t>202000363-0064</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</si>
  <si>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</si>
  <si>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</si>
  <si>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</si>
  <si>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</si>
  <si>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</si>
  <si>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</si>
  <si>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</si>
  <si>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</si>
  <si>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</si>
  <si>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</si>
  <si>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</si>
  <si>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</si>
  <si>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</si>
  <si>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</si>
  <si>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</si>
  <si>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</si>
  <si>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</si>
  <si>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</si>
  <si>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202000363-0065</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</si>
  <si>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</si>
  <si>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</si>
  <si>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</si>
  <si>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</si>
  <si>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</si>
  <si>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</si>
  <si>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</si>
  <si>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202000363-0066</t>
  </si>
  <si>
    <t xml:space="preserve"> Fortalecimiento de los organismos de seguridad del Departamento del Quindío,  para mejorar la convivencia, preservación del orden público y la seguridad ciudadana. </t>
  </si>
  <si>
    <t xml:space="preserve"> Disminuir los índices  de delitos en el departamento del Quindío, a través de fortalecimiento de los organismos de seguridad, para el mejoramiento de la   convivencia, preservación del orden público y la seguridad ciudadana. </t>
  </si>
  <si>
    <t>Instancias territoriales asistidas técnicamente</t>
  </si>
  <si>
    <t>202000363-0068</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</si>
  <si>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</si>
  <si>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</si>
  <si>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</si>
  <si>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</si>
  <si>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202000363-0069</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</si>
  <si>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</si>
  <si>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</si>
  <si>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Cobertura de   personas capacitadas en Gestión del Riesgo de Desastres  en el Departamento del Quindío, bajo en marco de Ciudades resilientes</t>
  </si>
  <si>
    <t>Servicio de educación informal</t>
  </si>
  <si>
    <t>Personas capacitadas</t>
  </si>
  <si>
    <t>202000363-0070</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</si>
  <si>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</si>
  <si>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</si>
  <si>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</si>
  <si>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</si>
  <si>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</si>
  <si>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</si>
  <si>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</si>
  <si>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</si>
  <si>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</si>
  <si>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</si>
  <si>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</si>
  <si>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202000363-0067</t>
  </si>
  <si>
    <t xml:space="preserve"> Implementación del Plan Integral de prevención de vulneraciones de los Derechos Humanos DDHH e infracciones  al Derecho Internacional Humanitario DIH en el Departamento del Quindío </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</si>
  <si>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</si>
  <si>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</si>
  <si>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202000363-0071</t>
  </si>
  <si>
    <t xml:space="preserve"> Fortalecimiento de la participación ciudadana, veedurías y organizaciones comunales para el cumplimiento, protección y restablecimiento de los derechos contemplados en la Constitución Política.    </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</si>
  <si>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</si>
  <si>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</si>
  <si>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</si>
  <si>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</si>
  <si>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</si>
  <si>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</si>
  <si>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</si>
  <si>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</si>
  <si>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</si>
  <si>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</si>
  <si>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 xml:space="preserve">310 SECRETARÍA DE CULTURA </t>
  </si>
  <si>
    <t>.Cobertura en formación artística y cultural
.Tasa de consumo de sustancias sicoactivas por 100.000 habitantes en el departamento del Quindío.</t>
  </si>
  <si>
    <t>Servicio de educación informal en áreas artísticas y culturales</t>
  </si>
  <si>
    <t>202000363-0021</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</si>
  <si>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</si>
  <si>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</si>
  <si>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Servicio de circulación artística y cultural</t>
  </si>
  <si>
    <t>Producciones artísticas en circulación</t>
  </si>
  <si>
    <t>.Tasa de cumplimiento al Plan de Biocultura en patrimonio y del PCC.
.Tasa de consumo de sustancias sicoactivas por 100.000 habitantes en el departamento del Quindío.</t>
  </si>
  <si>
    <t>Formulación e implementación del Plan de Cultura</t>
  </si>
  <si>
    <t xml:space="preserve">Documentos de lineamientos técnicos </t>
  </si>
  <si>
    <t>Plan Decenal de cultura formulado e implementado</t>
  </si>
  <si>
    <t>Servicio de educación formal al sector artístico y cultural</t>
  </si>
  <si>
    <t>Cupos de educación formal ofertados</t>
  </si>
  <si>
    <t>Tasa de lectura
Tasa de consumo de sustancias sicoactivas por 100.000 habitantes en el departamento del Quindío.</t>
  </si>
  <si>
    <t>Servicios bibliotecarios</t>
  </si>
  <si>
    <t>330108500</t>
  </si>
  <si>
    <t>Usuarios atendidos</t>
  </si>
  <si>
    <t>202000363-0020</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</si>
  <si>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</si>
  <si>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</si>
  <si>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</si>
  <si>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</si>
  <si>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</si>
  <si>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</si>
  <si>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</si>
  <si>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</si>
  <si>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202000363-0072</t>
  </si>
  <si>
    <t xml:space="preserve"> Apoyo artistas y gestores culturales  del departamento del Quindío con el  beneficio de la Seguridad Social.  </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</si>
  <si>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</si>
  <si>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</si>
  <si>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Tasa de cumplimiento al Plan de Biocultura en patrimonio y del PCC.
Tasa de consumo de sustancias sicoactivas por 100.000 habitantes en el departamento del Quindío.</t>
  </si>
  <si>
    <t>Servicio de asistencia técnica en el manejo y gestión del patrimonio arqueológico, antropológico e histórico.</t>
  </si>
  <si>
    <t>330204200</t>
  </si>
  <si>
    <t xml:space="preserve">Asistencias técnicas realizadas a entidades territoriales </t>
  </si>
  <si>
    <t>202000363-0073</t>
  </si>
  <si>
    <t xml:space="preserve"> Apoyo al Paisaje, Café y Tradición mediante procesos de manejo, gestión, asistencia técnica, divulgación y publicación del patrimonio, arqueológico, antropológico e histórico en el Departamento del Quindío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</si>
  <si>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</si>
  <si>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</si>
  <si>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</si>
  <si>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 xml:space="preserve">311 SECRETARÍA DE TURISMO INDUSTRIA Y COMERCIO </t>
  </si>
  <si>
    <t>PRODUCTIVIDAD Y COMPETITIVIDAD</t>
  </si>
  <si>
    <t>Comercio, Industria y Turismo</t>
  </si>
  <si>
    <t xml:space="preserve">Productividad y competitividad de las empresas colombianas. "Tú y yo con empresas competitivas" </t>
  </si>
  <si>
    <t>Índice Departamental de Competitividad
Tasa de desempleo</t>
  </si>
  <si>
    <t>Servicio de apoyo y consolidación de las Comisiones Regionales de Competitividad - CRC</t>
  </si>
  <si>
    <t>350200600</t>
  </si>
  <si>
    <t xml:space="preserve">Planes de trabajo concertados con las CRC para su consolidación </t>
  </si>
  <si>
    <t>202000363-0074</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</si>
  <si>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</si>
  <si>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</si>
  <si>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Servicio de asistencia técnica para el desarrollo de iniciativas Clústeres</t>
  </si>
  <si>
    <t>350200700</t>
  </si>
  <si>
    <t>Clústeres asistidos en la implementación de los planes de acción</t>
  </si>
  <si>
    <t>350202200</t>
  </si>
  <si>
    <t>Empresas asistidas técnicamente</t>
  </si>
  <si>
    <t>202000363-0075</t>
  </si>
  <si>
    <t xml:space="preserve"> Fortalecimiento del sector empresarial  para el acceso a nuevos mercados en el departamento del Quindío</t>
  </si>
  <si>
    <t>Incrementar en índice de competitividad en el Departamento del Quindío,  a través de fortalecimiento del sector empresarial,  con el propósito de incrementar la competitividad para  en  acceso a nuevos mercados locales e internacionales.</t>
  </si>
  <si>
    <t>350204700</t>
  </si>
  <si>
    <t>0.7</t>
  </si>
  <si>
    <t>Índice Departamental de Competitividad Turística
Tasa de desempleo</t>
  </si>
  <si>
    <t>Servicio de asistencia técnica a los entes territoriales para el desarrollo turístico</t>
  </si>
  <si>
    <t>350203900</t>
  </si>
  <si>
    <t>202000363-0076</t>
  </si>
  <si>
    <t xml:space="preserve"> Mejoramiento de la competitividad del  departamento como destino turístico  sostenible y de calidad .</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</si>
  <si>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</si>
  <si>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Proyectos de infraestructura turística apoyados</t>
  </si>
  <si>
    <t>Servicio de promoción turística</t>
  </si>
  <si>
    <t>350204600</t>
  </si>
  <si>
    <t>Campañas realizadas</t>
  </si>
  <si>
    <t>202000363-0077</t>
  </si>
  <si>
    <t xml:space="preserve"> Fortalecimiento de la promoción turística del destino Quindío a nivel  nacional e internacional </t>
  </si>
  <si>
    <t>Incrementar en índice de competitividad   turística,  a través de la promoción del departamento como destino turístico y en  fortalecimiento de las  Agencias de Inversión   con la articulación de  instituciones,  gremios y demás actores del sector.</t>
  </si>
  <si>
    <t>Trabajo</t>
  </si>
  <si>
    <t>Generación y formalización del empleo. "Tú y yo con empleo de calidad"</t>
  </si>
  <si>
    <t>Servicios de apoyo financiero para la creación de empresas</t>
  </si>
  <si>
    <t>360201800</t>
  </si>
  <si>
    <t>Planes de negocio financiados</t>
  </si>
  <si>
    <t>202000363-0078</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</si>
  <si>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</si>
  <si>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</si>
  <si>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</si>
  <si>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</si>
  <si>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</si>
  <si>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</si>
  <si>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</si>
  <si>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</si>
  <si>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</si>
  <si>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</si>
  <si>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</si>
  <si>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 xml:space="preserve">312 SECRETARÍA DE AGRICULTURA, DESARROLLO RURAL Y MEDIO AMBIENTE </t>
  </si>
  <si>
    <t>Agricultura y desarrollo rural</t>
  </si>
  <si>
    <t>Inclusión productiva de pequeños productores rurales. "Tú y yo con oportunidades para el pequeño campesino"</t>
  </si>
  <si>
    <t>Crecimiento económico del sector agropecuario (PIB)</t>
  </si>
  <si>
    <t>Servicio de asesoría para el fortalecimiento de la asociatividad</t>
  </si>
  <si>
    <t>170201100</t>
  </si>
  <si>
    <t>Asociaciones fortalecidas</t>
  </si>
  <si>
    <t>202000363-0079</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</si>
  <si>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</si>
  <si>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</si>
  <si>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</si>
  <si>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</si>
  <si>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</si>
  <si>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</si>
  <si>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</si>
  <si>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</si>
  <si>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</si>
  <si>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</si>
  <si>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</si>
  <si>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202000363-0023</t>
  </si>
  <si>
    <t xml:space="preserve"> Implementación de procesos productivos agropecuarios familiares campesinos en busca de la soberanía y seguridad alimentaria en el Departamento del Quindío </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</si>
  <si>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</si>
  <si>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</si>
  <si>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</si>
  <si>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</si>
  <si>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</si>
  <si>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</si>
  <si>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</si>
  <si>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</si>
  <si>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</si>
  <si>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</si>
  <si>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202000363-0080</t>
  </si>
  <si>
    <t xml:space="preserve"> Fortalecimiento e implementación  de procesos de mercadeo y comercialización agropecuaria  en el Departamento del Quindío.                </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</si>
  <si>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</si>
  <si>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</si>
  <si>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</si>
  <si>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</si>
  <si>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</si>
  <si>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202000363-0022</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</si>
  <si>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</si>
  <si>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</si>
  <si>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</si>
  <si>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</si>
  <si>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</si>
  <si>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</si>
  <si>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</si>
  <si>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</si>
  <si>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202000363-0081</t>
  </si>
  <si>
    <t xml:space="preserve"> Servicio de apoyo en la formulación y estructuración de proyectos de Desarrollo Rural e inclusión productiva  campesina en el Departamento del Quindío  </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</si>
  <si>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</si>
  <si>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</si>
  <si>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 de apoyo a la implementación de mecanismos y herramientas para el conocimiento, reducción y manejo de riesgos agropecuarios</t>
  </si>
  <si>
    <t>170301300</t>
  </si>
  <si>
    <t>Personas beneficiadas</t>
  </si>
  <si>
    <t>202000363-0082</t>
  </si>
  <si>
    <t xml:space="preserve"> Apoyo a la Implementación de procesos para la prevención y mitigación de riesgos naturales del sector agropecuario en el Departamento del Quindío.  </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</si>
  <si>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</si>
  <si>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</si>
  <si>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170400203</t>
  </si>
  <si>
    <t>Documentos de lineamientos para el ordenamiento social y productivo elaborados</t>
  </si>
  <si>
    <t>202000363-0025</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</si>
  <si>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</si>
  <si>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</si>
  <si>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</si>
  <si>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</si>
  <si>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</si>
  <si>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</si>
  <si>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Servicio de apoyo financiero para la participación en ferias nacionales e internacionales</t>
  </si>
  <si>
    <t>170600400</t>
  </si>
  <si>
    <t>Participaciones en ferias nacionales e internacionales</t>
  </si>
  <si>
    <t>202000363-0083</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</si>
  <si>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</si>
  <si>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</si>
  <si>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</si>
  <si>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Servicio de divulgación y socialización</t>
  </si>
  <si>
    <t>170706900</t>
  </si>
  <si>
    <t>Eventos realizados</t>
  </si>
  <si>
    <t>202000363-0084</t>
  </si>
  <si>
    <t xml:space="preserve"> Implementación de procesos de  sanidad e inocuidad alimentaria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</si>
  <si>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</si>
  <si>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</si>
  <si>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170801600</t>
  </si>
  <si>
    <t>Documentos de lineamientos técnicos elaborados</t>
  </si>
  <si>
    <t>202000363-0026</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</si>
  <si>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</si>
  <si>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</si>
  <si>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</si>
  <si>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</si>
  <si>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</si>
  <si>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Infraestructura productiva y comercialización. "Tú y yo con agro competitivo"</t>
  </si>
  <si>
    <t>Centros logísticos agropecuarios adecuados</t>
  </si>
  <si>
    <t>202000363-0024</t>
  </si>
  <si>
    <t xml:space="preserve"> Implementación de procesos de agro industrialización con calidad e inocuidad en el Departamento del Quindío </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</si>
  <si>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</si>
  <si>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</si>
  <si>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</si>
  <si>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</si>
  <si>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</si>
  <si>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</si>
  <si>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</si>
  <si>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</si>
  <si>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</si>
  <si>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</si>
  <si>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202000363-0085</t>
  </si>
  <si>
    <t xml:space="preserve"> 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</si>
  <si>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</si>
  <si>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</si>
  <si>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3201</t>
  </si>
  <si>
    <t>Fortalecimiento del desempeño ambiental de los sectores productivos. "Tú y yo guardianes de la biodiversidad.</t>
  </si>
  <si>
    <t>Documentos de lineamientos técnicos para mejorar la calidad ambiental de las áreas urbanas</t>
  </si>
  <si>
    <t>320101300</t>
  </si>
  <si>
    <t>Documentos de lineamientos técnicos para  mejorar la calidad ambiental de las áreas urbanas elaborados</t>
  </si>
  <si>
    <t>202000363-0027</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</si>
  <si>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</si>
  <si>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</si>
  <si>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</si>
  <si>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</si>
  <si>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</si>
  <si>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</si>
  <si>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3202005</t>
  </si>
  <si>
    <t>Servicio de restauración de ecosistemas</t>
  </si>
  <si>
    <t>320200500</t>
  </si>
  <si>
    <t>Áreas en proceso de restauración</t>
  </si>
  <si>
    <t>202000363-0086</t>
  </si>
  <si>
    <t xml:space="preserve"> Generación y desarrollo de acciones para la conservación de las áreas de importancia estratégica hídrica en el Departamento del Quindío </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</si>
  <si>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</si>
  <si>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Servicio de recuperación de cuerpos de agua lénticos y lóticos</t>
  </si>
  <si>
    <t>320203704</t>
  </si>
  <si>
    <t>Bosque ripario recuperado</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</si>
  <si>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</si>
  <si>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</si>
  <si>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</si>
  <si>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</si>
  <si>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</si>
  <si>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</si>
  <si>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</si>
  <si>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</si>
  <si>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</si>
  <si>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Estrategia  para la protección y bienestar de los animales domésticos y silvestres adoptada</t>
  </si>
  <si>
    <t>Talleres realizados</t>
  </si>
  <si>
    <t>202000363-0028</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</si>
  <si>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</si>
  <si>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</si>
  <si>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</si>
  <si>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</si>
  <si>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202000363-0087</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</si>
  <si>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</si>
  <si>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</si>
  <si>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3204</t>
  </si>
  <si>
    <t>Gestión de la información y en conocimiento ambiental. "Tú y yo conscientes con la naturaleza"</t>
  </si>
  <si>
    <t>Servicio de apoyo financiero a emprendimientos</t>
  </si>
  <si>
    <t>320401200</t>
  </si>
  <si>
    <t xml:space="preserve">Emprendimientos apoyados </t>
  </si>
  <si>
    <t>202000363-0029</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</si>
  <si>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</si>
  <si>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</si>
  <si>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</si>
  <si>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</si>
  <si>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</si>
  <si>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</si>
  <si>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202000363-0030</t>
  </si>
  <si>
    <t xml:space="preserve"> Implementación de acciones de Gestión del Cambio Climático en el marco del PIGCC, en el Departamento del Quindío</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</si>
  <si>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</si>
  <si>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</si>
  <si>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</si>
  <si>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</si>
  <si>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</si>
  <si>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3206</t>
  </si>
  <si>
    <t>Gestión del cambio climático para un desarrollo bajo en carbono y resiliente al clima. "Tú y yo preparados para el cambio climático"</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</si>
  <si>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</si>
  <si>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</si>
  <si>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</si>
  <si>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</si>
  <si>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202000363-0088</t>
  </si>
  <si>
    <t xml:space="preserve">Implementación de un programa  de protección del  patrimonio ambiental , en paisaje, la biodiversidad y sus servicios ecosistémicos en el Departamento del Quindío  </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</si>
  <si>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</si>
  <si>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</si>
  <si>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</si>
  <si>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</si>
  <si>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</si>
  <si>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</si>
  <si>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</si>
  <si>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</si>
  <si>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 xml:space="preserve">313 DIRECCIÓN OFICINA PRIVADA </t>
  </si>
  <si>
    <t>Fortalecimiento a la gestión y dirección de la administración pública territorial "Quindío con una administración al servicio de la ciudadanía"</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</si>
  <si>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</si>
  <si>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</si>
  <si>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</si>
  <si>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202000363-0089</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</si>
  <si>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</si>
  <si>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</si>
  <si>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Desarrollo e implementación de la estrategia de comunicaciones para la Administración Departamental</t>
  </si>
  <si>
    <t>Estrategia de comunicaciones desarrollada e implementada</t>
  </si>
  <si>
    <t>202000363-0090</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</si>
  <si>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</si>
  <si>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</si>
  <si>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 xml:space="preserve">Encuentros ciudadanos en el Departamento del Quindío en aplicación de la Política de Transparencia, Acceso a la Información Pública y Lucha contra la Corrupción.  </t>
  </si>
  <si>
    <t>Encuentros  ciudadanos realizados.</t>
  </si>
  <si>
    <t>202000363-0031</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</si>
  <si>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</si>
  <si>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</si>
  <si>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 xml:space="preserve">314 SECRETARÍA DE EDUCACIÓN </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</si>
  <si>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</si>
  <si>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</si>
  <si>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</si>
  <si>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202000363-0091</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</si>
  <si>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</si>
  <si>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</si>
  <si>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Tasa de deserción escolar intra -anual</t>
  </si>
  <si>
    <t>Servicio de fomento para la permanencia en programas de educación formal</t>
  </si>
  <si>
    <t>Personas beneficiarias de estrategias de permanencia</t>
  </si>
  <si>
    <t xml:space="preserve">Tasa de Analfabetismo </t>
  </si>
  <si>
    <t>Servicio de alfabetización</t>
  </si>
  <si>
    <t xml:space="preserve">Personas beneficiarias con modelos de alfabetización </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</si>
  <si>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</si>
  <si>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</si>
  <si>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</si>
  <si>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</si>
  <si>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</si>
  <si>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</si>
  <si>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</si>
  <si>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</si>
  <si>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</si>
  <si>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</si>
  <si>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Infraestructura de Instituciones Educativas con procesos constructivos, mejorados, ampliados, mantenidos, y/o reforzados.</t>
  </si>
  <si>
    <t xml:space="preserve">Sedes mantenidas </t>
  </si>
  <si>
    <t xml:space="preserve">Tasa de cobertura bruta en transición
Tasa de cobertura bruta en educación básica
Tasa de cobertura en educación media 
Tasa de deserción escolar intra-anual </t>
  </si>
  <si>
    <t>Estudios de preinversión</t>
  </si>
  <si>
    <t>Estudios o diseños realizados</t>
  </si>
  <si>
    <t>Infraestructura educativa dotada</t>
  </si>
  <si>
    <t>Sedes dotadas</t>
  </si>
  <si>
    <t>Cobertura en asistencia técnica a la educación inicial (0 a 4 años)</t>
  </si>
  <si>
    <t>Servicio de información para la gestión de la educación inicial y preescolar en condiciones de calidad</t>
  </si>
  <si>
    <t xml:space="preserve">Entidades territoriales que hacen seguimiento a las condiciones de calidad de los prestadores de educación inicial o preescolar a través del Sistema de Información de Primera Infancia -SIPI- </t>
  </si>
  <si>
    <t>202000363-0092</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</si>
  <si>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</si>
  <si>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</si>
  <si>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Tasa de cobertura bruta en transición</t>
  </si>
  <si>
    <t>Servicio de atención integral para la primera infancia</t>
  </si>
  <si>
    <t>Instituciones educativas oficiales que implementan en nivel preescolar en el marco de la atención integral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</si>
  <si>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</si>
  <si>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</si>
  <si>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</si>
  <si>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202000363-0093</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</si>
  <si>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</si>
  <si>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</si>
  <si>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</si>
  <si>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</si>
  <si>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</si>
  <si>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Servicio de fortalecimiento a las capacidades de los docentes de educación inicial, preescolar, básica y media</t>
  </si>
  <si>
    <t>Docentes de educación inicial, preescolar, básica y media beneficiados con estrategias de mejoramiento de sus capacidades</t>
  </si>
  <si>
    <t xml:space="preserve">Docentes y agentes educativos  de educación inicial, preescolar, básica y media beneficiados con estrategias de mejoramiento de sus capacidades </t>
  </si>
  <si>
    <t>Servicio de fortalecimiento a las capacidades de los docentes y agentes educativos en educación inicial o preescolar de acuerdo a los referentes nacionales</t>
  </si>
  <si>
    <t>Servicio de fortalecimiento a las capacidades de los docentes de educación Inicial, preescolar, básica y media</t>
  </si>
  <si>
    <t>Docentes y agentes educativos beneficiarios de Servicio de fortalecimiento a sus capacidades de acuerdo a los referentes nacionales</t>
  </si>
  <si>
    <t xml:space="preserve">Tasa de cobertura bruta en educación media 
Años promedio de estudio (población de 15 a 24 años) </t>
  </si>
  <si>
    <t>Servicio de articulación entre la educación media y el sector productivo.</t>
  </si>
  <si>
    <t xml:space="preserve">Programas y proyectos de educación pertinente articulados con el sector productivo </t>
  </si>
  <si>
    <t>Servicios de asistencia técnica en innovación educativa en la educación inicial, preescolar, básica y media</t>
  </si>
  <si>
    <t>Instituciones educativas asistidas técnicamente en innovación educativa</t>
  </si>
  <si>
    <t>Servicio de fomento para la prevención de riesgos sociales en entornos escolares</t>
  </si>
  <si>
    <t>Entidades territoriales con estrategias para la prevención de riesgos sociales en los entornos escolares implementadas</t>
  </si>
  <si>
    <t>Servicio de apoyo a proyectos pedagógicos productivos</t>
  </si>
  <si>
    <t>Proyectos apoyados</t>
  </si>
  <si>
    <t>Servicio de orientación vocacional</t>
  </si>
  <si>
    <t>Estudiantes vinculados a procesos de orientación vocacional</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</si>
  <si>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</si>
  <si>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</si>
  <si>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</si>
  <si>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202000363-0016</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</si>
  <si>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</si>
  <si>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</si>
  <si>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de monitoreo y seguimiento a la gestión del sector educativo</t>
  </si>
  <si>
    <t>Entidades territoriales con seguimiento y evaluación a la gestión.</t>
  </si>
  <si>
    <t>Servicios de atención psicosocial a estudiantes y docentes</t>
  </si>
  <si>
    <t xml:space="preserve">Personas atendidas </t>
  </si>
  <si>
    <t xml:space="preserve">Tasa de cobertura bruta en transición
Tasa de cobertura bruta en educación básica
Tasa de cobertura en educación media
</t>
  </si>
  <si>
    <t>Servicio educativo</t>
  </si>
  <si>
    <t>Establecimientos educativos en operación</t>
  </si>
  <si>
    <t>Servicio de accesibilidad a contenidos web para fines pedagógicos</t>
  </si>
  <si>
    <t>Estudiantes con acceso a contenidos web en el establecimiento educativo</t>
  </si>
  <si>
    <t>202000363-0094</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</si>
  <si>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</si>
  <si>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</si>
  <si>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Establecimientos educativos conectados a internet</t>
  </si>
  <si>
    <t>Documento para la planeación estratégica en TI</t>
  </si>
  <si>
    <t>Planes de mejoramiento de los sistemas de información de las secretarías de educación implementados</t>
  </si>
  <si>
    <t>Documentos de planeación para la educación inicial, preescolar, básica y media emitidos</t>
  </si>
  <si>
    <t>Porcentaje de estudiantes de grado 11 con dominio de inglés a nivel B1 (preintermedio)</t>
  </si>
  <si>
    <t>Servicio educativos de promoción del bilingüismo</t>
  </si>
  <si>
    <t>Estudiantes beneficiados con estrategias de promoción del bilingüismo</t>
  </si>
  <si>
    <t>202000363-0015</t>
  </si>
  <si>
    <t>Fortalecimiento de las competencias comunicativas en lengua extranjera en estudiantes y docentes de las instituciones educativas oficiales del Departamento del Quindío.</t>
  </si>
  <si>
    <t>Aumentar en porcentaje de estudiantes de grado 11 con dominio de inglés a nivel B1 (preintermedio) a través del fortalecimiento del nivel de inglés de los niños, niñas y jóvenes qué asisten a las Instituciones Educativas Oficiales del Departamento del Quindío.</t>
  </si>
  <si>
    <t>Servicios educativos de promoción del bilingüismo</t>
  </si>
  <si>
    <t>Instituciones educativas fortalecidas en competencias comunicativas en un segundo idioma</t>
  </si>
  <si>
    <t>Servicio educativo de promoción del bilingüismo para docentes</t>
  </si>
  <si>
    <t>Docentes beneficiados con estrategias de promoción del bilingüismo</t>
  </si>
  <si>
    <t>202000363-0095</t>
  </si>
  <si>
    <t>Implementación del observatorio de educación, con el fin de recopilar y producir información del sector educativo con enfoque territorial.</t>
  </si>
  <si>
    <t>Servicios de información en materia educativa</t>
  </si>
  <si>
    <t>Observatorio implementado</t>
  </si>
  <si>
    <t>Tasa de cobertura en educación superior</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</si>
  <si>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</si>
  <si>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</si>
  <si>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</si>
  <si>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202000363-0096</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</si>
  <si>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</si>
  <si>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</si>
  <si>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Generación de una cultura qué valora y gestiona en conocimiento y la innovación.</t>
  </si>
  <si>
    <t xml:space="preserve">
Tasa de cobertura bruta en educación básica
Tasa de cobertura en educación media
</t>
  </si>
  <si>
    <t>Servicio para el fortalecimiento de capacidades institucionales para el fomento de vocación científica</t>
  </si>
  <si>
    <t>Instituciones educativas qué participan en programas que fomentan la cultura de la Ciencia, la Tecnología y la Innovación fortalecidas</t>
  </si>
  <si>
    <t>Instituciones educativas que participan en programas qué fomentan la cultura de la Ciencia, la Tecnología y la Innovación fortalecidas</t>
  </si>
  <si>
    <t>202000363-0097</t>
  </si>
  <si>
    <t>Implementación  y fortalecimiento de  las estrategias qué fomenten la ciencia, la tecnología y la innovación en las Instituciones Educativas Oficiales del Departamento.</t>
  </si>
  <si>
    <t xml:space="preserve">Aumentar las tasas de cobertura bruta en educación  básica y media, a través de la  Promoción  de  la investigación en los estudiantes  matriculados en las Instituciones Educativas Oficiales del Departamento del Quindío, a través de la Ciencia, Tecnología y la Innovación. </t>
  </si>
  <si>
    <t>316 SECRETARÍA DE FAMILIA</t>
  </si>
  <si>
    <t>Salud Pública, "Tú y yo con salud de calidad"</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</si>
  <si>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</si>
  <si>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</si>
  <si>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</si>
  <si>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 xml:space="preserve"> 202000363-0011</t>
  </si>
  <si>
    <t xml:space="preserve">  Diseño e implementación de campañas para la promoción de la vida y prevención del consumo de sustancias psicoactivas en el Departamento del Quindío. "TU Y YO UNIDOS POR LA VIDA".  </t>
  </si>
  <si>
    <t xml:space="preserve"> Disminuir las tasas  de mortalidad materna, embarazos, violencia y suicidios en el Departamento del Quindío, a través del fomento de  hábitos de vida saludables y derechos sexuales y reproductivos. </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</si>
  <si>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</si>
  <si>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</si>
  <si>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</si>
  <si>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Cobertura  de municipios   con  jóvenes en riesgo psicosocial impactados en los  Barrios vulnerables del Departamento del Quindío</t>
  </si>
  <si>
    <t>Servicio de educación informal al sector artístico y cultural</t>
  </si>
  <si>
    <t>Capacitaciones de educación informal realizadas</t>
  </si>
  <si>
    <t>202000363-0098</t>
  </si>
  <si>
    <t xml:space="preserve"> Implementación acciones de fortalecimiento  de los entornos protectores de los jóvenes en barrios vulnerables de los municipios, del Departamento del Quindío. </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</si>
  <si>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</si>
  <si>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Inclusión social y Reconciliación</t>
  </si>
  <si>
    <t>Desarrollo Integral de Niños, Niñas, Adolescentes y sus Familias. "Tú y yo niños, niñas y adolescentes con desarrollo integral"</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</si>
  <si>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</si>
  <si>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</si>
  <si>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</si>
  <si>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202000363-0099</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</si>
  <si>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</si>
  <si>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</si>
  <si>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</si>
  <si>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</si>
  <si>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</si>
  <si>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</si>
  <si>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</si>
  <si>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</si>
  <si>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</si>
  <si>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</si>
  <si>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</si>
  <si>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410204300</t>
  </si>
  <si>
    <t>Familias atendidas</t>
  </si>
  <si>
    <t>202000363-0100</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</si>
  <si>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</si>
  <si>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</si>
  <si>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</si>
  <si>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Revisar y ajustar   la política pública de primera infancia, infancia y adolescencia</t>
  </si>
  <si>
    <t xml:space="preserve">4102035
 </t>
  </si>
  <si>
    <t xml:space="preserve">Documento  de Política Pública de Primera Infancia, Infancia y Adolescencia, revisado, ajustado </t>
  </si>
  <si>
    <t xml:space="preserve">410203501
</t>
  </si>
  <si>
    <t>Documentos de lineamientos técnicos en Política y Atención Integral de niños, niñas y adolescentes realizados</t>
  </si>
  <si>
    <t>202000363-0101</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</si>
  <si>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</si>
  <si>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</si>
  <si>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</si>
  <si>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</si>
  <si>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</si>
  <si>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</si>
  <si>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</si>
  <si>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</si>
  <si>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</si>
  <si>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</si>
  <si>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202000363-0102</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</si>
  <si>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</si>
  <si>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</si>
  <si>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</si>
  <si>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</si>
  <si>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</si>
  <si>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</si>
  <si>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</si>
  <si>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202000363-0032</t>
  </si>
  <si>
    <t xml:space="preserve"> Diseño e implementación del programa de acompañamiento familiar y comunitario con enfoque preventivo en los tipos de violencias en el Departamento del Quindío "TU Y YO COMPROMETIDOS CON LA FAMILIA" </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</si>
  <si>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</si>
  <si>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</si>
  <si>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</si>
  <si>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</si>
  <si>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</si>
  <si>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</si>
  <si>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202000363-0033</t>
  </si>
  <si>
    <t xml:space="preserve"> Diseño e implementación del programa comunitario para la prevención de los derechos de niños, niñas y adolescentes y su desarrollo integral. "TU Y YO COMPROMETIDOS CON LOS SUEÑOS". </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</si>
  <si>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</si>
  <si>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</si>
  <si>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</si>
  <si>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</si>
  <si>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</si>
  <si>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</si>
  <si>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</si>
  <si>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</si>
  <si>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</si>
  <si>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Niños, niñas, adolescentes y jóvenes atendidos en los servicios de restablecimiento en la administración de justicia</t>
  </si>
  <si>
    <t>202000363-0034</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</si>
  <si>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</si>
  <si>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</si>
  <si>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</si>
  <si>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</si>
  <si>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</si>
  <si>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202000363-0103</t>
  </si>
  <si>
    <t xml:space="preserve">  Fortalecimiento  de unidades productivas colectivas  juveniles para la generación de ingresos  en el departamento del Quindío  </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</si>
  <si>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</si>
  <si>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</si>
  <si>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</si>
  <si>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202000363-0104</t>
  </si>
  <si>
    <t xml:space="preserve">  Formulación  e Implementación del  programa departamental para atención al ciudadano migrante y de repatriación.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</si>
  <si>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</si>
  <si>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</si>
  <si>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</si>
  <si>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202000363-0105</t>
  </si>
  <si>
    <t xml:space="preserve">   Desarrollo de un  programa  de acompañamiento  familiar y comunitario  en procesos de Inclusión social y productivos para el emprendimiento de  alternativas de generación de ingresos  en el departamento del Quindío  </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</si>
  <si>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</si>
  <si>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</si>
  <si>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</si>
  <si>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</si>
  <si>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202000363-0106</t>
  </si>
  <si>
    <t xml:space="preserve">  Formulación e implementación   de proyectos productivos  dirigidos a  la población en condición  de  discapacidad y sus familias para la generación de  ingresos  y fortalecimiento del entorno familiar.  </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</si>
  <si>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</si>
  <si>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</si>
  <si>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</si>
  <si>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</si>
  <si>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</si>
  <si>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</si>
  <si>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202000363-0036</t>
  </si>
  <si>
    <t xml:space="preserve">  Apoyo en la construcción e Implementación de los Planes de Vida de los Cabildos y Resguardos indígenas  asentados en el Departamento del Quindío "TU Y YO UNIDOS CON DIGNIDAD".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</si>
  <si>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</si>
  <si>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</si>
  <si>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</si>
  <si>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</si>
  <si>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</si>
  <si>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</si>
  <si>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</si>
  <si>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202000363-0037</t>
  </si>
  <si>
    <t xml:space="preserve">  Formulación e implementación de la política pública para la comunidad negra, afrocolombiana, raizal y palenquera residente en el Departamento del Quindío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</si>
  <si>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</si>
  <si>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</si>
  <si>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Cobertura  de municipios del Departamento del Quindío con el Programa de Rehabilitación Basada en la Comunidad  RBC
Cobertura de municipios atendidos  con el Banco de ayudas técnicas NO POS tipo Estándar, para las personas con discapacidad .</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</si>
  <si>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</si>
  <si>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</si>
  <si>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</si>
  <si>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</si>
  <si>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202000363-0035</t>
  </si>
  <si>
    <t xml:space="preserve"> Servicio de atención integral a población en condición de discapacidad en los municipios del Departamento del Quindío "TU Y YO JUNTOS EN LA INCLUSIÓN". </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</si>
  <si>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</si>
  <si>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Cobertura  de municipios del Departamento del Quindío  con en   Programas  de Rehabilitación Basada en la Comunidad  RBC
Cobertura de municipios atendidos  con el Banco de ayudas técnicas NO POS tipo Estándar, para las personas con discapacidad .</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</si>
  <si>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</si>
  <si>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</si>
  <si>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</si>
  <si>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</si>
  <si>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</si>
  <si>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</si>
  <si>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 202000363-0012</t>
  </si>
  <si>
    <t xml:space="preserve">   Apoyo en  la articulación de la  oferta social para la población habitante de calle del departamento del Quindío  </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</si>
  <si>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</si>
  <si>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</si>
  <si>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</si>
  <si>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</si>
  <si>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</si>
  <si>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</si>
  <si>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202000363-0109</t>
  </si>
  <si>
    <t xml:space="preserve"> Servicio  de atención integral e inclusión para el bienestar de los adultos mayores del departamento del Quindío </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</si>
  <si>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</si>
  <si>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</si>
  <si>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</si>
  <si>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</si>
  <si>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</si>
  <si>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</si>
  <si>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</si>
  <si>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</si>
  <si>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</si>
  <si>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</si>
  <si>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202000363-0113</t>
  </si>
  <si>
    <t xml:space="preserve"> Implementación de  estrategias de acompañamiento y asesoría a las asociaciones de mujeres del departamento del Quindío</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</si>
  <si>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</si>
  <si>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</si>
  <si>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Tasa  de Niños, Niñas y Adolescentes qué participan en una actividad remunerada  o no  x cada 100.000 habitantes  en el departamento del Quindío</t>
  </si>
  <si>
    <t>Servicio de educación informal para la prevención integral del trabajo infantil</t>
  </si>
  <si>
    <t>202000363-0114</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</si>
  <si>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</si>
  <si>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</si>
  <si>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Gobierno Territorial</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</si>
  <si>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</si>
  <si>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</si>
  <si>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</si>
  <si>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202000363-0115</t>
  </si>
  <si>
    <t xml:space="preserve"> Implementación del  programa de liderazgo  para la participación femenina en escenarios sociales y políticos del departamento del Quindío</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</si>
  <si>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</si>
  <si>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 xml:space="preserve">Tasa de Violencia Intrafamiliar x 100.000 Habitantes en el Departamento del Quindío.
Tasa de violencia de Género
Tasa  de mujeres de 12 a 14 años qué han sido madres o están en embarazo X 100.000 habitantes en el Departamento del Quindío
Tasa de participación femenina en cargos de elección popular en el  departamento del Quindío
Cobertura de Asociaciones de mujeres fortalecidas  </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</si>
  <si>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</si>
  <si>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</si>
  <si>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</si>
  <si>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</si>
  <si>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202000363-0108</t>
  </si>
  <si>
    <t xml:space="preserve">  Implementación de la política pública de equidad de género para la mujer en el Departamento del Quindío  </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</si>
  <si>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</si>
  <si>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</si>
  <si>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Implementar  la política  pública de diversidad sexual e identidad de género</t>
  </si>
  <si>
    <t>Política pública de diversidad sexual e identidad de género implementada.</t>
  </si>
  <si>
    <t>202000363-0107</t>
  </si>
  <si>
    <t xml:space="preserve">    Implementación de la política pública  de diversidad sexual en el Departamento del Quindío 2019-2029  </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</si>
  <si>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</si>
  <si>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 xml:space="preserve">Mejorar las condiciones de calidad de vida de la población, en acceso incluyente y equitativo a la oferta de servicios del Estado y la ampliación de oportunidades para los Quindianos. </t>
  </si>
  <si>
    <t>Casa de la Mujer Empoderada implementada</t>
  </si>
  <si>
    <t>Espacios generados para el fortalecimiento de capacidades institucionales del Estado</t>
  </si>
  <si>
    <t>202000363-0111</t>
  </si>
  <si>
    <t xml:space="preserve">Implementación de la Casa  de la Mujer Empoderada para la promoción a la participación ciudadana  de Mujeres en escenarios sociales, políticos y el fortalecimiento de la asociatividad  en el departamento del Quindío " TU Y YO CON LAS MUJERES EMPODERADAS." </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</si>
  <si>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</si>
  <si>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Casa Refugio de la Mujer implementada</t>
  </si>
  <si>
    <t>202000363-0112</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</si>
  <si>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</si>
  <si>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</si>
  <si>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Tasa de Suicidio  x 100.000 Habitantes en el Departamento del Quindío.
Tasa de Violencia Intrafamiliar x 100.000 Habitantes en el Departamento del Quindío.
Cobertura a los grupos de adulto mayor del departamento del Quindío en articulación con los Municipios, en el marco de garantizar estimulación física, cognitiva, emocional y social en bienestar de una vejez activa y saludable 
Cobertura  de  centros vida y centros de bienestar del adulto mayor (Legalmente constituidos)  apoyados con los recursos  de la  Estampilla Pro adulto Mayor .</t>
  </si>
  <si>
    <t xml:space="preserve">Formular e implementar la Política Pública de Adulto Mayor </t>
  </si>
  <si>
    <t>4599019</t>
  </si>
  <si>
    <t xml:space="preserve">Política Pública de Adulto Mayor  formulada e implementada </t>
  </si>
  <si>
    <t>459901900</t>
  </si>
  <si>
    <t>Documentos de planeación realizados</t>
  </si>
  <si>
    <t>202000363-0150</t>
  </si>
  <si>
    <t xml:space="preserve">Revisar y ajustar  la política pública de equidad de género para la mujer </t>
  </si>
  <si>
    <t xml:space="preserve">Documento de Política Pública de la mujer y equidad de género revisada y ajustada </t>
  </si>
  <si>
    <t>202000363-0151</t>
  </si>
  <si>
    <t xml:space="preserve">Revisar y ajustar la política pública de equidad de género para la mujer en el Departamento del Quindío  </t>
  </si>
  <si>
    <t>Tasa de Suicidio  x 100.000 Habitantes en el Departamento del Quindío.
Tasa de Violencia Intrafamiliar x 100.000 Habitantes en el Departamento del Quindío.
Cobertura de municipios del departamento con procesos de implementación de proyectos  productivos  para las personas con discapacidad</t>
  </si>
  <si>
    <t>Revisar y ajustar    la Política Pública de  Discapacidad</t>
  </si>
  <si>
    <t xml:space="preserve">Documento de Política Pública de  Discapacidad revisado y ajustado.  </t>
  </si>
  <si>
    <t>202000363-0110</t>
  </si>
  <si>
    <t xml:space="preserve">  Revisar y ajustar  la política pública de  discapacidad del departamento del Quindío  </t>
  </si>
  <si>
    <t>Disminuir  la tasa de suicidio, violencia intrafamiliar, además de aumentar la Cobertura de los  municipios del departamento con procesos de implementación de proyectos  productivos  para las personas con discapacidad,  a través de la participación de los diferentes actores qué contribuyen de manera integral a garantizar una mejor calidad de vida de las personas objeto de intervención.</t>
  </si>
  <si>
    <t xml:space="preserve">318 SECRETARIA DE SALUD </t>
  </si>
  <si>
    <t xml:space="preserve">Inspección, vigilancia y control. "Tú y yo con salud certificada" </t>
  </si>
  <si>
    <t>Mortalidad por diarreica aguda (EDA) menores 5 años (número de muertes anual)</t>
  </si>
  <si>
    <t>Servicio de concepto sanitario</t>
  </si>
  <si>
    <t>Servicio de registro sanitario</t>
  </si>
  <si>
    <t>Conceptos sanitarios expedidos</t>
  </si>
  <si>
    <t>202000363-0116</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</si>
  <si>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</si>
  <si>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</si>
  <si>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</si>
  <si>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</si>
  <si>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</si>
  <si>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</si>
  <si>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</si>
  <si>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</si>
  <si>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</si>
  <si>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Realizar la vigilancia epidemiológica de plaguicidas en el marco del programa VEO (vigilancia epidemiológica de organofosforados y carba matos) en los municipios de competencia departamental.</t>
  </si>
  <si>
    <t>Servicio de vigilancia y control de las políticas y normas técnicas, científicas y administrativas expedidas por el Ministerio de Salud y Protección Social</t>
  </si>
  <si>
    <t>Municipios con procesos de vigilancia epidemiológica de plaguicidas organofosforados y carbamatos realizados.</t>
  </si>
  <si>
    <t>Entidades territoriales con vigilancia y control realizados</t>
  </si>
  <si>
    <t xml:space="preserve">Implementación del Modelo Operativo de Inspección, Vigilancia y Control IVC sanitario en los municipios de competencia departamental. </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</si>
  <si>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</si>
  <si>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</si>
  <si>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</si>
  <si>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</si>
  <si>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</si>
  <si>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</si>
  <si>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</si>
  <si>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Tasa mortalidad en menores de 5 años (por 1.000 nacidos vivos).</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</si>
  <si>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</si>
  <si>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</si>
  <si>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</si>
  <si>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</si>
  <si>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</si>
  <si>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202000363-0117</t>
  </si>
  <si>
    <t xml:space="preserve"> Implementación de programas de promoción social en poblaciones  especiales en el Departamento del Quindío </t>
  </si>
  <si>
    <t>Fortalecer la gestión intersectorial en salud de los grupos con alta vulnerabilidad</t>
  </si>
  <si>
    <t>Tasa de violencia de género</t>
  </si>
  <si>
    <t>Servicio de adopción y seguimiento de acciones y medidas especiales</t>
  </si>
  <si>
    <t>Acciones y medidas especiales ejecutadas</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</si>
  <si>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</si>
  <si>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</si>
  <si>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</si>
  <si>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202000363-0118</t>
  </si>
  <si>
    <t xml:space="preserve"> Fortalecimiento de las actividades de vigilancia y control del laboratorio de salud pública en el Departamento del Quindío  
</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</si>
  <si>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</si>
  <si>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</si>
  <si>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</si>
  <si>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</si>
  <si>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 xml:space="preserve">Informes de los resultados obtenidos en la vigilancia sanitaria </t>
  </si>
  <si>
    <t>Asistencias técnicas realizadas</t>
  </si>
  <si>
    <t>202000363-0119</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</si>
  <si>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</si>
  <si>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</si>
  <si>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</si>
  <si>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</si>
  <si>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</si>
  <si>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202000363-0120</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</si>
  <si>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</si>
  <si>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</si>
  <si>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Razón de mortalidad materna (por 100.000 nacidos vivos)</t>
  </si>
  <si>
    <t>Servicio de certificaciones en buenas prácticas</t>
  </si>
  <si>
    <t>Certificaciones expedidas</t>
  </si>
  <si>
    <t>Porcentaje de atención institucional del parto por personal calificado.</t>
  </si>
  <si>
    <t>Porcentaje de población asegurada al SGSSS</t>
  </si>
  <si>
    <t>Servicios de comunicación y divulgación en inspección, vigilancia y control</t>
  </si>
  <si>
    <t>Eventos de rendición de cuentas realizados</t>
  </si>
  <si>
    <t>202000363-0121</t>
  </si>
  <si>
    <t xml:space="preserve"> Apoyo operativo a la inversión social en salud en el Departamento del Quindío </t>
  </si>
  <si>
    <t xml:space="preserve">Fortalecer los procesos estratégicos, administrativos y misionales del sector salud en el departamento del Quindío  </t>
  </si>
  <si>
    <t>Porcentaje de nacidos vivos con 4 o más controles prenatales</t>
  </si>
  <si>
    <t>Servicio del ejercicio del procedimiento administrativo sancionatorio</t>
  </si>
  <si>
    <t xml:space="preserve">Procesos con aplicación del procedimiento administrativo sancionatorio tramitados </t>
  </si>
  <si>
    <t>Porcentaje transmisión materno -infantil del VIH.</t>
  </si>
  <si>
    <t>Servicio de Gestión de Peticiones, Quejas, Reclamos y Denuncias</t>
  </si>
  <si>
    <t>Preguntas Quejas Reclamos y Denuncias Gestionadas</t>
  </si>
  <si>
    <t>Servicio de implementación de estrategias para el fortalecimiento del control social en salud</t>
  </si>
  <si>
    <t>Estrategias para el fortalecimiento del control social en salud implementadas</t>
  </si>
  <si>
    <t>Servicio de gestión del riesgo para temas de consumo, aprovechamiento biológico, calidad e inocuidad de los alimentos.</t>
  </si>
  <si>
    <t>Campañas de gestión del riesgo para temas de consumo, aprovechamiento biológico, calidad e inocuidad de los alimentos implementadas</t>
  </si>
  <si>
    <t>202000363-0122</t>
  </si>
  <si>
    <t xml:space="preserve"> Aprovechamiento biológico y consumo de  alimentos inocuos  en el Departamento del Quindío </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</si>
  <si>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</si>
  <si>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</si>
  <si>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</si>
  <si>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</si>
  <si>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</si>
  <si>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202000363-0123</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</si>
  <si>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</si>
  <si>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</si>
  <si>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</si>
  <si>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DNP</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</si>
  <si>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</si>
  <si>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</si>
  <si>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Entidades Administradoras de Planes Básicos EAPB con Rutas de obligatorio cumplimiento Implementadas</t>
  </si>
  <si>
    <t>Campañas de promoción de la salud  y prevención de riesgos asociados a condiciones no transmisibles implementadas (190503100)</t>
  </si>
  <si>
    <t>Letalidad por dengue.</t>
  </si>
  <si>
    <t xml:space="preserve"> 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</si>
  <si>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</si>
  <si>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</si>
  <si>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</si>
  <si>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</si>
  <si>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Mortalidad por dengue (casos)
Letalidad por dengue.</t>
  </si>
  <si>
    <t>Formulación e implementación del Plan Departamental en Salud Ambiental de adaptación al cambio climático.</t>
  </si>
  <si>
    <t>Plan Departamental en Salud Ambiental de adaptación al cambio climático implementado</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</si>
  <si>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</si>
  <si>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</si>
  <si>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</si>
  <si>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</si>
  <si>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</si>
  <si>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202000363-0124</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</si>
  <si>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</si>
  <si>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</si>
  <si>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</si>
  <si>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</si>
  <si>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</si>
  <si>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</si>
  <si>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</si>
  <si>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202000363-0125</t>
  </si>
  <si>
    <t>Consolidación de acciones de promoción de la salud y prevención primaria en salud mental en el Departamento del Quindío.</t>
  </si>
  <si>
    <t>Disminuir la morbimortalidad asociada a la salud mental principalmente de la violencia intrafamiliar</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</si>
  <si>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</si>
  <si>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</si>
  <si>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</si>
  <si>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</si>
  <si>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</si>
  <si>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</si>
  <si>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</si>
  <si>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202000363-0126</t>
  </si>
  <si>
    <t>Proyecto de promoción de estilos de vida saludable, control y vigilancia en la gestión del riesgo de condiciones no transmisibles en el Departamento del Quindío.</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</si>
  <si>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</si>
  <si>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</si>
  <si>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</si>
  <si>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202000363-0127</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</si>
  <si>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</si>
  <si>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</si>
  <si>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</si>
  <si>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</si>
  <si>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</si>
  <si>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</si>
  <si>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</si>
  <si>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</si>
  <si>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 xml:space="preserve">
1905015</t>
  </si>
  <si>
    <t xml:space="preserve">
190501500</t>
  </si>
  <si>
    <t>202000363-0128</t>
  </si>
  <si>
    <t xml:space="preserve">Difusión de la estrategia de gestión integral y de control en vectores, zoonosis y cambio climático del Departamento del Quindío.   </t>
  </si>
  <si>
    <t xml:space="preserve"> Disminuir en índice de enfermedades trasmisión vectorial y zoonosis en la población   </t>
  </si>
  <si>
    <t>202000363-0129</t>
  </si>
  <si>
    <t xml:space="preserve"> Fortalecimiento de la inclusión social para la disminución del riesgo de contraer enfermedades transmisibles en el Departamento del Quindío.  </t>
  </si>
  <si>
    <t xml:space="preserve"> Aumentar la adherencia al tratamiento de los pacientes con diagnóstico de tuberculosis  </t>
  </si>
  <si>
    <t>Servicio de gestión del riesgo para enfermedades emergentes, reemergentes y desatendidas.</t>
  </si>
  <si>
    <t>202000363-0130</t>
  </si>
  <si>
    <t xml:space="preserve">Implementación de acciones para la contención de la pandemia Tú y Yo contra COVID </t>
  </si>
  <si>
    <t>Eficiente gestión integral del riesgo en eventos de interés en salud pública, ante la pandemia por COVID-19</t>
  </si>
  <si>
    <t>Servicios de atención en salud pública en situaciones de emergencias y desastres</t>
  </si>
  <si>
    <t xml:space="preserve">Servicio de atención en salud pública en situaciones de emergencias y desastres </t>
  </si>
  <si>
    <t>Personas en capacidad de ser atendidas</t>
  </si>
  <si>
    <t>202000363-0131</t>
  </si>
  <si>
    <t xml:space="preserve"> Prevención, preparación, contingencia, mitigación y superación de emergencias y contingencias por eventos relacionados con la salud pública en el Departamento del Quindío.  </t>
  </si>
  <si>
    <t>Coordinar acciones  para la gestión integral  del riesgo en  situaciones de emergencias y desastres  en las IPS y autoridad sanitaria del departamento</t>
  </si>
  <si>
    <t>Servicio de gestión del riesgo para abordar situaciones prevalentes de origen laboral</t>
  </si>
  <si>
    <t>Campañas de gestión del riesgo para abordar situaciones prevalentes de origen laboral implementadas</t>
  </si>
  <si>
    <t>202000363-0132</t>
  </si>
  <si>
    <t xml:space="preserve"> Prevención vigilancia y control de eventos en el ámbito laboral en el Departamento del Quindío.  </t>
  </si>
  <si>
    <t xml:space="preserve">Disminuir los eventos de origen laboral en los trabajadores del sector formal del Departamento del Quindío </t>
  </si>
  <si>
    <t xml:space="preserve">Documentos de planeación en epidemiología y demografía elaborados </t>
  </si>
  <si>
    <t>202000363-0133</t>
  </si>
  <si>
    <t xml:space="preserve"> Fortalecimiento del sistema de vigilancia en salud pública en el Departamento del Quindío.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</si>
  <si>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</si>
  <si>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</si>
  <si>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</si>
  <si>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1905009
</t>
  </si>
  <si>
    <t xml:space="preserve">Centros reguladores de urgencias, emergencias y desastres dotados </t>
  </si>
  <si>
    <t>Centros reguladores de urgencias, emergencias y desastres dotados y funcionando.</t>
  </si>
  <si>
    <t xml:space="preserve">190500900
</t>
  </si>
  <si>
    <t>Centros reguladores de urgencias, emergencias y desastres dotados</t>
  </si>
  <si>
    <t>202000363-0134</t>
  </si>
  <si>
    <t xml:space="preserve">Fortalecimiento de la red de urgencias y emergencias en el Departamento del Quindío. </t>
  </si>
  <si>
    <t>Fortalecer en la integración de la red hospitalaria del departamento del Quindío.</t>
  </si>
  <si>
    <t>202000363-0135</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</si>
  <si>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</si>
  <si>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</si>
  <si>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Servicio de promoción de afiliaciones al régimen contributivo del Sistema General de Seguridad Social de las personas con capacidad de pago</t>
  </si>
  <si>
    <t>Personas con capacidad de pago afiliadas</t>
  </si>
  <si>
    <t>202000363-0136</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</si>
  <si>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</si>
  <si>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</si>
  <si>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</si>
  <si>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</si>
  <si>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</si>
  <si>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</si>
  <si>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</si>
  <si>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Servicio de apoyo con tecnologías para prestación de servicios en salud</t>
  </si>
  <si>
    <t>Población inimputable atendida</t>
  </si>
  <si>
    <t>Pacientes atendidos con medicamentos en salud financiados con cargo a los recursos de la UPC del Régimen Subsidiado</t>
  </si>
  <si>
    <t>202000363-0137</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</si>
  <si>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</si>
  <si>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</si>
  <si>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</si>
  <si>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</si>
  <si>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</si>
  <si>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Servicios de reconocimientos de deuda</t>
  </si>
  <si>
    <t>Porcentaje de recursos pagados</t>
  </si>
  <si>
    <t>Tasa de mujeres de 15 a 19 años qué han sido madres o están en embarazo.</t>
  </si>
  <si>
    <t>Servicio de asistencia técnica a Instituciones prestadoras de servicios de salud</t>
  </si>
  <si>
    <t>Instituciones Prestadoras de Servicios de salud asistidas técnicamente</t>
  </si>
  <si>
    <t>202000363-0138</t>
  </si>
  <si>
    <t xml:space="preserve">Fortalecimiento de la red de prestación de servicios pública del Departamento del Quindío.   </t>
  </si>
  <si>
    <t>Aumento en la calidad del proceso de reporte, vigilancia y control del manejo de los recursos de salud en el Departamento del Quindío</t>
  </si>
  <si>
    <t>Cobertura útil con esquema completo de vacunación para la edad (triple viral a los 5 años)
Porcentaje de nacidos vivos con 4 o más controles prenatales</t>
  </si>
  <si>
    <t>Hospitales de primer nivel de atención dotados</t>
  </si>
  <si>
    <t>Servicio de apoyo a la prestación del servicio de transporte de pacientes</t>
  </si>
  <si>
    <t>Entidades de la red pública en salud apoyadas en la adquisición de ambulancias</t>
  </si>
  <si>
    <t>Servicio de tecnologías en salud financiadas con la unidad de pago por capitación - UPC (1906023)</t>
  </si>
  <si>
    <t>Pacientes atendidos</t>
  </si>
  <si>
    <t>324  SECRETARÍA TECNOLÓGIAS DE LA INFORMACIÓN Y COMUNICACIÓN</t>
  </si>
  <si>
    <t>Tecnologías de la información y las comunicaciones</t>
  </si>
  <si>
    <t>Facilitar en acceso y uso de las Tecnologías de la Información y las Comunicaciones (TIC)  en todo el territorio nacional.  "Tú y yo somos ciudadanos TIC"</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</si>
  <si>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</si>
  <si>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</si>
  <si>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</si>
  <si>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202000363-0038</t>
  </si>
  <si>
    <t xml:space="preserve"> Fortalecimiento  y apoyo a las tecnologías de la información y las comunicaciones en el departamento del Quindío.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</si>
  <si>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</si>
  <si>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</si>
  <si>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</si>
  <si>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</si>
  <si>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</si>
  <si>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</si>
  <si>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</si>
  <si>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</si>
  <si>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</si>
  <si>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</si>
  <si>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</si>
  <si>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202000363-0139</t>
  </si>
  <si>
    <t>Apoyo a la apropiación tecnológica y generacional en el Departamento del Quindío</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</si>
  <si>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</si>
  <si>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</si>
  <si>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</si>
  <si>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</si>
  <si>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</si>
  <si>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</si>
  <si>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</si>
  <si>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Servicio de promoción de la industria de tecnologías de la información</t>
  </si>
  <si>
    <t xml:space="preserve">Eventos para  promoción  de productos y servicio de la industria TI realizados </t>
  </si>
  <si>
    <t>202000363-0039</t>
  </si>
  <si>
    <t xml:space="preserve"> Fortalecimiento del sector empresarial del departamento del Quindío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</si>
  <si>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</si>
  <si>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empresas de la industria de Tecnologías de la Información para mejorar sus capacidades de comercialización e innovación</t>
  </si>
  <si>
    <t>Empresas beneficiadas con actividades de fortalecimiento  de la industria TI</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</si>
  <si>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</si>
  <si>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</si>
  <si>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</si>
  <si>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</si>
  <si>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</si>
  <si>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</si>
  <si>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</si>
  <si>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3903</t>
  </si>
  <si>
    <t xml:space="preserve">Desarrollo tecnológico e innovación para el crecimiento empresarial </t>
  </si>
  <si>
    <t>Tasa de crecimiento de empresas en el sector productivo transformadas digitalmente</t>
  </si>
  <si>
    <t>Servicio de apoyo para la transferencia de conocimiento y tecnología</t>
  </si>
  <si>
    <t>390300501</t>
  </si>
  <si>
    <t>Nuevas tecnologías adoptadas</t>
  </si>
  <si>
    <t>202000363-0140</t>
  </si>
  <si>
    <t xml:space="preserve">   Implementación de la transformación digital del sector empresarial en el Departamento del Quindío  </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</si>
  <si>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</si>
  <si>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</si>
  <si>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</si>
  <si>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</si>
  <si>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</si>
  <si>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Incremento de emprendimientos y/o empresas de base tecnológica</t>
  </si>
  <si>
    <t>Servicios de comunicación con enfoque en ciencia tecnología y sociedad</t>
  </si>
  <si>
    <t>Juguetes, juegos o videojuegos para la comunicación de la ciencia, tecnología e innovación producidos</t>
  </si>
  <si>
    <t>202000363-0040</t>
  </si>
  <si>
    <t xml:space="preserve">  Implementación  y  divulgación de la estrategia    "Quindío innovador y competitivo"   </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</si>
  <si>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</si>
  <si>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</si>
  <si>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</si>
  <si>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</si>
  <si>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202000363-0141</t>
  </si>
  <si>
    <t xml:space="preserve"> Fortalecimiento de la estrategia de gobierno digital  en la Administración Departamental y  Entes Territoriales del departamento del  Quindío  </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</si>
  <si>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</si>
  <si>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</si>
  <si>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</si>
  <si>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</si>
  <si>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</si>
  <si>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</si>
  <si>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</si>
  <si>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</si>
  <si>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</si>
  <si>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TOTAL ADMINISTRACIÓN CENTRAL:</t>
  </si>
  <si>
    <t xml:space="preserve">319 INDEPORTES QUINDÍO </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</si>
  <si>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</si>
  <si>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</si>
  <si>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</si>
  <si>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</si>
  <si>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</si>
  <si>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</si>
  <si>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</si>
  <si>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</si>
  <si>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</si>
  <si>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</si>
  <si>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</si>
  <si>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</si>
  <si>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</si>
  <si>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</si>
  <si>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 xml:space="preserve">Cobertura de ligas apoyadas en el departamento del Quindío.
Tasa de consumo de sustancias psicoactivas X100.000 habitantes en el Departamento del Quindío
</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</si>
  <si>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</si>
  <si>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</si>
  <si>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</si>
  <si>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</si>
  <si>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Porcentaje de medallería del departamento del Quindío en los Juegos Nacionales.
Tasa de consumo de sustancias psicoactivas X100.000 habitantes en el Departamento del Quindío</t>
  </si>
  <si>
    <t>Servicio de organización de eventos deportivos de alto rendimiento</t>
  </si>
  <si>
    <t>Juegos Deportivos Realizados</t>
  </si>
  <si>
    <t>Eventos deportivos de alto rendimiento con sede en Colombia realizados</t>
  </si>
  <si>
    <t>Desarrollo de los  XXII JUEGOS DEPORTIVOS NACIONALES Y VI JUEGOS PARANACIONALES   2023</t>
  </si>
  <si>
    <t xml:space="preserve">Incrementar la cobertura de municipios qué participan en programas de recreación, actividad física , deporte social y comunitario, además de la  disminución de las tasas de sustancias psicoactivas en el Departamento del Quindío, a través de la participación deportiva y organización de eventos multideportivos  </t>
  </si>
  <si>
    <t xml:space="preserve">320 PROMOTORA DE VIVIENDA </t>
  </si>
  <si>
    <t xml:space="preserve">Infraestructura  deportiva y/o recreativa con procesos   constructivos, mejorados,  ampliados, mantenidos y/o  reforzados </t>
  </si>
  <si>
    <t xml:space="preserve">Infraestructura   deportiva y/o recreativa construida, mejorada, ampliada, mantenida, y/o  reforzada </t>
  </si>
  <si>
    <t>202000363-0142</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</si>
  <si>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</si>
  <si>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</si>
  <si>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202000363-0143</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</si>
  <si>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</si>
  <si>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</si>
  <si>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</si>
  <si>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202000363-0144</t>
  </si>
  <si>
    <t xml:space="preserve"> Mantenimiento de obras complementarias a la infraestructura vial en el Departamento del Quindío</t>
  </si>
  <si>
    <t>Incrementar en índice de competitividad  en el sector de infraestructura vial,    a través de obras físicas complementarias, garantizando condiciones de eficiencia, seguridad y confort a los a sus usuarios</t>
  </si>
  <si>
    <t xml:space="preserve">Servicio de asistencia técnica y jurídica en saneamiento y titulación de predios </t>
  </si>
  <si>
    <t>400100100</t>
  </si>
  <si>
    <t>Entidades territoriales asistidas técnica y jurídicamente</t>
  </si>
  <si>
    <t>202000363-0145</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</si>
  <si>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</si>
  <si>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</si>
  <si>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Déficit cuantitativo de viviendas por hogares</t>
  </si>
  <si>
    <t xml:space="preserve">Viviendas de Interés Prioritario urbanas construidas </t>
  </si>
  <si>
    <t>400101700</t>
  </si>
  <si>
    <t>Viviendas de Interés Prioritario urbanas construidas</t>
  </si>
  <si>
    <t xml:space="preserve">Viviendas de Interés Prioritario urbanas mejoradas </t>
  </si>
  <si>
    <t>400101800</t>
  </si>
  <si>
    <t>Viviendas de Interés Prioritario urbanas mejoradas</t>
  </si>
  <si>
    <t>Estudios de preinversión e inversión</t>
  </si>
  <si>
    <t>400103000</t>
  </si>
  <si>
    <t>Servicio de apoyo financiero para adquisición de vivienda</t>
  </si>
  <si>
    <t>Equipamientos construidos</t>
  </si>
  <si>
    <t>4001014</t>
  </si>
  <si>
    <t>Viviendas de Interés Social urbanas construidas</t>
  </si>
  <si>
    <t>400101400</t>
  </si>
  <si>
    <t>4001015</t>
  </si>
  <si>
    <t>321 INSTITUTO DEPARTAMENTAL DE TRANSITO</t>
  </si>
  <si>
    <t>Seguridad de Transporte. "Tú y yo seguros en la vía"</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</si>
  <si>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</si>
  <si>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</si>
  <si>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</si>
  <si>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</si>
  <si>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</si>
  <si>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202000363-0149</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</si>
  <si>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</si>
  <si>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</si>
  <si>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</si>
  <si>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</si>
  <si>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</si>
  <si>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Programa de control y atención del tránsito y en transporte formulado e implementado</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</si>
  <si>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</si>
  <si>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</si>
  <si>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</si>
  <si>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</si>
  <si>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TOTAL ENTIDADES DESCENTRALIZADAS</t>
  </si>
  <si>
    <t>TOTAL POAI:</t>
  </si>
  <si>
    <t>LINEA ESTRATEGICA</t>
  </si>
  <si>
    <t>307 SECREATRÍA DE HACIENDA</t>
  </si>
  <si>
    <t>CODIGO</t>
  </si>
  <si>
    <t>RECURSO ORDINARIO</t>
  </si>
  <si>
    <t>COFINANCIACION NACION</t>
  </si>
  <si>
    <t>SGP APSB</t>
  </si>
  <si>
    <t>RECURSOS ORDINARIO</t>
  </si>
  <si>
    <t>FONDO DE SEGURIDAD</t>
  </si>
  <si>
    <t>IVA TELEFONIA</t>
  </si>
  <si>
    <t>IMPUESTO AL REGISTRO</t>
  </si>
  <si>
    <t>MONOPOLIO</t>
  </si>
  <si>
    <t>SGP EDUCACION PS</t>
  </si>
  <si>
    <t>SGP EDUCACION AP</t>
  </si>
  <si>
    <t>FONDO RECURSO PAE</t>
  </si>
  <si>
    <t>SGP SALUD</t>
  </si>
  <si>
    <t>OTROS RECURSOS</t>
  </si>
  <si>
    <t>RECURSOS NACION</t>
  </si>
  <si>
    <t>PROPIOS</t>
  </si>
  <si>
    <t>No.</t>
  </si>
  <si>
    <t>SUB TOTAL SECTOR CENTRAL</t>
  </si>
  <si>
    <t>SUB TOTAL DESCENTRALIZADOS</t>
  </si>
  <si>
    <t>TOTAL DEPARTAMENTO QUINDIO</t>
  </si>
  <si>
    <t>TOTAL</t>
  </si>
  <si>
    <t>VALOR DEL PROYECTO</t>
  </si>
  <si>
    <t>Implementación del Modelo Integrado de Planeación y de Gestión MIPG de la Administración Departamental del Quindío (Dimensiones de Talento humano, Información y Comunicación y Gestión del Conocimiento).</t>
  </si>
  <si>
    <t xml:space="preserve">Implementación de un programa de modernización de la gestión Administrativa de la Administración Departamental del Quindío. "TÚ y YO SOMOS QUINDÍO" </t>
  </si>
  <si>
    <t xml:space="preserve">Fortalecimiento del Consejo Territorial de Planeación del Departamento del Quindío. "TÚ y YO SOMOS QUINDIO" </t>
  </si>
  <si>
    <t xml:space="preserve"> Implementación de eventos de Rendición Pública de Cuentas de divulgación de gestión de la Administración Departamental “TU Y YO SOMOS QUINDIO" </t>
  </si>
  <si>
    <t xml:space="preserve"> Implementación   de instrumentos de planificación para el Ordenamiento y la Gestión Territorial Departamental del Quindío “TU Y YO SOMOS QUINDIO" </t>
  </si>
  <si>
    <t xml:space="preserve">  Implementación del Observatorio Económico de la Administración Departamental del Quindío "TU Y YO SOMOS QUINDIO"</t>
  </si>
  <si>
    <t>Fortalecimiento del Banco de Programas y Proyectos de la administración departamental “TÚ Y YO SOMOS QUINDIO"</t>
  </si>
  <si>
    <t>Asistencia Técnica en Instrumentos de Planificación y gestión territorial en los municipios del Departamento del Quindío.</t>
  </si>
  <si>
    <t xml:space="preserve"> Implementación del Modelo Integrado de Planeación y de Gestión MIPG en la Administración Departamental del   Quindío</t>
  </si>
  <si>
    <t xml:space="preserve">Implementación de un programa para en cumplimiento de las políticas y prácticas contables de la administración departamental    del Quindío.    </t>
  </si>
  <si>
    <t>Mantenimiento de las instituciones públicas y/o de seguridad y justicia del estado en el Departamento Quindío</t>
  </si>
  <si>
    <t>Mejoramiento de la infraestructura física de las instituciones de salud pública y bienestar social del departamento en el Departamento del Quindío</t>
  </si>
  <si>
    <t xml:space="preserve"> Mantenimiento de la infraestructura Educativa en el Departamento del Quindío. </t>
  </si>
  <si>
    <t xml:space="preserve">Mantenimiento, mejoramiento y/o rehabilitación de obras físicas de infraestructura deportiva y recreativa en el Departamento del Quindío  </t>
  </si>
  <si>
    <t>Mantenimiento, mejoramiento, rehabilitación y/o atención de las vías para garantizar la movilidad y competitividad del departamento del Quindío.</t>
  </si>
  <si>
    <t>Construcción, mantenimiento y/o mejoramiento de obras de estabilización de Taludes en el Departamento del Quindío</t>
  </si>
  <si>
    <t xml:space="preserve"> Construcción, mantenimiento y/o mejoramiento de obras de infraestructura para la mitigación y atención de desastres en los municipios del departamento del Quindío </t>
  </si>
  <si>
    <t>Mantenimiento de la infraestructura institucional o de edificios públicos en el Departamento del Quindío</t>
  </si>
  <si>
    <t xml:space="preserve">309 SECRETARÍA DEL INTERIOR </t>
  </si>
  <si>
    <t>Implementación de acciones con los entes municipales, para la reducción de los delitos en el Departamento del Quindío</t>
  </si>
  <si>
    <t xml:space="preserve">  Implementación de métodos para la resolución de conflictos y el fortalecimiento de la seguridad de los ciudadanos en el Departamento del Quindío  </t>
  </si>
  <si>
    <t xml:space="preserve">Implementación de acciones de apoyo para la resocialización de las personas privadas de la libertad en las Instituciones Penitenciarias del Departamento del Quindío. </t>
  </si>
  <si>
    <t xml:space="preserve"> Implementación y/o fortalecimiento de los planes para la gestión del riesgo y desastres en las Instituciones Educativas Oficiales del Departamento </t>
  </si>
  <si>
    <t>Asistencia, atención y capacitación a la población excombatiente en el Departamento del Quindío</t>
  </si>
  <si>
    <t xml:space="preserve"> Fortalecimiento de los organismos de seguridad del Departamento del Quindío, para mejorar la convivencia, preservación del orden público y la seguridad ciudadana. </t>
  </si>
  <si>
    <t xml:space="preserve"> Implementación del Plan Integral de prevención de vulneraciones de los Derechos Humanos DDHH e infracciones al Derecho Internacional Humanitario DIH en el Departamento del Quindío </t>
  </si>
  <si>
    <t>Fortalecimiento institucional de las entidades municipales para la consolidación de la convivencia, el orden público y la seguridad ciudadana en el departamento del Quindío</t>
  </si>
  <si>
    <t>Fortalecimiento de los procesos de planificación del territorio para en conocimiento y reducción del riesgo en el Departamento del Quindío.</t>
  </si>
  <si>
    <t xml:space="preserve"> Fortalecimiento de la participación ciudadana, veedurías y organizaciones comunales para el cumplimiento, protección y restablecimiento de los derechos contemplados en la Constitución Política.   </t>
  </si>
  <si>
    <t xml:space="preserve">Implementación de la "Ruta de la felicidad y la identidad quindiana", para el fortalecimiento y visibilizarían de los procesos artísticos y culturales en el Departamento del Quindío  </t>
  </si>
  <si>
    <t xml:space="preserve">Implementación del programa "Tú y Yo Somos Cultura", para el fortalecimiento a la lectura, escritura y bibliotecas en el Departamento del Quindío   </t>
  </si>
  <si>
    <t xml:space="preserve"> Apoyo artistas y gestores culturales del departamento del Quindío con el beneficio de la Seguridad Social.  </t>
  </si>
  <si>
    <t xml:space="preserve">Fortalecimiento de la competitividad y productividad en el departamento del Quindío </t>
  </si>
  <si>
    <t xml:space="preserve"> Fortalecimiento del sector empresarial para el acceso a nuevos mercados en el departamento del Quindío </t>
  </si>
  <si>
    <t xml:space="preserve"> Mejoramiento de la competitividad del departamento como destino turístico sostenible y de calidad.</t>
  </si>
  <si>
    <t xml:space="preserve"> Fortalecimiento de la promoción turística del destino Quindío a nivel nacional e internacional </t>
  </si>
  <si>
    <t xml:space="preserve"> Fortalecimiento e implementación de procesos de mercadeo y comercialización agropecuaria en el Departamento del Quindío.                </t>
  </si>
  <si>
    <t xml:space="preserve"> Servicio de apoyo en la formulación y estructuración de proyectos de Desarrollo Rural e inclusión productiva campesina en el Departamento del Quindío  </t>
  </si>
  <si>
    <t xml:space="preserve"> Fortalecimiento de eventos y ferias para la competitividad productiva y empresarial del sector rural en el Departamento del Quindío </t>
  </si>
  <si>
    <t xml:space="preserve"> Implementación de procesos de sanidad e inocuidad alimentaria en el departamento del Quindío. </t>
  </si>
  <si>
    <t xml:space="preserve"> Fortalecimiento de nuevos emprendimientos e iniciativas clúster de las cadenas promisorias agropecuarias en el Departamento del Quindío.                     </t>
  </si>
  <si>
    <t xml:space="preserve">Fortalecimiento de los procesos de Gestión Ambiental Urbana y Rural para la protección del Paisaje y la Biodiversidad en el departamento del   Quindío  </t>
  </si>
  <si>
    <t xml:space="preserve"> Apoyo a la generación de entornos amigables para los animales domésticos y silvestres, en el departamento del Quindío </t>
  </si>
  <si>
    <t xml:space="preserve">Realización de campañas de sensibilización y apropiación del patrimonio ambiental del paisaje, la biodiversidad y sus servicios ecosistémicos en el Departamento del Quindío </t>
  </si>
  <si>
    <t xml:space="preserve">Implementación de un programa de protección del patrimonio ambiental, en paisaje, la biodiversidad y sus servicios ecosistémicos en el Departamento del Quindío  </t>
  </si>
  <si>
    <t>Implementar la Política de Transparencia, Acceso a la Información Pública y Lucha Contra la Corrupción del Modelo Integrado de Planificación y Gestión MIPG, articulada con el "Pacto por la Integridad, Transparencia y Legalidad” en el departamento del Quindío</t>
  </si>
  <si>
    <t>Desarrollo e implementación de una estrategia de comunicaciones de la gestión institucional de la Administración Departamental del Quindío "Hacia un gobierno abierto".</t>
  </si>
  <si>
    <t>Fortalecimiento de las capacidades institucionales de la administración departamental del Quindío, para generar condiciones de gobernanza territorial, participación, administración eficiente y transparente.</t>
  </si>
  <si>
    <t>Fortalecimiento de las Tecnologías de Información y Comunicación TIC, para una innovación educativa de calidad en el departamento del Quindío.</t>
  </si>
  <si>
    <t>Fortalecimiento de estrategias para en acceso y la permanencia de los estudiantes egresados de los Establecimientos Educativos Oficiales a la educación superior o terciaria en el Departamento del Quindío.</t>
  </si>
  <si>
    <t>Implementación y fortalecimiento de las estrategias qué fomenten la ciencia, la tecnología y la innovación en las Instituciones Educativas Oficiales del Departamento.</t>
  </si>
  <si>
    <t xml:space="preserve">Diseño e implementación de campañas para la promoción de la vida y prevención del consumo de sustancias psicoactivas en el Departamento del Quindío, “TU Y YO UNIDOS POR LA VIDA".  </t>
  </si>
  <si>
    <t xml:space="preserve"> Implementación acciones de fortalecimiento de los entornos protectores de los jóvenes en barrios vulnerables de los municipios, del Departamento del Quindío. </t>
  </si>
  <si>
    <t>Diseño e implementación de un Modelo de Atención Integral a la Primera Infancia a través de las Rutas Integrales de Atención RIAS en el departamento del Quindío</t>
  </si>
  <si>
    <t xml:space="preserve"> Implementación de la política pública de Familia para la promoción del desarrollo integral de la población del Departamento del Quindío. </t>
  </si>
  <si>
    <t xml:space="preserve"> Revisión, ajuste e implementación de la política pública de primera infancia, infancia y adolescencia en el Departamento del Quindío  </t>
  </si>
  <si>
    <t xml:space="preserve"> Implementación de la política pública de juventud en el Departamento del Quindío  </t>
  </si>
  <si>
    <t xml:space="preserve"> Diseño e implementación de programa de acompañamiento familiar y comunitario con enfoque preventivo en los tipos de violencias en el Departamento del Quindío "TU Y YO COMPROMETIDOS CON LA FAMILIA" </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</si>
  <si>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</si>
  <si>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  Fortalecimiento de unidades productivas colectivas juveniles para la generación de ingresos en el departamento del Quindío  </t>
  </si>
  <si>
    <t xml:space="preserve">  Formulación e Implementación del programa departamental para atención al ciudadano migrante y de repatriación.  </t>
  </si>
  <si>
    <t xml:space="preserve">   Desarrollo de un programa de acompañamiento familiar y comunitario en procesos de Inclusión social y productivos para el emprendimiento de alternativas de generación de ingresos en el departamento del Quindío  </t>
  </si>
  <si>
    <t xml:space="preserve">  Formulación e implementación   de proyectos productivos dirigidos a la población en condición de discapacidad y sus familias para la generación de ingresos y fortalecimiento del entorno familiar.  </t>
  </si>
  <si>
    <t xml:space="preserve">  Apoyo en la construcción e Implementación de los Planes de Vida de los Cabildos y Resguardos indígenas asentados en el Departamento del Quindío "TU Y YO UNIDOS CON DIGNIDAD".  </t>
  </si>
  <si>
    <t xml:space="preserve">   Apoyo en la articulación de la oferta social para la población habitante de calle del Departamento del Quindío  </t>
  </si>
  <si>
    <t xml:space="preserve">    Implementación de la política pública de diversidad sexual en el Departamento del Quindío 2019-2029  </t>
  </si>
  <si>
    <t xml:space="preserve"> Servicio de atención integral e inclusión para el bienestar de los adultos mayores del departamento del Quindío </t>
  </si>
  <si>
    <t xml:space="preserve">  Revisar y ajustar la política pública de discapacidad del departamento del Quindío  </t>
  </si>
  <si>
    <t xml:space="preserve">Implementación de la Casa de la Mujer Empoderada para la promoción a la participación ciudadana de Mujeres en escenarios sociales, políticos y en fortalecimiento de la asociatividad en el departamento del Quindío " TU Y YO CON LAS MUJERES EMPODERADAS." </t>
  </si>
  <si>
    <t xml:space="preserve"> Implementación de estrategias de acompañamiento y asesoría a las asociaciones de mujeres del departamento del Quindío</t>
  </si>
  <si>
    <t>Desarrollo de jornadas de capacitación, sensibilización y prevención del trabajo infantil y protección del adolescente en el departamento del Quindío.</t>
  </si>
  <si>
    <t xml:space="preserve"> Implementación del programa de liderazgo para la participación femenina en escenarios sociales y políticos del departamento del Quindío</t>
  </si>
  <si>
    <t>Formulación de la política pública de adulto mayor en el Departamento del Quindío.</t>
  </si>
  <si>
    <t xml:space="preserve"> Implementación de programas de promoción social en poblaciones especiales en el Departamento del Quindío </t>
  </si>
  <si>
    <t xml:space="preserve"> Fortalecimiento de las actividades de vigilancia y control del laboratorio de salud pública en el Departamento del Quindío  </t>
  </si>
  <si>
    <t xml:space="preserve"> Aprovechamiento biológico y consumo de alimentos inocuos en el Departamento del Quindío </t>
  </si>
  <si>
    <t>Control en Salud Ambiental para la consecución de un estado de vida saludable de la población del Departamento del Quindío.</t>
  </si>
  <si>
    <t>Prestación de Servicios a la Población no Afiliada al Sistema General de Seguridad Social en Salud y en los no POS a la Población del Régimen Subsidiado.</t>
  </si>
  <si>
    <t>324 SECRETARÍA TECNOLÓGIAS DE LA INFORMACIÓN Y COMUNICACIÓN</t>
  </si>
  <si>
    <t xml:space="preserve"> Fortalecimiento y apoyo a las tecnologías de la información y las comunicaciones en el departamento del Quindío.</t>
  </si>
  <si>
    <t xml:space="preserve">  Implementación y divulgación de la estrategia    "Quindío innovador y competitivo"   </t>
  </si>
  <si>
    <t xml:space="preserve"> Fortalecimiento de la estrategia de gobierno digital en la Administración Departamental y los Entes Territoriales del departamento del Quindío  </t>
  </si>
  <si>
    <t>TOTAL SECTOR CENTRAL</t>
  </si>
  <si>
    <t>202000363-0009</t>
  </si>
  <si>
    <t>202000363-0010</t>
  </si>
  <si>
    <t>202000363-0013</t>
  </si>
  <si>
    <t>Desarrollo de los XXII JUEGOS DEPORTIVOS NACIONALES Y VI JUEGOS PARANACIONALES   2023</t>
  </si>
  <si>
    <t>Mantenimiento de obras complementarias de la infraestructura deportiva y recreativa en el Departamento del Quindío.</t>
  </si>
  <si>
    <t xml:space="preserve">  Mantenimiento de obras complementarias a la infraestructura vial en el Departamento del Quindío </t>
  </si>
  <si>
    <t xml:space="preserve"> Apoyo en la formulación y ejecución de proyectos de vivienda en el Departamento del Quindío   </t>
  </si>
  <si>
    <t>202000363-0146</t>
  </si>
  <si>
    <t>Implementación del programa de seguridad vial en el Departamento del Quindío “TU Y YO POR LA SEGURIDAD VIAL"</t>
  </si>
  <si>
    <t>TOTAL DESCENTRALIZADOS</t>
  </si>
  <si>
    <t>TOTAL INVERSION DEPARTAMENTAL</t>
  </si>
  <si>
    <t xml:space="preserve">Programa de saneamiento fiscal y financiero ejecutado </t>
  </si>
  <si>
    <t>Rendición de cuentas realizadas</t>
  </si>
  <si>
    <t>Programa de saneamiento fiscal y financiero ejecutado</t>
  </si>
  <si>
    <t>Mantenimiento  de la infraestructura institucional o de edificios públicos en el Departamento del Quindío</t>
  </si>
  <si>
    <t xml:space="preserve"> Implementación  de acciones con los Entes Municipales, para la reducción de los delitos en el Departamento del Quindío</t>
  </si>
  <si>
    <t xml:space="preserve">Fortalecimiento institucional de la entidades municipales para la consolidación de la convivencia, el orden público  y la seguridad ciudadana  en el departamento del Quindío  </t>
  </si>
  <si>
    <t>Gestión del riesgo de desastres y emergencias. "Tú y yo preparados en gestión del riesgo"</t>
  </si>
  <si>
    <t>Municipios con organismos de Acción Comunal fortalecidos.</t>
  </si>
  <si>
    <t xml:space="preserve">Servicio de información para el sector artístico y cultural </t>
  </si>
  <si>
    <t>Sistema de información del sector artístico cultural en operación</t>
  </si>
  <si>
    <t>Servicio de asistencia técnica a las MiPymes para el acceso a nuevos mercados</t>
  </si>
  <si>
    <t>Servicio de educación informal en el marco de la conservación de la biodiversidad y los Servicio ecosistémicos</t>
  </si>
  <si>
    <t>Calidad y fomento de la Educación "Tú y yo preparados para la educación superior"</t>
  </si>
  <si>
    <t>Ciencia, Tecnología e Innovación</t>
  </si>
  <si>
    <t xml:space="preserve"> Diseño e implementación de un  Modelo de  atención integral a la primera infancia  a través de las Rutas Integrales de Atención  RIA en el Departamento del  Quindío </t>
  </si>
  <si>
    <t>Formulación de la política pública de adulto mayor en el Departamento del Quindío</t>
  </si>
  <si>
    <t>Disminuir Tasa de Suicidio  y Violencia Intrafamiliar, además del aumento de la Cobertura a los grupos de adulto mayor, a través de la formulación de la política pública de este grupo de población en el Departamento del Quindío.</t>
  </si>
  <si>
    <t>Fomento del desarrollo de aplicaciones, software y contenidos para impulsar la apropiación de las Tecnologías de la Información y las Comunicaciones (TIC) "Quindío paraíso empresarial TIC-Quindío TIC"</t>
  </si>
  <si>
    <t>Estrategias de promoción de la cultura ciudadana implementadas</t>
  </si>
  <si>
    <t>Formular e Implementar un programa de control, prevención y atención del tránsito y el transporte en los municipios y vías de jurisdicción del IDTQ.</t>
  </si>
  <si>
    <t>COMPROMISOS</t>
  </si>
  <si>
    <t>OBLIGACIONES</t>
  </si>
  <si>
    <t>PRESUPUESTADO</t>
  </si>
  <si>
    <t>F-PLA-43</t>
  </si>
  <si>
    <t xml:space="preserve"> 1 de 1</t>
  </si>
  <si>
    <t>COMPROMISO</t>
  </si>
  <si>
    <t>OBLIGACIÓN</t>
  </si>
  <si>
    <t xml:space="preserve"> Banco de Programas y Proyectos del Departamento  con procesos de fortalecimiento</t>
  </si>
  <si>
    <t>SOBRETASA ACPM</t>
  </si>
  <si>
    <t>ESTAMPILLA PRO CULTURA</t>
  </si>
  <si>
    <t>ESTAMILLA PRO DESARROLLO</t>
  </si>
  <si>
    <t xml:space="preserve">COFINANCIACIÓN NACIÓN </t>
  </si>
  <si>
    <t>ESTAMPILLA PRO ADULTO MAYOR</t>
  </si>
  <si>
    <t>COFINANCIACIÓN NACIÓN</t>
  </si>
  <si>
    <t>ESTAMPILLA PRODESARROLLO</t>
  </si>
  <si>
    <t>% OBLIG</t>
  </si>
  <si>
    <t>% COMPR</t>
  </si>
  <si>
    <t>% OBLIGACIONES</t>
  </si>
  <si>
    <t>% OBLI</t>
  </si>
  <si>
    <t>% COMPROMIOS</t>
  </si>
  <si>
    <t>Registros sanitarios expedidos</t>
  </si>
  <si>
    <t xml:space="preserve"> MONOPOLIO</t>
  </si>
  <si>
    <t>Actualizar los procesos y procedimientos implementados al interior de la entidad, que permitan desarrollar una modernización administrativa incluyente y participativa.</t>
  </si>
  <si>
    <t>APROPIACION DEFINITIVA</t>
  </si>
  <si>
    <t>% PD</t>
  </si>
  <si>
    <t>DISPONIBILIDADES</t>
  </si>
  <si>
    <t>% CD</t>
  </si>
  <si>
    <t>% RP</t>
  </si>
  <si>
    <t xml:space="preserve">OBLIGACIONES </t>
  </si>
  <si>
    <t>PAGOS</t>
  </si>
  <si>
    <t>% PAGOS</t>
  </si>
  <si>
    <t>SALDOS
DISPONIBLES</t>
  </si>
  <si>
    <t>% SALDO DISP.</t>
  </si>
  <si>
    <t>Administrativa</t>
  </si>
  <si>
    <t>Planeación</t>
  </si>
  <si>
    <t>Hacienda</t>
  </si>
  <si>
    <t>Aguas e Infraestructura</t>
  </si>
  <si>
    <t>Interior</t>
  </si>
  <si>
    <t>Turismo Industria y Comercio</t>
  </si>
  <si>
    <t>Agricultura, Desarrollo Rural y Medio Ambiente</t>
  </si>
  <si>
    <t>Oficina Privada</t>
  </si>
  <si>
    <t>Familia</t>
  </si>
  <si>
    <t>Salud</t>
  </si>
  <si>
    <t>Tecnología de la Información y las Comunicaciones</t>
  </si>
  <si>
    <t>Indeportes</t>
  </si>
  <si>
    <t>Promotora</t>
  </si>
  <si>
    <t>IDTQ</t>
  </si>
  <si>
    <t>Presupuesto</t>
  </si>
  <si>
    <t>Valor</t>
  </si>
  <si>
    <t>%</t>
  </si>
  <si>
    <t xml:space="preserve">Disponibilidades </t>
  </si>
  <si>
    <t>Compromisos</t>
  </si>
  <si>
    <t>Obligaciones</t>
  </si>
  <si>
    <t xml:space="preserve">Pagos </t>
  </si>
  <si>
    <t>Disponible</t>
  </si>
  <si>
    <t>SEMAFORO CUMPLIMIENTO</t>
  </si>
  <si>
    <t xml:space="preserve">Sobresaliente  (Entre 80%-100%) </t>
  </si>
  <si>
    <t>Satisfactorio (Entre 70% -79%)</t>
  </si>
  <si>
    <t>Medio (Entre 60%-69%)</t>
  </si>
  <si>
    <t>Bajo (Entre 40% - 59%)</t>
  </si>
  <si>
    <t>Critico (Entre 0% - 39%)</t>
  </si>
  <si>
    <t>Sector Central</t>
  </si>
  <si>
    <t>Descentralizados</t>
  </si>
  <si>
    <t>Departamento Quindío</t>
  </si>
  <si>
    <t>TOTAL DEPARTAMENTO</t>
  </si>
  <si>
    <t>RECURSO DEL CRÉDITO</t>
  </si>
  <si>
    <t>RECURSO DEL CREDITO</t>
  </si>
  <si>
    <t>MATERIAL DE RIO</t>
  </si>
  <si>
    <t>TASA PRODEPORTE</t>
  </si>
  <si>
    <t>SEPTIEMBRE 30  DE  2021</t>
  </si>
  <si>
    <t>Prestación de servicios de salud. "Tú y yo con servicios de salud"</t>
  </si>
  <si>
    <t>Aseguramiento y prestación integral de servicios de salud</t>
  </si>
  <si>
    <t>Fortalecimiento de la educación media para la articulación con la educación superior o terciaria. "Tú y yo preparados para la educación superior"</t>
  </si>
  <si>
    <t xml:space="preserve">Calidad y fomento de la educación superior </t>
  </si>
  <si>
    <t>Facilitar el acceso y uso de las Tecnologías de la Información y las Comunicaciones en todo el departamento del Quindio. "Tú y yo somos ciudadanos TIC"</t>
  </si>
  <si>
    <t>Facilitar el acceso y uso de las Tecnologías de la Información y las Comunicaciones en todo el territorio nacional</t>
  </si>
  <si>
    <t>Desarrollo integral de la primera infancia a la juventud, y fortalecimiento de las capacidades de las familias de niñas, niños y adolescentes</t>
  </si>
  <si>
    <t>Fomento a la recreación, la actividad física y el deporte. "Tú y yo en la recreación y el deporte"</t>
  </si>
  <si>
    <t>Fomento a la recreación, la actividad física y el deporte para desarrollar entornos de convivencia y paz</t>
  </si>
  <si>
    <t>Participación ciudadana y política y respeto por los derechos humanos y diversidad de creencias. "Quindío integrado y participativo"</t>
  </si>
  <si>
    <t>Fortalecimiento del buen gobierno para el respeto y garantía de los derechos humanos</t>
  </si>
  <si>
    <t>Prevención y atención de desastres y emergencias. "Tú y yo preparados en gestión del riesgo"</t>
  </si>
  <si>
    <t>Gestión del riesgo de desastres y emergencias</t>
  </si>
  <si>
    <t>Fortalecimiento de la gestión y desempeño institucional. “Quindío con una administración al servicio de la ciudadanía"</t>
  </si>
  <si>
    <t>Fortalecimiento a la gestión y dirección de la administración pública territorial</t>
  </si>
  <si>
    <t>Promoción al acceso a la justicia</t>
  </si>
  <si>
    <t>Promoción al acceso a la justicia."Tú y yo con justicia"</t>
  </si>
  <si>
    <t>Sistema penitenciario y carcelario en el marco de los derechos humanos</t>
  </si>
  <si>
    <t xml:space="preserve">Inclusión productiva de pequeños productores rurales </t>
  </si>
  <si>
    <t>Servicios financieros y gestión del riesgo para las actividades agropecuarias y rurales</t>
  </si>
  <si>
    <t>Ordenamiento social y uso productivo del territorio rural</t>
  </si>
  <si>
    <t>Aprovechamiento de mercados externos</t>
  </si>
  <si>
    <t>Sanidad agropecuaria e inocuidad agroalimentaria</t>
  </si>
  <si>
    <t>Ciencia, tecnología e innovación agropecuaria</t>
  </si>
  <si>
    <t>Infraestructura productiva y comercialización</t>
  </si>
  <si>
    <t>Productividad y competitividad de las empresas colombianas</t>
  </si>
  <si>
    <t xml:space="preserve">Productividad y competitividad de las empresas. "Tú y yo con empresas competitivas" </t>
  </si>
  <si>
    <t>Inspección, vigilancia y control. “Tú y yo con salud certificada”</t>
  </si>
  <si>
    <t xml:space="preserve">Inspección, vigilancia y control </t>
  </si>
  <si>
    <t>Salud pública</t>
  </si>
  <si>
    <t>Calidad, cobertura y fortalecimiento de la educación inicial, prescolar, básica y media</t>
  </si>
  <si>
    <t>Fomento del desarrollo de aplicaciones, software y contenidos para impulsar la apropiación de las Tecnologías de la Información y las Comunicaciones (TIC) "Quindío paraiso empresarial TIC-Quindío TIC"</t>
  </si>
  <si>
    <t>Fomento del desarrollo de aplicaciones, software y contenidos para impulsar la apropiación de las Tecnologías de la Información y las Comunicaciones (TIC)</t>
  </si>
  <si>
    <t>Infraestructura red vial regional</t>
  </si>
  <si>
    <t>Seguridad de transporte</t>
  </si>
  <si>
    <t>Fortalecimiento del desempeño ambiental de los sectores productivos. "Tú y yo guardianes de la biodiversidad".</t>
  </si>
  <si>
    <t>Fortalecimiento del desempeño ambiental de los sectores productivos</t>
  </si>
  <si>
    <t>Conservación de la biodiversidad y sus servicios ecosistémicos</t>
  </si>
  <si>
    <t>Gestión de la información y el conocimiento ambiental.  “Tú y yo conscientes con la naturaleza”</t>
  </si>
  <si>
    <t>Ordenamiento ambiental territorial</t>
  </si>
  <si>
    <t>Gestión del cambio climático para un desarrollo bajo en carbono y resiliente al clima</t>
  </si>
  <si>
    <t>Promoción y acceso efectivo a procesos culturales y artísticos</t>
  </si>
  <si>
    <t>Gestión, protección y salvaguardia del patrimonio cultural colombiano</t>
  </si>
  <si>
    <t>Generación y formalización del empleo</t>
  </si>
  <si>
    <t>Derechos fundamentales del trabajo y fortalecimiento del diálogo social</t>
  </si>
  <si>
    <t>Generación de una cultura que valora y gestiona el conocimiento y la innovación</t>
  </si>
  <si>
    <t>Acceso a soluciones de vivienda</t>
  </si>
  <si>
    <t>Acceso de la población a los servicios de agua potable y saneamiento básico</t>
  </si>
  <si>
    <t>Atención, asistencia  y reparación integral a las víctimas</t>
  </si>
  <si>
    <t>Inclusión social y productiva para la población en situación de vulnerabilidad</t>
  </si>
  <si>
    <t>Atención integral de población en situación permanente de desprotección social y/o familiar</t>
  </si>
  <si>
    <t>Formación y preparación de deportistas</t>
  </si>
  <si>
    <t>Fortalecimiento de la convivencia y la seguridad ciudadana</t>
  </si>
  <si>
    <t xml:space="preserve">Promoción de los métodos de resolución de conflictos </t>
  </si>
  <si>
    <t>Secretaría Administrativa</t>
  </si>
  <si>
    <t>Liderazgo, gobernabilidad y transparencia</t>
  </si>
  <si>
    <t>Secretaría de Planeación</t>
  </si>
  <si>
    <t>Inclusión social y equidad</t>
  </si>
  <si>
    <t>Secretaría de Hacienda y Finanzas Públicas</t>
  </si>
  <si>
    <t>Territorio, ambiente y desarrollo sostenible</t>
  </si>
  <si>
    <t>Secretaría del Interior</t>
  </si>
  <si>
    <t>Secretaría de Aguas e Infraestructura</t>
  </si>
  <si>
    <t xml:space="preserve">Territorio, ambiente y desarrollo sostenible </t>
  </si>
  <si>
    <t>Secretaría de Cultura</t>
  </si>
  <si>
    <t>Productividad y competitividad</t>
  </si>
  <si>
    <t>Secretaría de Agricultura, Desarrollo Rural y Medio Ambiente</t>
  </si>
  <si>
    <t>Secretaría de Turismo Industria y Comercio</t>
  </si>
  <si>
    <t>Dirección Oficina Privada</t>
  </si>
  <si>
    <t>INCLUSION SOCIAL Y EQUIDAd</t>
  </si>
  <si>
    <t>Secretaría de Educación</t>
  </si>
  <si>
    <t>Secretaría de Familia</t>
  </si>
  <si>
    <t>Secretaria de Salud</t>
  </si>
  <si>
    <t>Instituto Departamental de Deporte y Recreación del Quindío</t>
  </si>
  <si>
    <t>PROYECTA Empresa para el Desarrollo Territorial</t>
  </si>
  <si>
    <t xml:space="preserve">Territorio, Ambiente y Desarrollo Sostenible </t>
  </si>
  <si>
    <t xml:space="preserve">Instituto Departamental de Tránsito del Quindío </t>
  </si>
  <si>
    <t>CÓDIGO
PDD</t>
  </si>
  <si>
    <t>NOMBRE PDD</t>
  </si>
  <si>
    <t>CÓDIGO CATÁLOGO MGA</t>
  </si>
  <si>
    <t xml:space="preserve">PROGRAMA CATÁLOGO MGA </t>
  </si>
  <si>
    <t>META PRODUCTO</t>
  </si>
  <si>
    <t>PROGRAMADA
VIGENCIA</t>
  </si>
  <si>
    <t>FUENTES DE FINANCIACIÓN</t>
  </si>
  <si>
    <t>TOTAL PRESUPUESTO</t>
  </si>
  <si>
    <t>PRESUPUESTO</t>
  </si>
  <si>
    <t xml:space="preserve"> FORMATO</t>
  </si>
  <si>
    <t>SEGUIMIENTO PLAN OPERATIVO ANUAL DE INVERSIONES POAI 2021 
PLAN DE DESARROLLO 2020-2023 "TÚ Y YO SOMOS QUINDIO "</t>
  </si>
  <si>
    <t>PLAN DE DESARROLLO 2020 -2023 "TÚ Y YO SOMOS QUINDIO"</t>
  </si>
  <si>
    <t xml:space="preserve">  John Harold Valencia Rodríguez, Secretario Administrativo</t>
  </si>
  <si>
    <t>Luis Alberto Rincón Quintero, Secretario de Planeación</t>
  </si>
  <si>
    <t>Maria Aleyda  Marin Betancourt, Secretaria de Hacienda</t>
  </si>
  <si>
    <t>Gilberto Gutiérrez Caro, Secretario de Aguas e Infraestructura</t>
  </si>
  <si>
    <t>Magda  Inés Montoya  Naranjo, Secretaria del Interior</t>
  </si>
  <si>
    <t>Juan Manuel Rodríguez Brito, Secretario de Cultura</t>
  </si>
  <si>
    <t>Carlos Andrés Arredondo Salazar, Secretario de Turismo, Industria y Comercio</t>
  </si>
  <si>
    <t>Julio César Cortés Pulido, Secretario de Agricultura, Desarrollo Rural y Medio Ambiente</t>
  </si>
  <si>
    <t>Jorge Hernan Zapata Botero, Director Oficina Privada</t>
  </si>
  <si>
    <t>Liliana María Sánchez Villada, Secretaria de Educación</t>
  </si>
  <si>
    <t>Alba Johana Quejada Torres, Secretaria de Familia</t>
  </si>
  <si>
    <t>Yenny Alexandra Trujillo Álzate, Secretaria de Salud</t>
  </si>
  <si>
    <t>John Mario Liévano Fernández, Secretario Tecnologías de la Información y las Comunicaciones</t>
  </si>
  <si>
    <t>Fernando  Augusto Paneso Zuluaga, Gerente INDEPORTES QUINDÍO</t>
  </si>
  <si>
    <t>Pablo César Herrera Correa, Gerente General PROYECTA para el Desarrollo Territorial</t>
  </si>
  <si>
    <t>Secretaría Tecnologías de la Información y las Comunicaciones</t>
  </si>
  <si>
    <t xml:space="preserve">Prestación de Servicios a la Población no Afiliada al Sistema General de Seguridad Social en Salud y en el NO POS a la Población del Régimen Subsidiado.  </t>
  </si>
  <si>
    <t>R - A</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</si>
  <si>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</si>
  <si>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</si>
  <si>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ESTAMPILLAS 
PRO - CULTURA
PRO - ADULTO MAYOR
PRO - DESARROLLO</t>
  </si>
  <si>
    <t>COFINANCIACIÓN NACION</t>
  </si>
  <si>
    <t xml:space="preserve">FONDO LOCAL - RENTAS CEDIDAS </t>
  </si>
  <si>
    <t>FONDO LOCAL DE SALUD  -  RENTAS CEDIDAS -LOTERIAS-RIFAS-PREMIO - IVA LICORES SALUD</t>
  </si>
  <si>
    <t>LINEA ESTRATÉGICA</t>
  </si>
  <si>
    <t>PLAN OPERATIVO ANUAL DE INVERSIÓN POAI  2021  
PLAN DE DESARROLLO 2020-2023 "TÚ Y YO SOMOS QUINDIO" 
A SEPTIEMBRE 30 DE 2021</t>
  </si>
  <si>
    <t>PLAN DE DESARROLLO 2020-2023 "TÚ Y YO SOMOS QUINDIO"
PLAN OPERATIVO ANUAL DE INVERSIÓN POAI  2021 - 
SEPTIEMBRE 30 DE 2021</t>
  </si>
  <si>
    <t>PLAN OPERATIVO ANUAL DE INVERSIONES
SECTOR CENTRAL ADMINISTRACION DEPARTAMENTAL
SEPTIEMBRE 30 DE 2021</t>
  </si>
  <si>
    <t>PLAN OPERATIVO ANUAL DE INVERSIONES
ENTES DESCENTRALIZADOS
SEPTIEMBRE 30 DE 2021</t>
  </si>
  <si>
    <t>PLAN OPERATIVO ANUAL DE INVERSIONES 2021
SECTOR CENTRAL ADMINISTRACION DEPARTAMENTAL
RECURSOS POR LINEA ESTRATÉGICA
A SEPTIEMBRE 30 DE 2021</t>
  </si>
  <si>
    <t>PLAN OPERATIVO ANUAL DE INVERSIONES 2021
ENTES DESCENTRALIZADOS
RECURSOS POR LINEA ESTRATÉGICA
A SEPTIEMBRE 30 DE 2021</t>
  </si>
  <si>
    <t>PLAN OPERATIVO ANUAL DE INVERSIONES 2021
DEPARTAMENTO DEL QUINDIO
RECURSOS POR LINEA ESTRATÉGICA
SEPTIEMBRE 30 DE 2021</t>
  </si>
  <si>
    <t>ESTADO DE EJECUCIÓN DE PROYECTOS DE INVERSION PUBLICA DEPARTAMENTAL VIABILIZADOS, PRIORIZADOS Y APROBADOS 
A SEPTIEMBRE 30 2021</t>
  </si>
  <si>
    <t xml:space="preserve">
EJECUCION GASTOS DE INVERSION POR UNIDAD EJECUTORA SECTOR CENTRAL
PLAN DE DESARROLLO 2020 - 2023 "TU Y YO SOMOS QUINDIO"
SEPTIEMBRE 30 DE 2021</t>
  </si>
  <si>
    <t xml:space="preserve">SGP PRESTACIÓN DE SERVICIOS - EDUCACIÓN  - Y CONECTIVIDAD
(25-21-09-188)
</t>
  </si>
  <si>
    <t>Formular el Plan de Fortalecimiento de Capacidades en Salud Ambiental en coordinación con el Consejo Territorial de Salud Ambiental COTSA</t>
  </si>
  <si>
    <t>Acumulada</t>
  </si>
  <si>
    <t>ACUMULADA (MANTENIMIENTO)
NO ACUAULADA (INCREMENTO)</t>
  </si>
  <si>
    <t>No Acumulada</t>
  </si>
  <si>
    <t>Instancias territoriales de coordinación institucional asistidas y apoyadas</t>
  </si>
  <si>
    <t>Fernando Baena Villareal Director IDTQ</t>
  </si>
  <si>
    <t xml:space="preserve">EJECUTADA
VIGENCIA </t>
  </si>
  <si>
    <t>TOTAL POAI</t>
  </si>
  <si>
    <t>Inclusión Social y Equidad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</si>
</sst>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quot;$&quot;\ * #,##0.00_);_(&quot;$&quot;\ * \(#,##0.00\);_(&quot;$&quot;\ * &quot;-&quot;??_);_(@_)"/>
    <numFmt numFmtId="167" formatCode="_(* #,##0.00_);_(* \(#,##0.00\);_(* &quot;-&quot;??_);_(@_)"/>
    <numFmt numFmtId="168" formatCode="_([$$-240A]\ * #,##0.00_);_([$$-240A]\ * \(#,##0.00\);_([$$-240A]\ * &quot;-&quot;??_);_(@_)"/>
    <numFmt numFmtId="169" formatCode="00"/>
    <numFmt numFmtId="170" formatCode="_(* #,##0_);_(* \(#,##0\);_(* &quot;-&quot;??_);_(@_)"/>
    <numFmt numFmtId="171" formatCode="_-* #,##0_-;\-* #,##0_-;_-* &quot;-&quot;??_-;_-@_-"/>
    <numFmt numFmtId="172" formatCode="_-* #,##0.00_-;\-* #,##0.00_-;_-* &quot;-&quot;_-;_-@_-"/>
    <numFmt numFmtId="173" formatCode="_-&quot;$&quot;\ * #,##0.00_-;\-&quot;$&quot;\ * #,##0.00_-;_-&quot;$&quot;\ * &quot;-&quot;_-;_-@_-"/>
    <numFmt numFmtId="174" formatCode="_-* #,##0.00\ _€_-;\-* #,##0.00\ _€_-;_-* &quot;-&quot;??\ _€_-;_-@_-"/>
    <numFmt numFmtId="175" formatCode="_ [$€-2]\ * #,##0.00_ ;_ [$€-2]\ * \-#,##0.00_ ;_ [$€-2]\ * &quot;-&quot;??_ "/>
    <numFmt numFmtId="176" formatCode="#,##0."/>
    <numFmt numFmtId="177" formatCode="_ * #,##0.00_ ;_ * \-#,##0.00_ ;_ * &quot;-&quot;??_ ;_ @_ "/>
  </numFmts>
  <fonts count="65" x14ac:knownFonts="1">
    <font>
      <sz val="11"/>
      <color theme="1"/>
      <name val="Calibri"/>
      <family val="2"/>
      <scheme val="minor"/>
    </font>
    <font>
      <sz val="11"/>
      <color theme="1"/>
      <name val="Calibri"/>
      <family val="2"/>
      <scheme val="minor"/>
    </font>
    <font>
      <sz val="12"/>
      <name val="Arial"/>
      <family val="2"/>
    </font>
    <font>
      <b/>
      <sz val="12"/>
      <name val="Arial"/>
      <family val="2"/>
    </font>
    <font>
      <b/>
      <sz val="10"/>
      <name val="Arial"/>
      <family val="2"/>
    </font>
    <font>
      <sz val="11"/>
      <color indexed="8"/>
      <name val="Calibri"/>
      <family val="2"/>
    </font>
    <font>
      <sz val="12"/>
      <color theme="1"/>
      <name val="Arial"/>
      <family val="2"/>
    </font>
    <font>
      <b/>
      <sz val="11"/>
      <color rgb="FF6F6F6E"/>
      <name val="Calibri"/>
      <family val="2"/>
      <scheme val="minor"/>
    </font>
    <font>
      <sz val="10"/>
      <name val="Arial"/>
      <family val="2"/>
    </font>
    <font>
      <sz val="8"/>
      <name val="Calibri"/>
      <family val="2"/>
      <scheme val="minor"/>
    </font>
    <font>
      <b/>
      <sz val="11"/>
      <color theme="0"/>
      <name val="Calibri"/>
      <family val="2"/>
      <scheme val="minor"/>
    </font>
    <font>
      <sz val="11"/>
      <color rgb="FF000000"/>
      <name val="Calibri"/>
      <family val="2"/>
    </font>
    <font>
      <sz val="12"/>
      <color theme="1"/>
      <name val="Arial"/>
      <family val="2"/>
    </font>
    <font>
      <b/>
      <sz val="12"/>
      <color theme="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8"/>
      <color theme="3"/>
      <name val="Calibri Light"/>
      <family val="2"/>
      <scheme val="major"/>
    </font>
    <font>
      <sz val="10"/>
      <color theme="1"/>
      <name val="Arial"/>
      <family val="2"/>
    </font>
    <font>
      <sz val="12"/>
      <color theme="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
      <color indexed="8"/>
      <name val="Courier"/>
      <family val="3"/>
    </font>
    <font>
      <b/>
      <sz val="1"/>
      <color indexed="8"/>
      <name val="Courier"/>
      <family val="3"/>
    </font>
    <font>
      <b/>
      <i/>
      <sz val="1"/>
      <color indexed="8"/>
      <name val="Courier"/>
      <family val="3"/>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charset val="1"/>
    </font>
    <font>
      <sz val="11"/>
      <color rgb="FFFFFFFF"/>
      <name val="Arial"/>
      <family val="2"/>
      <charset val="1"/>
    </font>
    <font>
      <b/>
      <sz val="12"/>
      <color rgb="FFFFFFFF"/>
      <name val="Arial"/>
      <family val="2"/>
    </font>
    <font>
      <sz val="12"/>
      <color rgb="FF000000"/>
      <name val="Arial"/>
      <family val="2"/>
    </font>
    <font>
      <b/>
      <sz val="12"/>
      <color theme="1"/>
      <name val="Arial"/>
      <family val="2"/>
    </font>
    <font>
      <b/>
      <sz val="12"/>
      <color rgb="FF000000"/>
      <name val="Arial"/>
      <family val="2"/>
    </font>
    <font>
      <b/>
      <sz val="10"/>
      <color theme="1"/>
      <name val="Arial"/>
      <family val="2"/>
    </font>
    <font>
      <b/>
      <sz val="9"/>
      <name val="Arial"/>
      <family val="2"/>
    </font>
    <font>
      <sz val="11"/>
      <name val="Calibri"/>
      <family val="2"/>
      <scheme val="minor"/>
    </font>
    <font>
      <b/>
      <sz val="14"/>
      <name val="Arial"/>
      <family val="2"/>
    </font>
    <font>
      <sz val="11"/>
      <name val="Arial"/>
      <family val="2"/>
    </font>
    <font>
      <sz val="12"/>
      <color rgb="FF00B050"/>
      <name val="Arial"/>
      <family val="2"/>
    </font>
    <font>
      <sz val="10"/>
      <color indexed="8"/>
      <name val="MS Sans Serif"/>
    </font>
    <font>
      <b/>
      <sz val="12"/>
      <color indexed="8"/>
      <name val="Times New Roman"/>
      <family val="1"/>
    </font>
    <font>
      <sz val="10"/>
      <color theme="0"/>
      <name val="Arial"/>
      <family val="2"/>
    </font>
  </fonts>
  <fills count="7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rgb="FF002060"/>
        <bgColor indexed="64"/>
      </patternFill>
    </fill>
    <fill>
      <patternFill patternType="solid">
        <fgColor rgb="FFFFC000"/>
        <bgColor indexed="64"/>
      </patternFill>
    </fill>
    <fill>
      <patternFill patternType="solid">
        <fgColor rgb="FFECECEC"/>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FF"/>
        <bgColor indexed="64"/>
      </patternFill>
    </fill>
    <fill>
      <patternFill patternType="solid">
        <fgColor rgb="FF522B57"/>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6600"/>
        <bgColor rgb="FFFF9900"/>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3" tint="0.79998168889431442"/>
        <bgColor indexed="64"/>
      </patternFill>
    </fill>
  </fills>
  <borders count="77">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ECECEC"/>
      </left>
      <right style="medium">
        <color rgb="FFECECEC"/>
      </right>
      <top style="medium">
        <color rgb="FFECECEC"/>
      </top>
      <bottom style="medium">
        <color rgb="FFECECEC"/>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indexed="64"/>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000000"/>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style="medium">
        <color indexed="64"/>
      </left>
      <right style="medium">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rgb="FF000000"/>
      </bottom>
      <diagonal/>
    </border>
    <border>
      <left/>
      <right style="thin">
        <color indexed="64"/>
      </right>
      <top style="thin">
        <color rgb="FF000000"/>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s>
  <cellStyleXfs count="682">
    <xf numFmtId="168"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7" fontId="5" fillId="0" borderId="0" applyFont="0" applyFill="0" applyBorder="0" applyAlignment="0" applyProtection="0"/>
    <xf numFmtId="168" fontId="7" fillId="7" borderId="10">
      <alignment horizontal="center" vertical="center" wrapText="1"/>
    </xf>
    <xf numFmtId="0" fontId="1" fillId="0" borderId="0"/>
    <xf numFmtId="167" fontId="1" fillId="0" borderId="0" applyFont="0" applyFill="0" applyBorder="0" applyAlignment="0" applyProtection="0"/>
    <xf numFmtId="0" fontId="7" fillId="7" borderId="10">
      <alignment horizontal="center" vertical="center" wrapText="1"/>
    </xf>
    <xf numFmtId="168" fontId="8" fillId="0" borderId="0"/>
    <xf numFmtId="165"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0" fontId="10" fillId="12" borderId="14">
      <alignment horizontal="center" vertical="center" wrapText="1"/>
    </xf>
    <xf numFmtId="0" fontId="8" fillId="0" borderId="0"/>
    <xf numFmtId="0" fontId="11" fillId="0" borderId="0"/>
    <xf numFmtId="0" fontId="8" fillId="0" borderId="0"/>
    <xf numFmtId="0" fontId="1" fillId="0" borderId="0"/>
    <xf numFmtId="0" fontId="1" fillId="0" borderId="0"/>
    <xf numFmtId="0" fontId="14" fillId="0" borderId="37" applyNumberFormat="0" applyFill="0" applyAlignment="0" applyProtection="0"/>
    <xf numFmtId="0" fontId="15" fillId="0" borderId="38" applyNumberFormat="0" applyFill="0" applyAlignment="0" applyProtection="0"/>
    <xf numFmtId="0" fontId="16" fillId="0" borderId="39" applyNumberFormat="0" applyFill="0" applyAlignment="0" applyProtection="0"/>
    <xf numFmtId="0" fontId="16" fillId="0" borderId="0" applyNumberFormat="0" applyFill="0" applyBorder="0" applyAlignment="0" applyProtection="0"/>
    <xf numFmtId="0" fontId="17" fillId="16" borderId="0" applyNumberFormat="0" applyBorder="0" applyAlignment="0" applyProtection="0"/>
    <xf numFmtId="0" fontId="18" fillId="17" borderId="0" applyNumberFormat="0" applyBorder="0" applyAlignment="0" applyProtection="0"/>
    <xf numFmtId="0" fontId="19" fillId="18" borderId="40" applyNumberFormat="0" applyAlignment="0" applyProtection="0"/>
    <xf numFmtId="0" fontId="20" fillId="19" borderId="41" applyNumberFormat="0" applyAlignment="0" applyProtection="0"/>
    <xf numFmtId="0" fontId="21" fillId="19" borderId="40" applyNumberFormat="0" applyAlignment="0" applyProtection="0"/>
    <xf numFmtId="0" fontId="22" fillId="0" borderId="42" applyNumberFormat="0" applyFill="0" applyAlignment="0" applyProtection="0"/>
    <xf numFmtId="0" fontId="10" fillId="20" borderId="43" applyNumberFormat="0" applyAlignment="0" applyProtection="0"/>
    <xf numFmtId="0" fontId="23" fillId="0" borderId="0" applyNumberFormat="0" applyFill="0" applyBorder="0" applyAlignment="0" applyProtection="0"/>
    <xf numFmtId="0" fontId="1" fillId="21" borderId="44" applyNumberFormat="0" applyFont="0" applyAlignment="0" applyProtection="0"/>
    <xf numFmtId="0" fontId="24" fillId="0" borderId="0" applyNumberFormat="0" applyFill="0" applyBorder="0" applyAlignment="0" applyProtection="0"/>
    <xf numFmtId="0" fontId="25" fillId="0" borderId="45" applyNumberFormat="0" applyFill="0" applyAlignment="0" applyProtection="0"/>
    <xf numFmtId="0" fontId="2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26" fillId="45" borderId="0" applyNumberFormat="0" applyBorder="0" applyAlignment="0" applyProtection="0"/>
    <xf numFmtId="0" fontId="1" fillId="0" borderId="0"/>
    <xf numFmtId="168" fontId="1" fillId="0" borderId="0"/>
    <xf numFmtId="175" fontId="1" fillId="31" borderId="0" applyNumberFormat="0" applyBorder="0" applyAlignment="0" applyProtection="0"/>
    <xf numFmtId="175" fontId="1" fillId="0" borderId="0"/>
    <xf numFmtId="168" fontId="1" fillId="0" borderId="0"/>
    <xf numFmtId="0" fontId="28" fillId="0" borderId="0" applyNumberFormat="0" applyFill="0" applyBorder="0" applyAlignment="0" applyProtection="0"/>
    <xf numFmtId="175" fontId="15" fillId="0" borderId="38" applyNumberFormat="0" applyFill="0" applyAlignment="0" applyProtection="0"/>
    <xf numFmtId="175" fontId="1" fillId="0" borderId="0"/>
    <xf numFmtId="175" fontId="1" fillId="44" borderId="0" applyNumberFormat="0" applyBorder="0" applyAlignment="0" applyProtection="0"/>
    <xf numFmtId="175" fontId="10" fillId="20" borderId="43" applyNumberFormat="0" applyAlignment="0" applyProtection="0"/>
    <xf numFmtId="175" fontId="21" fillId="19" borderId="40" applyNumberFormat="0" applyAlignment="0" applyProtection="0"/>
    <xf numFmtId="175" fontId="1" fillId="0" borderId="0"/>
    <xf numFmtId="168" fontId="1" fillId="0" borderId="0"/>
    <xf numFmtId="175" fontId="26" fillId="33" borderId="0" applyNumberFormat="0" applyBorder="0" applyAlignment="0" applyProtection="0"/>
    <xf numFmtId="175" fontId="1" fillId="0" borderId="0"/>
    <xf numFmtId="175" fontId="1" fillId="0" borderId="0"/>
    <xf numFmtId="175" fontId="1" fillId="0" borderId="0"/>
    <xf numFmtId="168" fontId="1" fillId="0" borderId="0"/>
    <xf numFmtId="175" fontId="18" fillId="17" borderId="0" applyNumberFormat="0" applyBorder="0" applyAlignment="0" applyProtection="0"/>
    <xf numFmtId="175" fontId="1" fillId="0" borderId="0"/>
    <xf numFmtId="168" fontId="1" fillId="0" borderId="0"/>
    <xf numFmtId="175" fontId="26" fillId="45" borderId="0" applyNumberFormat="0" applyBorder="0" applyAlignment="0" applyProtection="0"/>
    <xf numFmtId="168"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5"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29" fillId="0" borderId="0"/>
    <xf numFmtId="44" fontId="1" fillId="0" borderId="0" applyFont="0" applyFill="0" applyBorder="0" applyAlignment="0" applyProtection="0"/>
    <xf numFmtId="0" fontId="8" fillId="0" borderId="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74" fontId="1" fillId="0" borderId="0" applyFont="0" applyFill="0" applyBorder="0" applyAlignment="0" applyProtection="0"/>
    <xf numFmtId="42" fontId="8" fillId="0" borderId="0" applyFont="0" applyFill="0" applyBorder="0" applyAlignment="0" applyProtection="0"/>
    <xf numFmtId="175" fontId="1" fillId="0" borderId="0"/>
    <xf numFmtId="0" fontId="1" fillId="0" borderId="0"/>
    <xf numFmtId="0" fontId="1" fillId="0" borderId="0"/>
    <xf numFmtId="9"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8" fontId="8"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0" fontId="1" fillId="0" borderId="0"/>
    <xf numFmtId="43" fontId="5" fillId="0" borderId="0" applyFont="0" applyFill="0" applyBorder="0" applyAlignment="0" applyProtection="0"/>
    <xf numFmtId="0" fontId="29" fillId="0" borderId="0"/>
    <xf numFmtId="164" fontId="1" fillId="0" borderId="0" applyFont="0" applyFill="0" applyBorder="0" applyAlignment="0" applyProtection="0"/>
    <xf numFmtId="0" fontId="1" fillId="0" borderId="0"/>
    <xf numFmtId="168" fontId="1" fillId="0" borderId="0"/>
    <xf numFmtId="175" fontId="22" fillId="0" borderId="42" applyNumberFormat="0" applyFill="0" applyAlignment="0" applyProtection="0"/>
    <xf numFmtId="168" fontId="1" fillId="0" borderId="0"/>
    <xf numFmtId="175" fontId="26" fillId="30" borderId="0" applyNumberFormat="0" applyBorder="0" applyAlignment="0" applyProtection="0"/>
    <xf numFmtId="175" fontId="1" fillId="0" borderId="0"/>
    <xf numFmtId="168" fontId="1" fillId="0" borderId="0"/>
    <xf numFmtId="175" fontId="1" fillId="0" borderId="0"/>
    <xf numFmtId="175" fontId="1" fillId="0" borderId="0"/>
    <xf numFmtId="175" fontId="1" fillId="0" borderId="0"/>
    <xf numFmtId="175" fontId="1" fillId="0" borderId="0"/>
    <xf numFmtId="175" fontId="1" fillId="0" borderId="0"/>
    <xf numFmtId="175" fontId="19" fillId="18" borderId="40" applyNumberFormat="0" applyAlignment="0" applyProtection="0"/>
    <xf numFmtId="168" fontId="1" fillId="0" borderId="0"/>
    <xf numFmtId="175" fontId="1" fillId="0" borderId="0"/>
    <xf numFmtId="175" fontId="26" fillId="26" borderId="0" applyNumberFormat="0" applyBorder="0" applyAlignment="0" applyProtection="0"/>
    <xf numFmtId="175" fontId="1" fillId="0" borderId="0"/>
    <xf numFmtId="175" fontId="1" fillId="0" borderId="0"/>
    <xf numFmtId="175" fontId="1" fillId="0" borderId="0"/>
    <xf numFmtId="175" fontId="26" fillId="34" borderId="0" applyNumberFormat="0" applyBorder="0" applyAlignment="0" applyProtection="0"/>
    <xf numFmtId="175" fontId="1" fillId="0" borderId="0"/>
    <xf numFmtId="175" fontId="16" fillId="0" borderId="39" applyNumberFormat="0" applyFill="0" applyAlignment="0" applyProtection="0"/>
    <xf numFmtId="168" fontId="1" fillId="0" borderId="0"/>
    <xf numFmtId="175" fontId="27" fillId="0" borderId="0" applyNumberFormat="0" applyFill="0" applyBorder="0" applyAlignment="0" applyProtection="0"/>
    <xf numFmtId="175" fontId="1" fillId="0" borderId="0"/>
    <xf numFmtId="175" fontId="1" fillId="0" borderId="0"/>
    <xf numFmtId="168" fontId="1" fillId="0" borderId="0"/>
    <xf numFmtId="175" fontId="1" fillId="24" borderId="0" applyNumberFormat="0" applyBorder="0" applyAlignment="0" applyProtection="0"/>
    <xf numFmtId="175" fontId="29" fillId="0" borderId="0"/>
    <xf numFmtId="175" fontId="1" fillId="0" borderId="0"/>
    <xf numFmtId="168" fontId="1" fillId="0" borderId="0"/>
    <xf numFmtId="175" fontId="1" fillId="0" borderId="0"/>
    <xf numFmtId="175" fontId="16" fillId="0" borderId="0" applyNumberFormat="0" applyFill="0" applyBorder="0" applyAlignment="0" applyProtection="0"/>
    <xf numFmtId="175" fontId="1" fillId="0" borderId="0"/>
    <xf numFmtId="175" fontId="1" fillId="21" borderId="44" applyNumberFormat="0" applyFont="0" applyAlignment="0" applyProtection="0"/>
    <xf numFmtId="175" fontId="1" fillId="0" borderId="0"/>
    <xf numFmtId="175" fontId="20" fillId="19" borderId="41" applyNumberFormat="0" applyAlignment="0" applyProtection="0"/>
    <xf numFmtId="168" fontId="1" fillId="0" borderId="0"/>
    <xf numFmtId="168" fontId="1" fillId="0" borderId="0"/>
    <xf numFmtId="175" fontId="1" fillId="0" borderId="0"/>
    <xf numFmtId="175" fontId="1" fillId="0" borderId="0"/>
    <xf numFmtId="175" fontId="1" fillId="0" borderId="0"/>
    <xf numFmtId="168" fontId="1" fillId="0" borderId="0"/>
    <xf numFmtId="175" fontId="8" fillId="0" borderId="0"/>
    <xf numFmtId="175" fontId="26" fillId="25" borderId="0" applyNumberFormat="0" applyBorder="0" applyAlignment="0" applyProtection="0"/>
    <xf numFmtId="168" fontId="1" fillId="0" borderId="0"/>
    <xf numFmtId="175" fontId="1" fillId="43" borderId="0" applyNumberFormat="0" applyBorder="0" applyAlignment="0" applyProtection="0"/>
    <xf numFmtId="175" fontId="1" fillId="0" borderId="0"/>
    <xf numFmtId="175" fontId="1" fillId="0" borderId="0"/>
    <xf numFmtId="175" fontId="1" fillId="36" borderId="0" applyNumberFormat="0" applyBorder="0" applyAlignment="0" applyProtection="0"/>
    <xf numFmtId="168" fontId="1" fillId="0" borderId="0"/>
    <xf numFmtId="175" fontId="25" fillId="0" borderId="45" applyNumberFormat="0" applyFill="0" applyAlignment="0" applyProtection="0"/>
    <xf numFmtId="175" fontId="8" fillId="0" borderId="0"/>
    <xf numFmtId="175" fontId="1" fillId="0" borderId="0"/>
    <xf numFmtId="175" fontId="1" fillId="39" borderId="0" applyNumberFormat="0" applyBorder="0" applyAlignment="0" applyProtection="0"/>
    <xf numFmtId="175" fontId="26" fillId="22" borderId="0" applyNumberFormat="0" applyBorder="0" applyAlignment="0" applyProtection="0"/>
    <xf numFmtId="175" fontId="1" fillId="0" borderId="0"/>
    <xf numFmtId="168" fontId="1" fillId="0" borderId="0"/>
    <xf numFmtId="175" fontId="1" fillId="0" borderId="0"/>
    <xf numFmtId="168" fontId="1" fillId="0" borderId="0"/>
    <xf numFmtId="168" fontId="1" fillId="0" borderId="0"/>
    <xf numFmtId="175" fontId="8" fillId="0" borderId="0"/>
    <xf numFmtId="175" fontId="28" fillId="0" borderId="0" applyNumberFormat="0" applyFill="0" applyBorder="0" applyAlignment="0" applyProtection="0"/>
    <xf numFmtId="175" fontId="1" fillId="0" borderId="0"/>
    <xf numFmtId="175" fontId="1" fillId="23" borderId="0" applyNumberFormat="0" applyBorder="0" applyAlignment="0" applyProtection="0"/>
    <xf numFmtId="175" fontId="1" fillId="0" borderId="0"/>
    <xf numFmtId="175" fontId="26" fillId="41" borderId="0" applyNumberFormat="0" applyBorder="0" applyAlignment="0" applyProtection="0"/>
    <xf numFmtId="175" fontId="1" fillId="0" borderId="0"/>
    <xf numFmtId="175" fontId="26" fillId="37" borderId="0" applyNumberFormat="0" applyBorder="0" applyAlignment="0" applyProtection="0"/>
    <xf numFmtId="175" fontId="1" fillId="0" borderId="0"/>
    <xf numFmtId="175" fontId="1" fillId="0" borderId="0"/>
    <xf numFmtId="175" fontId="1" fillId="0" borderId="0"/>
    <xf numFmtId="175" fontId="1" fillId="0" borderId="0"/>
    <xf numFmtId="175" fontId="26" fillId="29" borderId="0" applyNumberFormat="0" applyBorder="0" applyAlignment="0" applyProtection="0"/>
    <xf numFmtId="175" fontId="1" fillId="0" borderId="0"/>
    <xf numFmtId="175" fontId="8" fillId="0" borderId="0"/>
    <xf numFmtId="175" fontId="1" fillId="0" borderId="0"/>
    <xf numFmtId="175" fontId="11" fillId="0" borderId="0"/>
    <xf numFmtId="175" fontId="1" fillId="0" borderId="0"/>
    <xf numFmtId="175" fontId="26" fillId="42" borderId="0" applyNumberFormat="0" applyBorder="0" applyAlignment="0" applyProtection="0"/>
    <xf numFmtId="175" fontId="23" fillId="0" borderId="0" applyNumberFormat="0" applyFill="0" applyBorder="0" applyAlignment="0" applyProtection="0"/>
    <xf numFmtId="175" fontId="1" fillId="40" borderId="0" applyNumberFormat="0" applyBorder="0" applyAlignment="0" applyProtection="0"/>
    <xf numFmtId="175" fontId="1" fillId="28" borderId="0" applyNumberFormat="0" applyBorder="0" applyAlignment="0" applyProtection="0"/>
    <xf numFmtId="175" fontId="24" fillId="0" borderId="0" applyNumberFormat="0" applyFill="0" applyBorder="0" applyAlignment="0" applyProtection="0"/>
    <xf numFmtId="175" fontId="1" fillId="27" borderId="0" applyNumberFormat="0" applyBorder="0" applyAlignment="0" applyProtection="0"/>
    <xf numFmtId="175" fontId="17" fillId="16" borderId="0" applyNumberFormat="0" applyBorder="0" applyAlignment="0" applyProtection="0"/>
    <xf numFmtId="168" fontId="1" fillId="0" borderId="0"/>
    <xf numFmtId="168" fontId="1" fillId="0" borderId="0"/>
    <xf numFmtId="175" fontId="1" fillId="35" borderId="0" applyNumberFormat="0" applyBorder="0" applyAlignment="0" applyProtection="0"/>
    <xf numFmtId="175" fontId="1" fillId="0" borderId="0"/>
    <xf numFmtId="175" fontId="1" fillId="0" borderId="0"/>
    <xf numFmtId="175" fontId="1" fillId="32" borderId="0" applyNumberFormat="0" applyBorder="0" applyAlignment="0" applyProtection="0"/>
    <xf numFmtId="175" fontId="7" fillId="7" borderId="10">
      <alignment horizontal="center" vertical="center" wrapText="1"/>
    </xf>
    <xf numFmtId="175" fontId="1" fillId="0" borderId="0"/>
    <xf numFmtId="175" fontId="7" fillId="7" borderId="10">
      <alignment horizontal="center" vertical="center" wrapText="1"/>
    </xf>
    <xf numFmtId="175" fontId="1" fillId="0" borderId="0"/>
    <xf numFmtId="175" fontId="26" fillId="38" borderId="0" applyNumberFormat="0" applyBorder="0" applyAlignment="0" applyProtection="0"/>
    <xf numFmtId="168" fontId="1" fillId="0" borderId="0"/>
    <xf numFmtId="175" fontId="1" fillId="0" borderId="0"/>
    <xf numFmtId="175" fontId="1" fillId="0" borderId="0"/>
    <xf numFmtId="175" fontId="14" fillId="0" borderId="37" applyNumberFormat="0" applyFill="0" applyAlignment="0" applyProtection="0"/>
    <xf numFmtId="175" fontId="29" fillId="0" borderId="0"/>
    <xf numFmtId="175" fontId="1" fillId="0" borderId="0"/>
    <xf numFmtId="175" fontId="1" fillId="0" borderId="0"/>
    <xf numFmtId="175" fontId="1" fillId="0" borderId="0"/>
    <xf numFmtId="168" fontId="1" fillId="0" borderId="0"/>
    <xf numFmtId="175" fontId="1" fillId="0" borderId="0"/>
    <xf numFmtId="175" fontId="1" fillId="0" borderId="0"/>
    <xf numFmtId="0" fontId="8" fillId="0" borderId="0"/>
    <xf numFmtId="175" fontId="1" fillId="0" borderId="0"/>
    <xf numFmtId="175" fontId="1" fillId="0" borderId="0"/>
    <xf numFmtId="175" fontId="1" fillId="0" borderId="0"/>
    <xf numFmtId="168" fontId="1" fillId="0" borderId="0"/>
    <xf numFmtId="9" fontId="1" fillId="0" borderId="0" applyFont="0" applyFill="0" applyBorder="0" applyAlignment="0" applyProtection="0"/>
    <xf numFmtId="0" fontId="1" fillId="0" borderId="0"/>
    <xf numFmtId="0" fontId="8" fillId="0" borderId="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5" borderId="0" applyNumberFormat="0" applyBorder="0" applyAlignment="0" applyProtection="0"/>
    <xf numFmtId="0" fontId="5" fillId="55"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31" fillId="57" borderId="0" applyNumberFormat="0" applyBorder="0" applyAlignment="0" applyProtection="0"/>
    <xf numFmtId="0" fontId="31" fillId="54" borderId="0" applyNumberFormat="0" applyBorder="0" applyAlignment="0" applyProtection="0"/>
    <xf numFmtId="0" fontId="31" fillId="55" borderId="0" applyNumberFormat="0" applyBorder="0" applyAlignment="0" applyProtection="0"/>
    <xf numFmtId="0" fontId="31" fillId="58" borderId="0" applyNumberFormat="0" applyBorder="0" applyAlignment="0" applyProtection="0"/>
    <xf numFmtId="0" fontId="31" fillId="59" borderId="0" applyNumberFormat="0" applyBorder="0" applyAlignment="0" applyProtection="0"/>
    <xf numFmtId="0" fontId="31" fillId="60" borderId="0" applyNumberFormat="0" applyBorder="0" applyAlignment="0" applyProtection="0"/>
    <xf numFmtId="0" fontId="32" fillId="49" borderId="0" applyNumberFormat="0" applyBorder="0" applyAlignment="0" applyProtection="0"/>
    <xf numFmtId="0" fontId="33" fillId="61" borderId="46" applyNumberFormat="0" applyAlignment="0" applyProtection="0"/>
    <xf numFmtId="0" fontId="34" fillId="62" borderId="47" applyNumberFormat="0" applyAlignment="0" applyProtection="0"/>
    <xf numFmtId="0" fontId="35" fillId="0" borderId="48" applyNumberFormat="0" applyFill="0" applyAlignment="0" applyProtection="0"/>
    <xf numFmtId="0" fontId="36" fillId="0" borderId="0" applyNumberFormat="0" applyFill="0" applyBorder="0" applyAlignment="0" applyProtection="0"/>
    <xf numFmtId="0" fontId="31" fillId="63" borderId="0" applyNumberFormat="0" applyBorder="0" applyAlignment="0" applyProtection="0"/>
    <xf numFmtId="0" fontId="31" fillId="64" borderId="0" applyNumberFormat="0" applyBorder="0" applyAlignment="0" applyProtection="0"/>
    <xf numFmtId="0" fontId="31" fillId="65" borderId="0" applyNumberFormat="0" applyBorder="0" applyAlignment="0" applyProtection="0"/>
    <xf numFmtId="0" fontId="31" fillId="58" borderId="0" applyNumberFormat="0" applyBorder="0" applyAlignment="0" applyProtection="0"/>
    <xf numFmtId="0" fontId="31" fillId="59" borderId="0" applyNumberFormat="0" applyBorder="0" applyAlignment="0" applyProtection="0"/>
    <xf numFmtId="0" fontId="31" fillId="66" borderId="0" applyNumberFormat="0" applyBorder="0" applyAlignment="0" applyProtection="0"/>
    <xf numFmtId="0" fontId="37" fillId="52" borderId="46" applyNumberFormat="0" applyAlignment="0" applyProtection="0"/>
    <xf numFmtId="175" fontId="8" fillId="0" borderId="0" applyFont="0" applyFill="0" applyBorder="0" applyAlignment="0" applyProtection="0"/>
    <xf numFmtId="175" fontId="8" fillId="0" borderId="0" applyFont="0" applyFill="0" applyBorder="0" applyAlignment="0" applyProtection="0"/>
    <xf numFmtId="176" fontId="38" fillId="0" borderId="0">
      <protection locked="0"/>
    </xf>
    <xf numFmtId="176" fontId="38" fillId="0" borderId="0">
      <protection locked="0"/>
    </xf>
    <xf numFmtId="176" fontId="38" fillId="0" borderId="0">
      <protection locked="0"/>
    </xf>
    <xf numFmtId="176" fontId="39" fillId="0" borderId="0">
      <protection locked="0"/>
    </xf>
    <xf numFmtId="176" fontId="40" fillId="0" borderId="0">
      <protection locked="0"/>
    </xf>
    <xf numFmtId="176" fontId="39" fillId="0" borderId="0">
      <protection locked="0"/>
    </xf>
    <xf numFmtId="176" fontId="40" fillId="0" borderId="0">
      <protection locked="0"/>
    </xf>
    <xf numFmtId="0" fontId="41" fillId="48" borderId="0" applyNumberFormat="0" applyBorder="0" applyAlignment="0" applyProtection="0"/>
    <xf numFmtId="177" fontId="8" fillId="0" borderId="0" applyFont="0" applyFill="0" applyBorder="0" applyAlignment="0" applyProtection="0"/>
    <xf numFmtId="0" fontId="42" fillId="67" borderId="0" applyNumberFormat="0" applyBorder="0" applyAlignment="0" applyProtection="0"/>
    <xf numFmtId="0" fontId="8" fillId="0" borderId="0"/>
    <xf numFmtId="175" fontId="5" fillId="0" borderId="0"/>
    <xf numFmtId="0" fontId="8" fillId="0" borderId="0"/>
    <xf numFmtId="175" fontId="5" fillId="0" borderId="0"/>
    <xf numFmtId="0" fontId="8" fillId="0" borderId="0"/>
    <xf numFmtId="175" fontId="5" fillId="0" borderId="0"/>
    <xf numFmtId="0" fontId="8" fillId="0" borderId="0"/>
    <xf numFmtId="0" fontId="8" fillId="0" borderId="0"/>
    <xf numFmtId="175" fontId="5" fillId="0" borderId="0"/>
    <xf numFmtId="175" fontId="5" fillId="0" borderId="0"/>
    <xf numFmtId="0" fontId="8" fillId="0" borderId="0"/>
    <xf numFmtId="0" fontId="8" fillId="0" borderId="0"/>
    <xf numFmtId="0" fontId="8" fillId="0" borderId="0"/>
    <xf numFmtId="175" fontId="5" fillId="0" borderId="0"/>
    <xf numFmtId="175" fontId="5" fillId="0" borderId="0"/>
    <xf numFmtId="175" fontId="5" fillId="0" borderId="0"/>
    <xf numFmtId="0" fontId="8" fillId="0" borderId="0"/>
    <xf numFmtId="0" fontId="1" fillId="0" borderId="0"/>
    <xf numFmtId="175" fontId="5" fillId="0" borderId="0"/>
    <xf numFmtId="175" fontId="5" fillId="0" borderId="0"/>
    <xf numFmtId="0" fontId="8" fillId="0" borderId="0"/>
    <xf numFmtId="0" fontId="8" fillId="0" borderId="0"/>
    <xf numFmtId="0" fontId="8" fillId="0" borderId="0"/>
    <xf numFmtId="0" fontId="50" fillId="0" borderId="0"/>
    <xf numFmtId="0" fontId="8" fillId="0" borderId="0"/>
    <xf numFmtId="0" fontId="8" fillId="0" borderId="0"/>
    <xf numFmtId="0" fontId="8" fillId="68" borderId="50" applyNumberFormat="0" applyFont="0" applyAlignment="0" applyProtection="0"/>
    <xf numFmtId="0" fontId="8" fillId="68" borderId="50" applyNumberFormat="0" applyFont="0" applyAlignment="0" applyProtection="0"/>
    <xf numFmtId="0" fontId="43" fillId="61" borderId="51" applyNumberFormat="0" applyAlignment="0" applyProtection="0"/>
    <xf numFmtId="0" fontId="51" fillId="69" borderId="0"/>
    <xf numFmtId="0" fontId="44" fillId="0" borderId="0" applyNumberFormat="0" applyFill="0" applyBorder="0" applyAlignment="0" applyProtection="0"/>
    <xf numFmtId="0" fontId="45" fillId="0" borderId="0" applyNumberFormat="0" applyFill="0" applyBorder="0" applyAlignment="0" applyProtection="0"/>
    <xf numFmtId="0" fontId="46" fillId="0" borderId="49" applyNumberFormat="0" applyFill="0" applyAlignment="0" applyProtection="0"/>
    <xf numFmtId="0" fontId="47" fillId="0" borderId="52" applyNumberFormat="0" applyFill="0" applyAlignment="0" applyProtection="0"/>
    <xf numFmtId="0" fontId="36" fillId="0" borderId="53" applyNumberFormat="0" applyFill="0" applyAlignment="0" applyProtection="0"/>
    <xf numFmtId="0" fontId="48" fillId="0" borderId="0" applyNumberFormat="0" applyFill="0" applyBorder="0" applyAlignment="0" applyProtection="0"/>
    <xf numFmtId="0" fontId="49" fillId="0" borderId="54" applyNumberFormat="0" applyFill="0" applyAlignment="0" applyProtection="0"/>
    <xf numFmtId="0" fontId="8" fillId="0" borderId="0"/>
    <xf numFmtId="0" fontId="1" fillId="0" borderId="0"/>
    <xf numFmtId="167" fontId="1" fillId="0" borderId="0" applyFont="0" applyFill="0" applyBorder="0" applyAlignment="0" applyProtection="0"/>
    <xf numFmtId="168" fontId="1" fillId="0" borderId="0"/>
    <xf numFmtId="166" fontId="1" fillId="0" borderId="0" applyFont="0" applyFill="0" applyBorder="0" applyAlignment="0" applyProtection="0"/>
    <xf numFmtId="175" fontId="1" fillId="0" borderId="0"/>
    <xf numFmtId="0" fontId="28" fillId="0" borderId="0" applyNumberFormat="0" applyFill="0" applyBorder="0" applyAlignment="0" applyProtection="0"/>
    <xf numFmtId="0" fontId="1" fillId="0" borderId="0"/>
    <xf numFmtId="175" fontId="8" fillId="0" borderId="0" applyFont="0" applyFill="0" applyBorder="0" applyAlignment="0" applyProtection="0"/>
    <xf numFmtId="175" fontId="8" fillId="0" borderId="0" applyFont="0" applyFill="0" applyBorder="0" applyAlignment="0" applyProtection="0"/>
    <xf numFmtId="17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68" borderId="50" applyNumberFormat="0" applyFont="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168" fontId="8" fillId="0" borderId="0"/>
    <xf numFmtId="43" fontId="1" fillId="0" borderId="0" applyFont="0" applyFill="0" applyBorder="0" applyAlignment="0" applyProtection="0"/>
    <xf numFmtId="0" fontId="11" fillId="0" borderId="0"/>
    <xf numFmtId="168" fontId="1" fillId="0" borderId="0"/>
    <xf numFmtId="43" fontId="1" fillId="0" borderId="0" applyFont="0" applyFill="0" applyBorder="0" applyAlignment="0" applyProtection="0"/>
    <xf numFmtId="0" fontId="18" fillId="17" borderId="0" applyNumberFormat="0" applyBorder="0" applyAlignment="0" applyProtection="0"/>
    <xf numFmtId="43" fontId="1" fillId="0" borderId="0" applyFont="0" applyFill="0" applyBorder="0" applyAlignment="0" applyProtection="0"/>
    <xf numFmtId="0" fontId="26" fillId="25" borderId="0" applyNumberFormat="0" applyBorder="0" applyAlignment="0" applyProtection="0"/>
    <xf numFmtId="0" fontId="26" fillId="29" borderId="0" applyNumberFormat="0" applyBorder="0" applyAlignment="0" applyProtection="0"/>
    <xf numFmtId="0" fontId="26" fillId="33" borderId="0" applyNumberFormat="0" applyBorder="0" applyAlignment="0" applyProtection="0"/>
    <xf numFmtId="0" fontId="26" fillId="37" borderId="0" applyNumberFormat="0" applyBorder="0" applyAlignment="0" applyProtection="0"/>
    <xf numFmtId="0" fontId="26" fillId="41" borderId="0" applyNumberFormat="0" applyBorder="0" applyAlignment="0" applyProtection="0"/>
    <xf numFmtId="0" fontId="26" fillId="4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1"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0" fontId="29" fillId="0" borderId="0"/>
    <xf numFmtId="44"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42" fontId="8" fillId="0" borderId="0" applyFont="0" applyFill="0" applyBorder="0" applyAlignment="0" applyProtection="0"/>
    <xf numFmtId="175" fontId="1" fillId="0" borderId="0"/>
    <xf numFmtId="0" fontId="1" fillId="0" borderId="0"/>
    <xf numFmtId="168" fontId="8"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0" fontId="29" fillId="0" borderId="0"/>
    <xf numFmtId="168" fontId="1"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8"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8" fontId="1" fillId="0" borderId="0"/>
    <xf numFmtId="43" fontId="1" fillId="0" borderId="0" applyFont="0" applyFill="0" applyBorder="0" applyAlignment="0" applyProtection="0"/>
    <xf numFmtId="44" fontId="1" fillId="0" borderId="0" applyFont="0" applyFill="0" applyBorder="0" applyAlignment="0" applyProtection="0"/>
    <xf numFmtId="168" fontId="1" fillId="0" borderId="0"/>
    <xf numFmtId="43" fontId="1" fillId="0" borderId="0" applyFont="0" applyFill="0" applyBorder="0" applyAlignment="0" applyProtection="0"/>
    <xf numFmtId="168" fontId="1" fillId="0" borderId="0"/>
    <xf numFmtId="43" fontId="1" fillId="0" borderId="0" applyFont="0" applyFill="0" applyBorder="0" applyAlignment="0" applyProtection="0"/>
    <xf numFmtId="44" fontId="1" fillId="0" borderId="0" applyFont="0" applyFill="0" applyBorder="0" applyAlignment="0" applyProtection="0"/>
    <xf numFmtId="168" fontId="1" fillId="0" borderId="0"/>
    <xf numFmtId="175" fontId="1" fillId="31" borderId="0" applyNumberFormat="0" applyBorder="0" applyAlignment="0" applyProtection="0"/>
    <xf numFmtId="175" fontId="1" fillId="0" borderId="0"/>
    <xf numFmtId="0" fontId="28" fillId="0" borderId="0" applyNumberFormat="0" applyFill="0" applyBorder="0" applyAlignment="0" applyProtection="0"/>
    <xf numFmtId="175" fontId="15" fillId="0" borderId="38" applyNumberFormat="0" applyFill="0" applyAlignment="0" applyProtection="0"/>
    <xf numFmtId="175" fontId="1" fillId="44" borderId="0" applyNumberFormat="0" applyBorder="0" applyAlignment="0" applyProtection="0"/>
    <xf numFmtId="175" fontId="10" fillId="20" borderId="43" applyNumberFormat="0" applyAlignment="0" applyProtection="0"/>
    <xf numFmtId="175" fontId="21" fillId="19" borderId="40" applyNumberFormat="0" applyAlignment="0" applyProtection="0"/>
    <xf numFmtId="44" fontId="1" fillId="0" borderId="0" applyFont="0" applyFill="0" applyBorder="0" applyAlignment="0" applyProtection="0"/>
    <xf numFmtId="175" fontId="26" fillId="33" borderId="0" applyNumberFormat="0" applyBorder="0" applyAlignment="0" applyProtection="0"/>
    <xf numFmtId="175" fontId="18" fillId="17" borderId="0" applyNumberFormat="0" applyBorder="0" applyAlignment="0" applyProtection="0"/>
    <xf numFmtId="175" fontId="26" fillId="45" borderId="0" applyNumberFormat="0" applyBorder="0" applyAlignment="0" applyProtection="0"/>
    <xf numFmtId="175" fontId="1"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8" fontId="1" fillId="0" borderId="0"/>
    <xf numFmtId="43"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8"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42" fontId="8" fillId="0" borderId="0" applyFont="0" applyFill="0" applyBorder="0" applyAlignment="0" applyProtection="0"/>
    <xf numFmtId="168"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175" fontId="22" fillId="0" borderId="42" applyNumberFormat="0" applyFill="0" applyAlignment="0" applyProtection="0"/>
    <xf numFmtId="175" fontId="26" fillId="30" borderId="0" applyNumberFormat="0" applyBorder="0" applyAlignment="0" applyProtection="0"/>
    <xf numFmtId="175" fontId="19" fillId="18" borderId="40" applyNumberFormat="0" applyAlignment="0" applyProtection="0"/>
    <xf numFmtId="175" fontId="26" fillId="26" borderId="0" applyNumberFormat="0" applyBorder="0" applyAlignment="0" applyProtection="0"/>
    <xf numFmtId="175" fontId="1" fillId="0" borderId="0"/>
    <xf numFmtId="175" fontId="26" fillId="34" borderId="0" applyNumberFormat="0" applyBorder="0" applyAlignment="0" applyProtection="0"/>
    <xf numFmtId="175" fontId="16" fillId="0" borderId="39" applyNumberFormat="0" applyFill="0" applyAlignment="0" applyProtection="0"/>
    <xf numFmtId="175" fontId="1" fillId="0" borderId="0"/>
    <xf numFmtId="175" fontId="1" fillId="24" borderId="0" applyNumberFormat="0" applyBorder="0" applyAlignment="0" applyProtection="0"/>
    <xf numFmtId="175" fontId="29" fillId="0" borderId="0"/>
    <xf numFmtId="175" fontId="16" fillId="0" borderId="0" applyNumberFormat="0" applyFill="0" applyBorder="0" applyAlignment="0" applyProtection="0"/>
    <xf numFmtId="175" fontId="1" fillId="21" borderId="44" applyNumberFormat="0" applyFont="0" applyAlignment="0" applyProtection="0"/>
    <xf numFmtId="175" fontId="20" fillId="19" borderId="41" applyNumberFormat="0" applyAlignment="0" applyProtection="0"/>
    <xf numFmtId="175" fontId="1" fillId="0" borderId="0"/>
    <xf numFmtId="175" fontId="8" fillId="0" borderId="0"/>
    <xf numFmtId="175" fontId="26" fillId="25" borderId="0" applyNumberFormat="0" applyBorder="0" applyAlignment="0" applyProtection="0"/>
    <xf numFmtId="175" fontId="1" fillId="43" borderId="0" applyNumberFormat="0" applyBorder="0" applyAlignment="0" applyProtection="0"/>
    <xf numFmtId="175" fontId="1" fillId="36" borderId="0" applyNumberFormat="0" applyBorder="0" applyAlignment="0" applyProtection="0"/>
    <xf numFmtId="175" fontId="25" fillId="0" borderId="45" applyNumberFormat="0" applyFill="0" applyAlignment="0" applyProtection="0"/>
    <xf numFmtId="175" fontId="8" fillId="0" borderId="0"/>
    <xf numFmtId="175" fontId="1" fillId="39" borderId="0" applyNumberFormat="0" applyBorder="0" applyAlignment="0" applyProtection="0"/>
    <xf numFmtId="175" fontId="26" fillId="22" borderId="0" applyNumberFormat="0" applyBorder="0" applyAlignment="0" applyProtection="0"/>
    <xf numFmtId="175" fontId="1" fillId="0" borderId="0"/>
    <xf numFmtId="175" fontId="8" fillId="0" borderId="0"/>
    <xf numFmtId="175" fontId="1" fillId="23" borderId="0" applyNumberFormat="0" applyBorder="0" applyAlignment="0" applyProtection="0"/>
    <xf numFmtId="175" fontId="26" fillId="41" borderId="0" applyNumberFormat="0" applyBorder="0" applyAlignment="0" applyProtection="0"/>
    <xf numFmtId="175" fontId="26" fillId="37" borderId="0" applyNumberFormat="0" applyBorder="0" applyAlignment="0" applyProtection="0"/>
    <xf numFmtId="175" fontId="1" fillId="0" borderId="0"/>
    <xf numFmtId="175" fontId="26" fillId="29" borderId="0" applyNumberFormat="0" applyBorder="0" applyAlignment="0" applyProtection="0"/>
    <xf numFmtId="175" fontId="11" fillId="0" borderId="0"/>
    <xf numFmtId="175" fontId="26" fillId="42" borderId="0" applyNumberFormat="0" applyBorder="0" applyAlignment="0" applyProtection="0"/>
    <xf numFmtId="175" fontId="23" fillId="0" borderId="0" applyNumberFormat="0" applyFill="0" applyBorder="0" applyAlignment="0" applyProtection="0"/>
    <xf numFmtId="175" fontId="1" fillId="40" borderId="0" applyNumberFormat="0" applyBorder="0" applyAlignment="0" applyProtection="0"/>
    <xf numFmtId="175" fontId="1" fillId="28" borderId="0" applyNumberFormat="0" applyBorder="0" applyAlignment="0" applyProtection="0"/>
    <xf numFmtId="175" fontId="24" fillId="0" borderId="0" applyNumberFormat="0" applyFill="0" applyBorder="0" applyAlignment="0" applyProtection="0"/>
    <xf numFmtId="175" fontId="1" fillId="27" borderId="0" applyNumberFormat="0" applyBorder="0" applyAlignment="0" applyProtection="0"/>
    <xf numFmtId="175" fontId="17" fillId="16" borderId="0" applyNumberFormat="0" applyBorder="0" applyAlignment="0" applyProtection="0"/>
    <xf numFmtId="175" fontId="1" fillId="35" borderId="0" applyNumberFormat="0" applyBorder="0" applyAlignment="0" applyProtection="0"/>
    <xf numFmtId="175" fontId="1" fillId="32" borderId="0" applyNumberFormat="0" applyBorder="0" applyAlignment="0" applyProtection="0"/>
    <xf numFmtId="175" fontId="1" fillId="0" borderId="0"/>
    <xf numFmtId="175" fontId="1" fillId="0" borderId="0"/>
    <xf numFmtId="175" fontId="26" fillId="38" borderId="0" applyNumberFormat="0" applyBorder="0" applyAlignment="0" applyProtection="0"/>
    <xf numFmtId="175" fontId="14" fillId="0" borderId="37" applyNumberFormat="0" applyFill="0" applyAlignment="0" applyProtection="0"/>
    <xf numFmtId="175" fontId="29" fillId="0" borderId="0"/>
    <xf numFmtId="0" fontId="8"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8" fontId="1" fillId="0" borderId="0"/>
    <xf numFmtId="43" fontId="1" fillId="0" borderId="0" applyFont="0" applyFill="0" applyBorder="0" applyAlignment="0" applyProtection="0"/>
    <xf numFmtId="168" fontId="1" fillId="0" borderId="0"/>
    <xf numFmtId="44" fontId="1" fillId="0" borderId="0" applyFont="0" applyFill="0" applyBorder="0" applyAlignment="0" applyProtection="0"/>
    <xf numFmtId="43" fontId="1" fillId="0" borderId="0" applyFont="0" applyFill="0" applyBorder="0" applyAlignment="0" applyProtection="0"/>
    <xf numFmtId="177" fontId="8" fillId="0" borderId="0" applyFont="0" applyFill="0" applyBorder="0" applyAlignment="0" applyProtection="0"/>
    <xf numFmtId="0" fontId="8" fillId="0" borderId="0"/>
    <xf numFmtId="44" fontId="1" fillId="0" borderId="0" applyFont="0" applyFill="0" applyBorder="0" applyAlignment="0" applyProtection="0"/>
    <xf numFmtId="43" fontId="1" fillId="0" borderId="0" applyFont="0" applyFill="0" applyBorder="0" applyAlignment="0" applyProtection="0"/>
    <xf numFmtId="175" fontId="5" fillId="0" borderId="0"/>
    <xf numFmtId="0" fontId="8" fillId="0" borderId="0"/>
    <xf numFmtId="168" fontId="1" fillId="0" borderId="0"/>
    <xf numFmtId="0" fontId="8" fillId="0" borderId="0"/>
    <xf numFmtId="0" fontId="8" fillId="0" borderId="0"/>
    <xf numFmtId="0" fontId="8" fillId="0" borderId="0"/>
    <xf numFmtId="168"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8" fontId="1" fillId="0" borderId="0"/>
    <xf numFmtId="43" fontId="1" fillId="0" borderId="0" applyFont="0" applyFill="0" applyBorder="0" applyAlignment="0" applyProtection="0"/>
    <xf numFmtId="168"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8" fontId="1" fillId="0" borderId="0"/>
    <xf numFmtId="43" fontId="1" fillId="0" borderId="0" applyFont="0" applyFill="0" applyBorder="0" applyAlignment="0" applyProtection="0"/>
    <xf numFmtId="168" fontId="1" fillId="0" borderId="0"/>
    <xf numFmtId="168" fontId="1" fillId="0" borderId="0"/>
    <xf numFmtId="168" fontId="1" fillId="0" borderId="0"/>
    <xf numFmtId="43" fontId="1" fillId="0" borderId="0" applyFont="0" applyFill="0" applyBorder="0" applyAlignment="0" applyProtection="0"/>
    <xf numFmtId="168" fontId="1" fillId="0" borderId="0"/>
    <xf numFmtId="44" fontId="1" fillId="0" borderId="0" applyFont="0" applyFill="0" applyBorder="0" applyAlignment="0" applyProtection="0"/>
    <xf numFmtId="168" fontId="1" fillId="0" borderId="0"/>
    <xf numFmtId="168" fontId="1" fillId="0" borderId="0"/>
    <xf numFmtId="43" fontId="1" fillId="0" borderId="0" applyFont="0" applyFill="0" applyBorder="0" applyAlignment="0" applyProtection="0"/>
    <xf numFmtId="43" fontId="1" fillId="0" borderId="0" applyFont="0" applyFill="0" applyBorder="0" applyAlignment="0" applyProtection="0"/>
    <xf numFmtId="168" fontId="1"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8" fontId="1" fillId="0" borderId="0"/>
    <xf numFmtId="168" fontId="1" fillId="0" borderId="0"/>
    <xf numFmtId="168" fontId="1" fillId="0" borderId="0"/>
    <xf numFmtId="43" fontId="1" fillId="0" borderId="0" applyFont="0" applyFill="0" applyBorder="0" applyAlignment="0" applyProtection="0"/>
    <xf numFmtId="168" fontId="1" fillId="0" borderId="0"/>
    <xf numFmtId="168" fontId="1" fillId="0" borderId="0"/>
    <xf numFmtId="168" fontId="1" fillId="0" borderId="0"/>
    <xf numFmtId="44" fontId="1" fillId="0" borderId="0" applyFont="0" applyFill="0" applyBorder="0" applyAlignment="0" applyProtection="0"/>
    <xf numFmtId="168" fontId="1" fillId="0" borderId="0"/>
    <xf numFmtId="168" fontId="1" fillId="0" borderId="0"/>
    <xf numFmtId="43" fontId="1" fillId="0" borderId="0" applyFont="0" applyFill="0" applyBorder="0" applyAlignment="0" applyProtection="0"/>
    <xf numFmtId="168"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168"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168" fontId="1" fillId="0" borderId="0"/>
    <xf numFmtId="43" fontId="1" fillId="0" borderId="0" applyFont="0" applyFill="0" applyBorder="0" applyAlignment="0" applyProtection="0"/>
    <xf numFmtId="43" fontId="1" fillId="0" borderId="0" applyFont="0" applyFill="0" applyBorder="0" applyAlignment="0" applyProtection="0"/>
    <xf numFmtId="168" fontId="1" fillId="0" borderId="0"/>
    <xf numFmtId="43" fontId="1" fillId="0" borderId="0" applyFont="0" applyFill="0" applyBorder="0" applyAlignment="0" applyProtection="0"/>
    <xf numFmtId="44" fontId="1" fillId="0" borderId="0" applyFont="0" applyFill="0" applyBorder="0" applyAlignment="0" applyProtection="0"/>
    <xf numFmtId="168" fontId="1" fillId="0" borderId="0"/>
    <xf numFmtId="44" fontId="1" fillId="0" borderId="0" applyFont="0" applyFill="0" applyBorder="0" applyAlignment="0" applyProtection="0"/>
    <xf numFmtId="168" fontId="1" fillId="0" borderId="0"/>
    <xf numFmtId="43" fontId="1" fillId="0" borderId="0" applyFont="0" applyFill="0" applyBorder="0" applyAlignment="0" applyProtection="0"/>
    <xf numFmtId="168" fontId="1" fillId="0" borderId="0"/>
    <xf numFmtId="43" fontId="1" fillId="0" borderId="0" applyFont="0" applyFill="0" applyBorder="0" applyAlignment="0" applyProtection="0"/>
    <xf numFmtId="44" fontId="1" fillId="0" borderId="0" applyFont="0" applyFill="0" applyBorder="0" applyAlignment="0" applyProtection="0"/>
    <xf numFmtId="168" fontId="1" fillId="0" borderId="0"/>
    <xf numFmtId="44" fontId="1" fillId="0" borderId="0" applyFont="0" applyFill="0" applyBorder="0" applyAlignment="0" applyProtection="0"/>
    <xf numFmtId="168" fontId="1"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8" fontId="1" fillId="0" borderId="0"/>
    <xf numFmtId="44" fontId="1" fillId="0" borderId="0" applyFont="0" applyFill="0" applyBorder="0" applyAlignment="0" applyProtection="0"/>
    <xf numFmtId="168" fontId="1" fillId="0" borderId="0"/>
    <xf numFmtId="168" fontId="1" fillId="0" borderId="0"/>
    <xf numFmtId="0" fontId="62" fillId="0" borderId="0"/>
    <xf numFmtId="41" fontId="63" fillId="0" borderId="0" applyFont="0" applyFill="0" applyBorder="0" applyAlignment="0" applyProtection="0"/>
  </cellStyleXfs>
  <cellXfs count="612">
    <xf numFmtId="168" fontId="0" fillId="0" borderId="0" xfId="0"/>
    <xf numFmtId="168" fontId="2" fillId="0" borderId="0" xfId="0" applyFont="1"/>
    <xf numFmtId="168" fontId="2" fillId="2" borderId="0" xfId="0" applyFont="1" applyFill="1"/>
    <xf numFmtId="168" fontId="4" fillId="2" borderId="0" xfId="0" applyFont="1" applyFill="1" applyAlignment="1">
      <alignment horizontal="center" vertical="center"/>
    </xf>
    <xf numFmtId="168" fontId="4" fillId="0" borderId="0" xfId="0" applyFont="1" applyAlignment="1">
      <alignment horizontal="center" vertical="center"/>
    </xf>
    <xf numFmtId="168" fontId="3" fillId="2" borderId="0" xfId="0" applyFont="1" applyFill="1" applyAlignment="1">
      <alignment vertical="center"/>
    </xf>
    <xf numFmtId="168" fontId="3" fillId="0" borderId="0" xfId="0" applyFont="1" applyAlignment="1">
      <alignment vertical="center"/>
    </xf>
    <xf numFmtId="168" fontId="6" fillId="0" borderId="0" xfId="0" applyFont="1"/>
    <xf numFmtId="0" fontId="2" fillId="0" borderId="0" xfId="0" applyNumberFormat="1" applyFont="1" applyAlignment="1">
      <alignment horizontal="left" vertical="center"/>
    </xf>
    <xf numFmtId="0" fontId="2" fillId="0" borderId="0" xfId="0" applyNumberFormat="1" applyFont="1" applyAlignment="1">
      <alignment horizontal="center" vertical="center"/>
    </xf>
    <xf numFmtId="168" fontId="2" fillId="0" borderId="0" xfId="0" applyFont="1" applyAlignment="1">
      <alignment horizontal="center"/>
    </xf>
    <xf numFmtId="0" fontId="2" fillId="0" borderId="0" xfId="0" applyNumberFormat="1" applyFont="1" applyAlignment="1">
      <alignment horizontal="justify" vertical="center" wrapText="1"/>
    </xf>
    <xf numFmtId="0" fontId="2" fillId="0" borderId="0" xfId="0" applyNumberFormat="1" applyFont="1" applyAlignment="1">
      <alignment horizontal="center" vertical="center" wrapText="1"/>
    </xf>
    <xf numFmtId="168" fontId="2" fillId="0" borderId="0" xfId="0" applyFont="1" applyAlignment="1">
      <alignment horizontal="justify" vertical="center" wrapText="1"/>
    </xf>
    <xf numFmtId="168" fontId="6" fillId="2" borderId="0" xfId="0" applyFont="1" applyFill="1"/>
    <xf numFmtId="171" fontId="2" fillId="0" borderId="0" xfId="8" applyNumberFormat="1" applyFont="1" applyAlignment="1">
      <alignment horizontal="center"/>
    </xf>
    <xf numFmtId="168" fontId="2" fillId="2" borderId="0" xfId="0" applyFont="1" applyFill="1" applyAlignment="1">
      <alignment vertical="center"/>
    </xf>
    <xf numFmtId="168" fontId="2" fillId="0" borderId="0" xfId="0" applyFont="1" applyAlignment="1">
      <alignment vertical="center"/>
    </xf>
    <xf numFmtId="173" fontId="2" fillId="2" borderId="0" xfId="4" applyNumberFormat="1" applyFont="1" applyFill="1" applyBorder="1"/>
    <xf numFmtId="173" fontId="2" fillId="0" borderId="0" xfId="4" applyNumberFormat="1" applyFont="1" applyFill="1" applyBorder="1"/>
    <xf numFmtId="168" fontId="2" fillId="0" borderId="0" xfId="0" applyFont="1" applyAlignment="1">
      <alignment horizontal="left" vertical="center" wrapText="1"/>
    </xf>
    <xf numFmtId="168" fontId="3" fillId="2" borderId="0" xfId="0" applyFont="1" applyFill="1"/>
    <xf numFmtId="168" fontId="3" fillId="0" borderId="0" xfId="0" applyFont="1"/>
    <xf numFmtId="168" fontId="3" fillId="0" borderId="5" xfId="0" applyFont="1" applyBorder="1" applyAlignment="1">
      <alignment horizontal="center" vertical="center" wrapText="1"/>
    </xf>
    <xf numFmtId="168" fontId="3" fillId="0" borderId="6" xfId="0" applyFont="1" applyBorder="1" applyAlignment="1">
      <alignment horizontal="center" vertical="center" wrapText="1"/>
    </xf>
    <xf numFmtId="0" fontId="3" fillId="0" borderId="0" xfId="0" applyNumberFormat="1" applyFont="1" applyFill="1" applyAlignment="1">
      <alignment horizontal="left" vertical="center"/>
    </xf>
    <xf numFmtId="0" fontId="3" fillId="0" borderId="0" xfId="0" applyNumberFormat="1" applyFont="1" applyFill="1" applyAlignment="1">
      <alignment horizontal="center" vertical="center"/>
    </xf>
    <xf numFmtId="168" fontId="3" fillId="0" borderId="0" xfId="0" applyFont="1" applyFill="1" applyAlignment="1">
      <alignment horizontal="center"/>
    </xf>
    <xf numFmtId="168" fontId="3" fillId="0" borderId="0" xfId="0" applyFont="1" applyFill="1"/>
    <xf numFmtId="0" fontId="13" fillId="5" borderId="13" xfId="0" applyNumberFormat="1" applyFont="1" applyFill="1" applyBorder="1" applyAlignment="1">
      <alignment vertical="center"/>
    </xf>
    <xf numFmtId="0" fontId="13" fillId="5" borderId="13" xfId="0" applyNumberFormat="1" applyFont="1" applyFill="1" applyBorder="1" applyAlignment="1">
      <alignment horizontal="left" vertical="center"/>
    </xf>
    <xf numFmtId="0" fontId="13" fillId="5" borderId="13" xfId="0" applyNumberFormat="1" applyFont="1" applyFill="1" applyBorder="1" applyAlignment="1">
      <alignment horizontal="center" vertical="center"/>
    </xf>
    <xf numFmtId="168" fontId="13" fillId="5" borderId="13" xfId="0" applyFont="1" applyFill="1" applyBorder="1" applyAlignment="1">
      <alignment horizontal="center" vertical="center"/>
    </xf>
    <xf numFmtId="168" fontId="2" fillId="0" borderId="0" xfId="0" applyFont="1" applyFill="1"/>
    <xf numFmtId="0" fontId="13" fillId="5" borderId="19" xfId="0" applyNumberFormat="1" applyFont="1" applyFill="1" applyBorder="1" applyAlignment="1">
      <alignment horizontal="left" vertical="center"/>
    </xf>
    <xf numFmtId="0" fontId="13" fillId="5" borderId="19" xfId="0" applyNumberFormat="1" applyFont="1" applyFill="1" applyBorder="1" applyAlignment="1">
      <alignment horizontal="center" vertical="center"/>
    </xf>
    <xf numFmtId="168" fontId="13" fillId="5" borderId="19" xfId="0" applyFont="1" applyFill="1" applyBorder="1" applyAlignment="1">
      <alignment horizontal="center" vertical="center"/>
    </xf>
    <xf numFmtId="168" fontId="6" fillId="0" borderId="0" xfId="0" applyFont="1" applyFill="1"/>
    <xf numFmtId="168" fontId="6" fillId="2" borderId="0" xfId="0" applyFont="1" applyFill="1" applyAlignment="1">
      <alignment vertical="center"/>
    </xf>
    <xf numFmtId="168" fontId="12" fillId="0" borderId="0" xfId="0" applyFont="1"/>
    <xf numFmtId="168" fontId="2" fillId="2" borderId="0" xfId="0" applyFont="1" applyFill="1" applyBorder="1"/>
    <xf numFmtId="168" fontId="4" fillId="2" borderId="0" xfId="0" applyFont="1" applyFill="1" applyBorder="1" applyAlignment="1">
      <alignment horizontal="center" vertical="center"/>
    </xf>
    <xf numFmtId="168" fontId="3" fillId="2" borderId="0" xfId="0" applyFont="1" applyFill="1" applyBorder="1" applyAlignment="1">
      <alignment vertical="center"/>
    </xf>
    <xf numFmtId="168" fontId="2" fillId="0" borderId="0" xfId="0" applyFont="1" applyFill="1" applyBorder="1"/>
    <xf numFmtId="168" fontId="6" fillId="2" borderId="0" xfId="0" applyFont="1" applyFill="1" applyBorder="1"/>
    <xf numFmtId="168" fontId="2" fillId="0" borderId="0" xfId="0" applyFont="1" applyBorder="1"/>
    <xf numFmtId="168" fontId="6" fillId="0" borderId="0" xfId="0" applyFont="1" applyFill="1" applyBorder="1"/>
    <xf numFmtId="168" fontId="3" fillId="2" borderId="0" xfId="0" applyFont="1" applyFill="1" applyBorder="1"/>
    <xf numFmtId="168" fontId="3" fillId="0" borderId="0" xfId="0" applyFont="1" applyFill="1" applyBorder="1"/>
    <xf numFmtId="168" fontId="2" fillId="2" borderId="0" xfId="0" applyFont="1" applyFill="1" applyAlignment="1">
      <alignment horizontal="left" vertical="center" wrapText="1"/>
    </xf>
    <xf numFmtId="168" fontId="2" fillId="2" borderId="0" xfId="0" applyFont="1" applyFill="1" applyAlignment="1">
      <alignment horizontal="center"/>
    </xf>
    <xf numFmtId="0" fontId="3" fillId="6" borderId="13" xfId="0" applyNumberFormat="1" applyFont="1" applyFill="1" applyBorder="1" applyAlignment="1">
      <alignment vertical="center"/>
    </xf>
    <xf numFmtId="0" fontId="3" fillId="13" borderId="13" xfId="0" applyNumberFormat="1" applyFont="1" applyFill="1" applyBorder="1" applyAlignment="1">
      <alignment horizontal="left" vertical="center"/>
    </xf>
    <xf numFmtId="0" fontId="3" fillId="6" borderId="13" xfId="0" applyNumberFormat="1" applyFont="1" applyFill="1" applyBorder="1" applyAlignment="1">
      <alignment horizontal="left" vertical="center"/>
    </xf>
    <xf numFmtId="0" fontId="3" fillId="13" borderId="13" xfId="0" applyNumberFormat="1" applyFont="1" applyFill="1" applyBorder="1" applyAlignment="1">
      <alignment horizontal="center" vertical="center" wrapText="1"/>
    </xf>
    <xf numFmtId="168" fontId="13" fillId="5" borderId="13" xfId="0" applyFont="1" applyFill="1" applyBorder="1" applyAlignment="1">
      <alignment horizontal="justify" vertical="center"/>
    </xf>
    <xf numFmtId="168" fontId="2" fillId="2" borderId="0" xfId="0" applyFont="1" applyFill="1" applyAlignment="1">
      <alignment horizontal="justify" vertical="center"/>
    </xf>
    <xf numFmtId="168" fontId="13" fillId="5" borderId="19" xfId="0" applyFont="1" applyFill="1" applyBorder="1" applyAlignment="1">
      <alignment horizontal="justify" vertical="center"/>
    </xf>
    <xf numFmtId="0" fontId="2" fillId="0" borderId="13" xfId="0" applyNumberFormat="1" applyFont="1" applyFill="1" applyBorder="1" applyAlignment="1">
      <alignment horizontal="center" vertical="center" wrapText="1"/>
    </xf>
    <xf numFmtId="0" fontId="3" fillId="0" borderId="13" xfId="0" applyNumberFormat="1" applyFont="1" applyBorder="1" applyAlignment="1">
      <alignment horizontal="center" vertical="center" wrapText="1"/>
    </xf>
    <xf numFmtId="0" fontId="2" fillId="0" borderId="13" xfId="0" applyNumberFormat="1" applyFont="1" applyBorder="1" applyAlignment="1">
      <alignment horizontal="center" vertical="center"/>
    </xf>
    <xf numFmtId="0" fontId="2" fillId="0" borderId="13" xfId="7" applyFont="1" applyFill="1" applyBorder="1" applyAlignment="1">
      <alignment horizontal="justify" vertical="center" wrapText="1"/>
    </xf>
    <xf numFmtId="168" fontId="3" fillId="0" borderId="13" xfId="0" applyFont="1" applyBorder="1" applyAlignment="1">
      <alignment vertical="center"/>
    </xf>
    <xf numFmtId="0" fontId="3" fillId="6" borderId="13" xfId="0" applyNumberFormat="1" applyFont="1" applyFill="1" applyBorder="1" applyAlignment="1">
      <alignment horizontal="center" vertical="center" wrapText="1"/>
    </xf>
    <xf numFmtId="168" fontId="3" fillId="13" borderId="13" xfId="0" applyFont="1" applyFill="1" applyBorder="1" applyAlignment="1">
      <alignment horizontal="justify" vertical="center" wrapText="1"/>
    </xf>
    <xf numFmtId="168" fontId="2" fillId="0" borderId="13" xfId="0" applyFont="1" applyBorder="1"/>
    <xf numFmtId="43" fontId="2" fillId="0" borderId="13" xfId="1" applyFont="1" applyFill="1" applyBorder="1" applyAlignment="1">
      <alignment horizontal="justify" vertical="center"/>
    </xf>
    <xf numFmtId="0" fontId="3" fillId="6" borderId="13" xfId="0" applyNumberFormat="1" applyFont="1" applyFill="1" applyBorder="1" applyAlignment="1">
      <alignment horizontal="center" vertical="center"/>
    </xf>
    <xf numFmtId="0" fontId="3" fillId="0" borderId="13" xfId="0" applyNumberFormat="1" applyFont="1" applyBorder="1" applyAlignment="1">
      <alignment horizontal="center" vertical="center"/>
    </xf>
    <xf numFmtId="43" fontId="3" fillId="6" borderId="13" xfId="0" applyNumberFormat="1" applyFont="1" applyFill="1" applyBorder="1" applyAlignment="1">
      <alignment vertical="center"/>
    </xf>
    <xf numFmtId="0" fontId="3" fillId="9" borderId="13" xfId="0" applyNumberFormat="1" applyFont="1" applyFill="1" applyBorder="1" applyAlignment="1">
      <alignment horizontal="left" vertical="center"/>
    </xf>
    <xf numFmtId="168" fontId="3" fillId="9" borderId="13" xfId="0" applyFont="1" applyFill="1" applyBorder="1" applyAlignment="1">
      <alignment horizontal="justify" vertical="center" wrapText="1"/>
    </xf>
    <xf numFmtId="168" fontId="2" fillId="0" borderId="13" xfId="0" applyFont="1" applyFill="1" applyBorder="1"/>
    <xf numFmtId="0" fontId="3" fillId="0" borderId="13" xfId="0" applyNumberFormat="1" applyFont="1" applyFill="1" applyBorder="1" applyAlignment="1">
      <alignment horizontal="center" vertical="center" wrapText="1"/>
    </xf>
    <xf numFmtId="0" fontId="2" fillId="0" borderId="13" xfId="0" applyNumberFormat="1" applyFont="1" applyFill="1" applyBorder="1" applyAlignment="1">
      <alignment horizontal="center" vertical="center"/>
    </xf>
    <xf numFmtId="168" fontId="2" fillId="0" borderId="0" xfId="0" applyFont="1" applyFill="1" applyAlignment="1">
      <alignment horizontal="left" vertical="center" wrapText="1"/>
    </xf>
    <xf numFmtId="168" fontId="2" fillId="10" borderId="3" xfId="0" applyFont="1" applyFill="1" applyBorder="1" applyAlignment="1">
      <alignment horizontal="justify" vertical="center" wrapText="1"/>
    </xf>
    <xf numFmtId="0" fontId="3" fillId="15" borderId="33" xfId="0" applyNumberFormat="1" applyFont="1" applyFill="1" applyBorder="1" applyAlignment="1">
      <alignment horizontal="left" vertical="center"/>
    </xf>
    <xf numFmtId="0" fontId="3" fillId="15" borderId="34" xfId="0" applyNumberFormat="1" applyFont="1" applyFill="1" applyBorder="1" applyAlignment="1">
      <alignment horizontal="center" vertical="center"/>
    </xf>
    <xf numFmtId="0" fontId="2" fillId="15" borderId="34" xfId="0" applyNumberFormat="1" applyFont="1" applyFill="1" applyBorder="1" applyAlignment="1">
      <alignment horizontal="center" vertical="center"/>
    </xf>
    <xf numFmtId="168" fontId="2" fillId="15" borderId="34" xfId="0" applyFont="1" applyFill="1" applyBorder="1" applyAlignment="1">
      <alignment horizontal="center"/>
    </xf>
    <xf numFmtId="0" fontId="3" fillId="4" borderId="33" xfId="0" applyNumberFormat="1" applyFont="1" applyFill="1" applyBorder="1" applyAlignment="1">
      <alignment horizontal="left" vertical="center"/>
    </xf>
    <xf numFmtId="0" fontId="3" fillId="4" borderId="34" xfId="0" applyNumberFormat="1" applyFont="1" applyFill="1" applyBorder="1" applyAlignment="1">
      <alignment horizontal="center" vertical="center"/>
    </xf>
    <xf numFmtId="168" fontId="3" fillId="4" borderId="34" xfId="0" applyFont="1" applyFill="1" applyBorder="1" applyAlignment="1">
      <alignment horizontal="center"/>
    </xf>
    <xf numFmtId="0" fontId="4" fillId="4" borderId="21" xfId="0" applyNumberFormat="1" applyFont="1" applyFill="1" applyBorder="1" applyAlignment="1">
      <alignment horizontal="center" vertical="center" wrapText="1"/>
    </xf>
    <xf numFmtId="168" fontId="2" fillId="0" borderId="0" xfId="0" applyFont="1" applyFill="1" applyAlignment="1">
      <alignment horizontal="center"/>
    </xf>
    <xf numFmtId="168" fontId="6" fillId="0" borderId="0" xfId="0" applyFont="1" applyAlignment="1">
      <alignment horizontal="center"/>
    </xf>
    <xf numFmtId="4" fontId="6" fillId="0" borderId="0" xfId="0" applyNumberFormat="1" applyFont="1" applyAlignment="1">
      <alignment horizontal="center"/>
    </xf>
    <xf numFmtId="168" fontId="6" fillId="0" borderId="0" xfId="0" applyFont="1" applyAlignment="1">
      <alignment wrapText="1"/>
    </xf>
    <xf numFmtId="168" fontId="6" fillId="0" borderId="0" xfId="0" applyFont="1" applyAlignment="1">
      <alignment horizontal="center" vertical="center"/>
    </xf>
    <xf numFmtId="0" fontId="13" fillId="5" borderId="13" xfId="0" applyNumberFormat="1" applyFont="1" applyFill="1" applyBorder="1" applyAlignment="1">
      <alignment horizontal="center" vertical="center" wrapText="1"/>
    </xf>
    <xf numFmtId="0" fontId="3" fillId="13" borderId="16" xfId="0" applyNumberFormat="1" applyFont="1" applyFill="1" applyBorder="1" applyAlignment="1">
      <alignment horizontal="left" vertical="center"/>
    </xf>
    <xf numFmtId="168" fontId="13" fillId="5" borderId="0" xfId="0" applyFont="1" applyFill="1"/>
    <xf numFmtId="168" fontId="13" fillId="5" borderId="0" xfId="0" applyFont="1" applyFill="1" applyAlignment="1">
      <alignment horizontal="center"/>
    </xf>
    <xf numFmtId="0" fontId="2" fillId="46" borderId="13" xfId="0" applyNumberFormat="1" applyFont="1" applyFill="1" applyBorder="1" applyAlignment="1">
      <alignment horizontal="center" vertical="center" wrapText="1"/>
    </xf>
    <xf numFmtId="0" fontId="2" fillId="46" borderId="13" xfId="0" applyNumberFormat="1" applyFont="1" applyFill="1" applyBorder="1" applyAlignment="1">
      <alignment vertical="center"/>
    </xf>
    <xf numFmtId="0" fontId="2" fillId="46" borderId="13" xfId="0" applyNumberFormat="1" applyFont="1" applyFill="1" applyBorder="1" applyAlignment="1">
      <alignment horizontal="justify" vertical="center" wrapText="1"/>
    </xf>
    <xf numFmtId="0" fontId="2" fillId="46" borderId="13" xfId="0" applyNumberFormat="1" applyFont="1" applyFill="1" applyBorder="1" applyAlignment="1">
      <alignment horizontal="justify" vertical="center"/>
    </xf>
    <xf numFmtId="0" fontId="2" fillId="0" borderId="16" xfId="0" applyNumberFormat="1" applyFont="1" applyFill="1" applyBorder="1" applyAlignment="1">
      <alignment horizontal="center" vertical="center" wrapText="1"/>
    </xf>
    <xf numFmtId="0" fontId="2" fillId="0" borderId="3" xfId="9" applyNumberFormat="1" applyFont="1" applyFill="1" applyBorder="1" applyAlignment="1">
      <alignment horizontal="center" vertical="center" wrapText="1"/>
    </xf>
    <xf numFmtId="0" fontId="3" fillId="5" borderId="2" xfId="0" applyNumberFormat="1" applyFont="1" applyFill="1" applyBorder="1" applyAlignment="1">
      <alignment horizontal="center" vertical="center" wrapText="1"/>
    </xf>
    <xf numFmtId="168" fontId="2" fillId="5" borderId="2" xfId="0" applyFont="1" applyFill="1" applyBorder="1" applyAlignment="1">
      <alignment horizontal="justify" vertical="center" wrapText="1"/>
    </xf>
    <xf numFmtId="0" fontId="2" fillId="0" borderId="0" xfId="0" applyNumberFormat="1" applyFont="1" applyFill="1" applyBorder="1" applyAlignment="1">
      <alignment horizontal="center" vertical="center" wrapText="1"/>
    </xf>
    <xf numFmtId="0" fontId="2" fillId="0" borderId="3" xfId="7" applyFont="1" applyFill="1" applyBorder="1" applyAlignment="1">
      <alignment horizontal="center" vertical="center" wrapText="1"/>
    </xf>
    <xf numFmtId="168" fontId="4" fillId="0" borderId="0" xfId="0" applyFont="1" applyFill="1" applyAlignment="1">
      <alignment horizontal="center" vertical="center"/>
    </xf>
    <xf numFmtId="0" fontId="3" fillId="6" borderId="17" xfId="0" applyNumberFormat="1" applyFont="1" applyFill="1" applyBorder="1" applyAlignment="1">
      <alignment horizontal="center" vertical="center" wrapText="1"/>
    </xf>
    <xf numFmtId="168" fontId="53" fillId="11" borderId="59" xfId="0" applyFont="1" applyFill="1" applyBorder="1" applyAlignment="1">
      <alignment horizontal="center" vertical="center" wrapText="1"/>
    </xf>
    <xf numFmtId="168" fontId="53" fillId="0" borderId="59" xfId="0" applyFont="1" applyBorder="1" applyAlignment="1">
      <alignment horizontal="center" vertical="center" wrapText="1"/>
    </xf>
    <xf numFmtId="168" fontId="6" fillId="0" borderId="59" xfId="0" applyFont="1" applyBorder="1" applyAlignment="1">
      <alignment horizontal="center" vertical="center" wrapText="1"/>
    </xf>
    <xf numFmtId="168" fontId="53" fillId="11" borderId="59" xfId="0" applyFont="1" applyFill="1" applyBorder="1" applyAlignment="1">
      <alignment horizontal="center" vertical="center"/>
    </xf>
    <xf numFmtId="168" fontId="53" fillId="0" borderId="59" xfId="0" applyFont="1" applyBorder="1" applyAlignment="1">
      <alignment horizontal="center" vertical="center"/>
    </xf>
    <xf numFmtId="168" fontId="6" fillId="0" borderId="59" xfId="0" applyFont="1" applyBorder="1" applyAlignment="1">
      <alignment horizontal="center" vertical="center"/>
    </xf>
    <xf numFmtId="1" fontId="53" fillId="11" borderId="59" xfId="0" applyNumberFormat="1" applyFont="1" applyFill="1" applyBorder="1" applyAlignment="1">
      <alignment horizontal="center" vertical="center"/>
    </xf>
    <xf numFmtId="168" fontId="53" fillId="0" borderId="58" xfId="0" applyFont="1" applyBorder="1" applyAlignment="1">
      <alignment horizontal="justify" vertical="center" wrapText="1"/>
    </xf>
    <xf numFmtId="168" fontId="6" fillId="0" borderId="58" xfId="0" applyFont="1" applyBorder="1" applyAlignment="1">
      <alignment horizontal="justify" vertical="center" wrapText="1"/>
    </xf>
    <xf numFmtId="168" fontId="53" fillId="11" borderId="58" xfId="0" applyFont="1" applyFill="1" applyBorder="1" applyAlignment="1">
      <alignment horizontal="justify" vertical="center" wrapText="1"/>
    </xf>
    <xf numFmtId="0" fontId="6" fillId="0" borderId="58" xfId="0" applyNumberFormat="1" applyFont="1" applyBorder="1" applyAlignment="1">
      <alignment horizontal="justify" vertical="center" wrapText="1"/>
    </xf>
    <xf numFmtId="168" fontId="53" fillId="11" borderId="64" xfId="0" applyFont="1" applyFill="1" applyBorder="1" applyAlignment="1">
      <alignment horizontal="center" vertical="center"/>
    </xf>
    <xf numFmtId="168" fontId="53" fillId="0" borderId="0" xfId="0" applyFont="1" applyBorder="1" applyAlignment="1">
      <alignment horizontal="justify" vertical="center" wrapText="1"/>
    </xf>
    <xf numFmtId="168" fontId="13" fillId="5" borderId="57" xfId="0" applyFont="1" applyFill="1" applyBorder="1" applyAlignment="1">
      <alignment vertical="center"/>
    </xf>
    <xf numFmtId="168" fontId="6" fillId="0" borderId="57" xfId="0" applyFont="1" applyBorder="1" applyAlignment="1">
      <alignment vertical="center"/>
    </xf>
    <xf numFmtId="168" fontId="6" fillId="0" borderId="65" xfId="0" applyFont="1" applyBorder="1" applyAlignment="1">
      <alignment vertical="center"/>
    </xf>
    <xf numFmtId="168" fontId="3" fillId="4" borderId="35" xfId="0" applyFont="1" applyFill="1" applyBorder="1" applyAlignment="1">
      <alignment vertical="center"/>
    </xf>
    <xf numFmtId="168" fontId="6" fillId="0" borderId="0" xfId="0" applyFont="1" applyAlignment="1">
      <alignment vertical="center"/>
    </xf>
    <xf numFmtId="168" fontId="3" fillId="14" borderId="35" xfId="0" applyFont="1" applyFill="1" applyBorder="1" applyAlignment="1">
      <alignment vertical="center"/>
    </xf>
    <xf numFmtId="0" fontId="3" fillId="13" borderId="13" xfId="0" applyNumberFormat="1" applyFont="1" applyFill="1" applyBorder="1" applyAlignment="1">
      <alignment vertical="center"/>
    </xf>
    <xf numFmtId="0" fontId="2" fillId="0" borderId="0" xfId="0" applyNumberFormat="1" applyFont="1" applyBorder="1" applyAlignment="1">
      <alignment horizontal="center" vertical="center"/>
    </xf>
    <xf numFmtId="168" fontId="2" fillId="0" borderId="0" xfId="0" applyFont="1" applyBorder="1" applyAlignment="1">
      <alignment horizontal="center"/>
    </xf>
    <xf numFmtId="0" fontId="3" fillId="13" borderId="15" xfId="0" applyNumberFormat="1" applyFont="1" applyFill="1" applyBorder="1" applyAlignment="1">
      <alignment horizontal="center" vertical="center" wrapText="1"/>
    </xf>
    <xf numFmtId="0" fontId="3" fillId="13" borderId="16" xfId="0" applyNumberFormat="1" applyFont="1" applyFill="1" applyBorder="1" applyAlignment="1">
      <alignment vertical="center"/>
    </xf>
    <xf numFmtId="0" fontId="3" fillId="13" borderId="25" xfId="0" applyNumberFormat="1" applyFont="1" applyFill="1" applyBorder="1" applyAlignment="1">
      <alignment horizontal="center" vertical="center" wrapText="1"/>
    </xf>
    <xf numFmtId="0" fontId="3" fillId="13" borderId="29" xfId="0" applyNumberFormat="1" applyFont="1" applyFill="1" applyBorder="1" applyAlignment="1">
      <alignment horizontal="center" vertical="center" wrapText="1"/>
    </xf>
    <xf numFmtId="0" fontId="3" fillId="6" borderId="13" xfId="0" applyNumberFormat="1" applyFont="1" applyFill="1" applyBorder="1" applyAlignment="1">
      <alignment horizontal="justify" vertical="center"/>
    </xf>
    <xf numFmtId="0" fontId="3" fillId="13" borderId="13" xfId="0" applyNumberFormat="1" applyFont="1" applyFill="1" applyBorder="1" applyAlignment="1">
      <alignment horizontal="justify" vertical="center"/>
    </xf>
    <xf numFmtId="168" fontId="6" fillId="0" borderId="13" xfId="0" applyFont="1" applyBorder="1"/>
    <xf numFmtId="168" fontId="6" fillId="0" borderId="13" xfId="0" applyFont="1" applyFill="1" applyBorder="1"/>
    <xf numFmtId="0" fontId="3" fillId="13" borderId="17" xfId="0" applyNumberFormat="1" applyFont="1" applyFill="1" applyBorder="1" applyAlignment="1">
      <alignment horizontal="left" vertical="center"/>
    </xf>
    <xf numFmtId="0" fontId="3" fillId="13" borderId="17" xfId="0" applyNumberFormat="1" applyFont="1" applyFill="1" applyBorder="1" applyAlignment="1">
      <alignment vertical="center"/>
    </xf>
    <xf numFmtId="0" fontId="3" fillId="8" borderId="13" xfId="0" applyNumberFormat="1" applyFont="1" applyFill="1" applyBorder="1" applyAlignment="1">
      <alignment horizontal="left" vertical="center"/>
    </xf>
    <xf numFmtId="0" fontId="3" fillId="8" borderId="13" xfId="0" applyNumberFormat="1" applyFont="1" applyFill="1" applyBorder="1" applyAlignment="1">
      <alignment horizontal="center" vertical="center"/>
    </xf>
    <xf numFmtId="0" fontId="3" fillId="8" borderId="13" xfId="0" applyNumberFormat="1" applyFont="1" applyFill="1" applyBorder="1" applyAlignment="1">
      <alignment horizontal="left" vertical="center" wrapText="1"/>
    </xf>
    <xf numFmtId="168" fontId="3" fillId="8" borderId="13" xfId="0" applyNumberFormat="1" applyFont="1" applyFill="1" applyBorder="1" applyAlignment="1">
      <alignment horizontal="left" vertical="center" wrapText="1"/>
    </xf>
    <xf numFmtId="0" fontId="3" fillId="13" borderId="16" xfId="0" applyNumberFormat="1" applyFont="1" applyFill="1" applyBorder="1" applyAlignment="1">
      <alignment horizontal="center" vertical="center" wrapText="1"/>
    </xf>
    <xf numFmtId="0" fontId="3" fillId="13" borderId="15" xfId="0" applyNumberFormat="1" applyFont="1" applyFill="1" applyBorder="1" applyAlignment="1">
      <alignment vertical="center"/>
    </xf>
    <xf numFmtId="168" fontId="4" fillId="4" borderId="21" xfId="0" applyFont="1" applyFill="1" applyBorder="1" applyAlignment="1">
      <alignment horizontal="center" vertical="center" wrapText="1"/>
    </xf>
    <xf numFmtId="0" fontId="4" fillId="4" borderId="20" xfId="0" applyNumberFormat="1" applyFont="1" applyFill="1" applyBorder="1" applyAlignment="1">
      <alignment horizontal="center" vertical="center" wrapText="1"/>
    </xf>
    <xf numFmtId="168" fontId="2" fillId="0" borderId="0" xfId="0" applyFont="1" applyBorder="1" applyAlignment="1">
      <alignment horizontal="justify"/>
    </xf>
    <xf numFmtId="0" fontId="3" fillId="13" borderId="18" xfId="0" applyNumberFormat="1" applyFont="1" applyFill="1" applyBorder="1" applyAlignment="1">
      <alignment horizontal="left" vertical="center" wrapText="1"/>
    </xf>
    <xf numFmtId="0" fontId="3" fillId="8" borderId="7" xfId="0" applyNumberFormat="1" applyFont="1" applyFill="1" applyBorder="1" applyAlignment="1">
      <alignment horizontal="left" vertical="center"/>
    </xf>
    <xf numFmtId="0" fontId="3" fillId="8" borderId="8" xfId="0" applyNumberFormat="1" applyFont="1" applyFill="1" applyBorder="1" applyAlignment="1">
      <alignment horizontal="left" vertical="center"/>
    </xf>
    <xf numFmtId="43" fontId="3" fillId="13" borderId="13" xfId="1" applyFont="1" applyFill="1" applyBorder="1" applyAlignment="1">
      <alignment vertical="center"/>
    </xf>
    <xf numFmtId="43" fontId="3" fillId="6" borderId="13" xfId="1" applyFont="1" applyFill="1" applyBorder="1" applyAlignment="1">
      <alignment vertical="center"/>
    </xf>
    <xf numFmtId="168" fontId="3" fillId="9" borderId="13" xfId="0" applyFont="1" applyFill="1" applyBorder="1" applyAlignment="1">
      <alignment horizontal="center" vertical="center"/>
    </xf>
    <xf numFmtId="43" fontId="3" fillId="9" borderId="13" xfId="0" applyNumberFormat="1" applyFont="1" applyFill="1" applyBorder="1" applyAlignment="1">
      <alignment vertical="center"/>
    </xf>
    <xf numFmtId="43" fontId="3" fillId="9" borderId="13" xfId="0" applyNumberFormat="1" applyFont="1" applyFill="1" applyBorder="1" applyAlignment="1">
      <alignment horizontal="center" vertical="center"/>
    </xf>
    <xf numFmtId="168" fontId="3" fillId="9" borderId="0" xfId="0" applyFont="1" applyFill="1" applyAlignment="1">
      <alignment vertical="center"/>
    </xf>
    <xf numFmtId="43" fontId="3" fillId="10" borderId="9" xfId="0" applyNumberFormat="1" applyFont="1" applyFill="1" applyBorder="1" applyAlignment="1">
      <alignment vertical="center"/>
    </xf>
    <xf numFmtId="43" fontId="3" fillId="10" borderId="3" xfId="0" applyNumberFormat="1" applyFont="1" applyFill="1" applyBorder="1" applyAlignment="1">
      <alignment horizontal="center" vertical="center"/>
    </xf>
    <xf numFmtId="168" fontId="2" fillId="10" borderId="0" xfId="0" applyFont="1" applyFill="1" applyAlignment="1">
      <alignment vertical="center"/>
    </xf>
    <xf numFmtId="170" fontId="4" fillId="4" borderId="9" xfId="5" applyNumberFormat="1" applyFont="1" applyFill="1" applyBorder="1" applyAlignment="1">
      <alignment horizontal="center" vertical="center" wrapText="1"/>
    </xf>
    <xf numFmtId="170" fontId="4" fillId="4" borderId="3" xfId="5" applyNumberFormat="1" applyFont="1" applyFill="1" applyBorder="1" applyAlignment="1">
      <alignment horizontal="center" vertical="center" wrapText="1"/>
    </xf>
    <xf numFmtId="0" fontId="4" fillId="4" borderId="2" xfId="0" applyNumberFormat="1" applyFont="1" applyFill="1" applyBorder="1" applyAlignment="1">
      <alignment horizontal="center" vertical="center" wrapText="1"/>
    </xf>
    <xf numFmtId="170" fontId="4" fillId="4" borderId="3" xfId="5" applyNumberFormat="1" applyFont="1" applyFill="1" applyBorder="1" applyAlignment="1">
      <alignment horizontal="center" vertical="center" wrapText="1"/>
    </xf>
    <xf numFmtId="0" fontId="4" fillId="4" borderId="23" xfId="0" applyNumberFormat="1" applyFont="1" applyFill="1" applyBorder="1" applyAlignment="1">
      <alignment horizontal="center" vertical="center" wrapText="1"/>
    </xf>
    <xf numFmtId="168" fontId="4" fillId="4" borderId="23" xfId="0" applyFont="1" applyFill="1" applyBorder="1" applyAlignment="1">
      <alignment horizontal="center" vertical="center" wrapText="1"/>
    </xf>
    <xf numFmtId="0" fontId="4" fillId="4" borderId="30" xfId="0" applyNumberFormat="1" applyFont="1" applyFill="1" applyBorder="1" applyAlignment="1">
      <alignment horizontal="center" vertical="center" wrapText="1"/>
    </xf>
    <xf numFmtId="0" fontId="3" fillId="8" borderId="15" xfId="0" applyNumberFormat="1" applyFont="1" applyFill="1" applyBorder="1" applyAlignment="1">
      <alignment vertical="center"/>
    </xf>
    <xf numFmtId="0" fontId="3" fillId="8" borderId="18" xfId="0" applyNumberFormat="1" applyFont="1" applyFill="1" applyBorder="1" applyAlignment="1">
      <alignment vertical="center"/>
    </xf>
    <xf numFmtId="0" fontId="3" fillId="8" borderId="16" xfId="0" applyNumberFormat="1" applyFont="1" applyFill="1" applyBorder="1" applyAlignment="1">
      <alignment vertical="center"/>
    </xf>
    <xf numFmtId="10" fontId="13" fillId="5" borderId="13" xfId="0" applyNumberFormat="1" applyFont="1" applyFill="1" applyBorder="1" applyAlignment="1">
      <alignment horizontal="center" vertical="center"/>
    </xf>
    <xf numFmtId="43" fontId="13" fillId="5" borderId="13" xfId="1" applyFont="1" applyFill="1" applyBorder="1" applyAlignment="1">
      <alignment vertical="center"/>
    </xf>
    <xf numFmtId="168" fontId="53" fillId="0" borderId="59" xfId="0" applyFont="1" applyFill="1" applyBorder="1" applyAlignment="1">
      <alignment horizontal="center" vertical="center" wrapText="1"/>
    </xf>
    <xf numFmtId="168" fontId="6" fillId="0" borderId="59" xfId="0" applyFont="1" applyFill="1" applyBorder="1" applyAlignment="1">
      <alignment horizontal="center" vertical="center" wrapText="1"/>
    </xf>
    <xf numFmtId="168" fontId="55" fillId="4" borderId="71" xfId="0" applyFont="1" applyFill="1" applyBorder="1" applyAlignment="1">
      <alignment horizontal="center" vertical="center" wrapText="1"/>
    </xf>
    <xf numFmtId="10" fontId="13" fillId="5" borderId="57" xfId="282" applyNumberFormat="1" applyFont="1" applyFill="1" applyBorder="1" applyAlignment="1">
      <alignment horizontal="center" vertical="center"/>
    </xf>
    <xf numFmtId="10" fontId="6" fillId="0" borderId="57" xfId="282" applyNumberFormat="1" applyFont="1" applyBorder="1" applyAlignment="1">
      <alignment horizontal="center" vertical="center"/>
    </xf>
    <xf numFmtId="10" fontId="54" fillId="4" borderId="57" xfId="282" applyNumberFormat="1" applyFont="1" applyFill="1" applyBorder="1" applyAlignment="1">
      <alignment horizontal="center" vertical="center"/>
    </xf>
    <xf numFmtId="10" fontId="3" fillId="14" borderId="57" xfId="282" applyNumberFormat="1" applyFont="1" applyFill="1" applyBorder="1" applyAlignment="1">
      <alignment horizontal="center" vertical="center"/>
    </xf>
    <xf numFmtId="10" fontId="55" fillId="4" borderId="71" xfId="0" applyNumberFormat="1" applyFont="1" applyFill="1" applyBorder="1" applyAlignment="1">
      <alignment horizontal="center" vertical="center" wrapText="1"/>
    </xf>
    <xf numFmtId="10" fontId="30" fillId="5" borderId="57" xfId="282" applyNumberFormat="1" applyFont="1" applyFill="1" applyBorder="1" applyAlignment="1">
      <alignment horizontal="center" vertical="center"/>
    </xf>
    <xf numFmtId="0" fontId="3" fillId="9" borderId="15" xfId="0" applyNumberFormat="1" applyFont="1" applyFill="1" applyBorder="1" applyAlignment="1">
      <alignment horizontal="left" vertical="center"/>
    </xf>
    <xf numFmtId="0" fontId="3" fillId="9" borderId="18" xfId="0" applyNumberFormat="1" applyFont="1" applyFill="1" applyBorder="1" applyAlignment="1">
      <alignment horizontal="center" vertical="center"/>
    </xf>
    <xf numFmtId="168" fontId="3" fillId="9" borderId="18" xfId="0" applyFont="1" applyFill="1" applyBorder="1" applyAlignment="1">
      <alignment horizontal="center" vertical="center"/>
    </xf>
    <xf numFmtId="0" fontId="3" fillId="9" borderId="18" xfId="0" applyNumberFormat="1" applyFont="1" applyFill="1" applyBorder="1" applyAlignment="1">
      <alignment horizontal="justify" vertical="center" wrapText="1"/>
    </xf>
    <xf numFmtId="168" fontId="3" fillId="9" borderId="18" xfId="0" applyFont="1" applyFill="1" applyBorder="1" applyAlignment="1">
      <alignment horizontal="justify" vertical="center" wrapText="1"/>
    </xf>
    <xf numFmtId="0" fontId="3" fillId="9" borderId="18" xfId="0" applyNumberFormat="1" applyFont="1" applyFill="1" applyBorder="1" applyAlignment="1">
      <alignment horizontal="center" vertical="center" wrapText="1"/>
    </xf>
    <xf numFmtId="0" fontId="3" fillId="9" borderId="16" xfId="0" applyNumberFormat="1" applyFont="1" applyFill="1" applyBorder="1" applyAlignment="1">
      <alignment horizontal="center" vertical="center" wrapText="1"/>
    </xf>
    <xf numFmtId="168" fontId="2" fillId="10" borderId="9" xfId="0" applyFont="1" applyFill="1" applyBorder="1" applyAlignment="1">
      <alignment horizontal="center" vertical="center"/>
    </xf>
    <xf numFmtId="0" fontId="2" fillId="10" borderId="18" xfId="0" applyNumberFormat="1" applyFont="1" applyFill="1" applyBorder="1" applyAlignment="1">
      <alignment horizontal="left" vertical="center"/>
    </xf>
    <xf numFmtId="0" fontId="2" fillId="10" borderId="18" xfId="0" applyNumberFormat="1" applyFont="1" applyFill="1" applyBorder="1" applyAlignment="1">
      <alignment horizontal="center" vertical="center"/>
    </xf>
    <xf numFmtId="168" fontId="2" fillId="10" borderId="18" xfId="0" applyFont="1" applyFill="1" applyBorder="1" applyAlignment="1">
      <alignment horizontal="center" vertical="center"/>
    </xf>
    <xf numFmtId="0" fontId="2" fillId="10" borderId="18" xfId="0" applyNumberFormat="1" applyFont="1" applyFill="1" applyBorder="1" applyAlignment="1">
      <alignment horizontal="justify" vertical="center" wrapText="1"/>
    </xf>
    <xf numFmtId="168" fontId="2" fillId="10" borderId="18" xfId="0" applyFont="1" applyFill="1" applyBorder="1" applyAlignment="1">
      <alignment horizontal="justify" vertical="center" wrapText="1"/>
    </xf>
    <xf numFmtId="0" fontId="2" fillId="10" borderId="18" xfId="0" applyNumberFormat="1" applyFont="1" applyFill="1" applyBorder="1" applyAlignment="1">
      <alignment horizontal="center" vertical="center" wrapText="1"/>
    </xf>
    <xf numFmtId="0" fontId="2" fillId="10" borderId="16" xfId="0" applyNumberFormat="1" applyFont="1" applyFill="1" applyBorder="1" applyAlignment="1">
      <alignment horizontal="center" vertical="center" wrapText="1"/>
    </xf>
    <xf numFmtId="43" fontId="2" fillId="0" borderId="13" xfId="1" applyFont="1" applyFill="1" applyBorder="1" applyAlignment="1">
      <alignment vertical="center"/>
    </xf>
    <xf numFmtId="167" fontId="2" fillId="0" borderId="3" xfId="5" applyFont="1" applyFill="1" applyBorder="1" applyAlignment="1" applyProtection="1">
      <alignment horizontal="right" vertical="center"/>
      <protection locked="0"/>
    </xf>
    <xf numFmtId="43" fontId="3" fillId="6" borderId="13" xfId="1" applyFont="1" applyFill="1" applyBorder="1" applyAlignment="1">
      <alignment horizontal="center" vertical="center"/>
    </xf>
    <xf numFmtId="168" fontId="54" fillId="0" borderId="0" xfId="0" applyFont="1"/>
    <xf numFmtId="0" fontId="29" fillId="0" borderId="0" xfId="94" applyFont="1"/>
    <xf numFmtId="170" fontId="4" fillId="4" borderId="7" xfId="103" applyNumberFormat="1" applyFont="1" applyFill="1" applyBorder="1" applyAlignment="1">
      <alignment vertical="center" wrapText="1"/>
    </xf>
    <xf numFmtId="170" fontId="4" fillId="4" borderId="3" xfId="103" applyNumberFormat="1" applyFont="1" applyFill="1" applyBorder="1" applyAlignment="1">
      <alignment horizontal="center" vertical="center" wrapText="1"/>
    </xf>
    <xf numFmtId="170" fontId="57" fillId="4" borderId="3" xfId="103" applyNumberFormat="1" applyFont="1" applyFill="1" applyBorder="1" applyAlignment="1">
      <alignment horizontal="center" vertical="center" wrapText="1"/>
    </xf>
    <xf numFmtId="167" fontId="4" fillId="4" borderId="3" xfId="103" applyNumberFormat="1" applyFont="1" applyFill="1" applyBorder="1" applyAlignment="1">
      <alignment horizontal="center" vertical="center" wrapText="1"/>
    </xf>
    <xf numFmtId="0" fontId="29" fillId="0" borderId="0" xfId="94" applyFont="1" applyFill="1"/>
    <xf numFmtId="0" fontId="6" fillId="0" borderId="3" xfId="94" applyFont="1" applyBorder="1" applyAlignment="1">
      <alignment horizontal="center" vertical="center"/>
    </xf>
    <xf numFmtId="0" fontId="6" fillId="0" borderId="3" xfId="94" applyFont="1" applyBorder="1" applyAlignment="1">
      <alignment horizontal="left" vertical="center"/>
    </xf>
    <xf numFmtId="167" fontId="2" fillId="0" borderId="3" xfId="103" applyNumberFormat="1" applyFont="1" applyBorder="1" applyAlignment="1">
      <alignment horizontal="right" vertical="center"/>
    </xf>
    <xf numFmtId="9" fontId="2" fillId="0" borderId="3" xfId="96" applyFont="1" applyBorder="1" applyAlignment="1">
      <alignment horizontal="center" vertical="center"/>
    </xf>
    <xf numFmtId="167" fontId="2" fillId="0" borderId="3" xfId="96" applyNumberFormat="1" applyFont="1" applyBorder="1" applyAlignment="1">
      <alignment horizontal="center" vertical="center"/>
    </xf>
    <xf numFmtId="10" fontId="2" fillId="0" borderId="3" xfId="96" applyNumberFormat="1" applyFont="1" applyBorder="1" applyAlignment="1">
      <alignment horizontal="center" vertical="center"/>
    </xf>
    <xf numFmtId="167" fontId="2" fillId="0" borderId="3" xfId="103" applyNumberFormat="1" applyFont="1" applyFill="1" applyBorder="1" applyAlignment="1">
      <alignment horizontal="right" vertical="center"/>
    </xf>
    <xf numFmtId="10" fontId="3" fillId="0" borderId="3" xfId="94" applyNumberFormat="1" applyFont="1" applyFill="1" applyBorder="1" applyAlignment="1" applyProtection="1">
      <alignment horizontal="center" vertical="center"/>
      <protection locked="0"/>
    </xf>
    <xf numFmtId="167" fontId="2" fillId="0" borderId="3" xfId="282" applyNumberFormat="1" applyFont="1" applyFill="1" applyBorder="1" applyAlignment="1">
      <alignment horizontal="right" vertical="center"/>
    </xf>
    <xf numFmtId="10" fontId="2" fillId="0" borderId="3" xfId="282" applyNumberFormat="1" applyFont="1" applyBorder="1" applyAlignment="1">
      <alignment horizontal="center" vertical="center"/>
    </xf>
    <xf numFmtId="167" fontId="2" fillId="0" borderId="3" xfId="282" applyNumberFormat="1" applyFont="1" applyBorder="1" applyAlignment="1">
      <alignment horizontal="center" vertical="center"/>
    </xf>
    <xf numFmtId="167" fontId="6" fillId="0" borderId="3" xfId="103" applyNumberFormat="1" applyFont="1" applyBorder="1" applyAlignment="1">
      <alignment vertical="center"/>
    </xf>
    <xf numFmtId="10" fontId="6" fillId="0" borderId="3" xfId="96" applyNumberFormat="1" applyFont="1" applyBorder="1" applyAlignment="1">
      <alignment horizontal="center" vertical="center"/>
    </xf>
    <xf numFmtId="0" fontId="29" fillId="0" borderId="0" xfId="94" applyFont="1" applyAlignment="1">
      <alignment vertical="center"/>
    </xf>
    <xf numFmtId="167" fontId="6" fillId="0" borderId="3" xfId="103" applyNumberFormat="1" applyFont="1" applyFill="1" applyBorder="1" applyAlignment="1">
      <alignment vertical="center"/>
    </xf>
    <xf numFmtId="0" fontId="6" fillId="0" borderId="3" xfId="94" applyFont="1" applyBorder="1" applyAlignment="1">
      <alignment horizontal="left" vertical="center" wrapText="1"/>
    </xf>
    <xf numFmtId="0" fontId="2" fillId="0" borderId="3" xfId="94" applyFont="1" applyBorder="1" applyAlignment="1">
      <alignment horizontal="center" vertical="center"/>
    </xf>
    <xf numFmtId="167" fontId="2" fillId="0" borderId="3" xfId="94" applyNumberFormat="1" applyFont="1" applyBorder="1" applyAlignment="1">
      <alignment horizontal="right" vertical="center"/>
    </xf>
    <xf numFmtId="0" fontId="8" fillId="0" borderId="0" xfId="94" applyFont="1" applyAlignment="1">
      <alignment vertical="center"/>
    </xf>
    <xf numFmtId="167" fontId="2" fillId="0" borderId="3" xfId="103" applyNumberFormat="1" applyFont="1" applyBorder="1" applyAlignment="1">
      <alignment vertical="center"/>
    </xf>
    <xf numFmtId="0" fontId="3" fillId="4" borderId="0" xfId="94" applyFont="1" applyFill="1" applyAlignment="1">
      <alignment horizontal="left" vertical="center"/>
    </xf>
    <xf numFmtId="167" fontId="3" fillId="4" borderId="3" xfId="103" applyNumberFormat="1" applyFont="1" applyFill="1" applyBorder="1" applyAlignment="1">
      <alignment vertical="center"/>
    </xf>
    <xf numFmtId="9" fontId="3" fillId="4" borderId="3" xfId="96" applyFont="1" applyFill="1" applyBorder="1" applyAlignment="1">
      <alignment horizontal="center" vertical="center"/>
    </xf>
    <xf numFmtId="10" fontId="3" fillId="4" borderId="3" xfId="96" applyNumberFormat="1" applyFont="1" applyFill="1" applyBorder="1" applyAlignment="1">
      <alignment horizontal="center" vertical="center"/>
    </xf>
    <xf numFmtId="10" fontId="3" fillId="4" borderId="3" xfId="94" applyNumberFormat="1" applyFont="1" applyFill="1" applyBorder="1" applyAlignment="1" applyProtection="1">
      <alignment horizontal="center" vertical="center"/>
      <protection locked="0"/>
    </xf>
    <xf numFmtId="10" fontId="3" fillId="4" borderId="3" xfId="282" applyNumberFormat="1" applyFont="1" applyFill="1" applyBorder="1" applyAlignment="1">
      <alignment horizontal="center" vertical="center"/>
    </xf>
    <xf numFmtId="0" fontId="56" fillId="0" borderId="0" xfId="94" applyFont="1" applyFill="1" applyAlignment="1">
      <alignment vertical="center"/>
    </xf>
    <xf numFmtId="170" fontId="29" fillId="0" borderId="0" xfId="103" applyNumberFormat="1" applyFont="1"/>
    <xf numFmtId="0" fontId="3" fillId="4" borderId="7" xfId="94" applyFont="1" applyFill="1" applyBorder="1" applyAlignment="1">
      <alignment horizontal="left" vertical="center"/>
    </xf>
    <xf numFmtId="0" fontId="3" fillId="4" borderId="9" xfId="94" applyFont="1" applyFill="1" applyBorder="1" applyAlignment="1">
      <alignment horizontal="left" vertical="center"/>
    </xf>
    <xf numFmtId="0" fontId="29" fillId="0" borderId="0" xfId="94" applyFont="1" applyAlignment="1">
      <alignment horizontal="left"/>
    </xf>
    <xf numFmtId="170" fontId="8" fillId="0" borderId="0" xfId="103" applyNumberFormat="1" applyFont="1" applyFill="1" applyBorder="1" applyAlignment="1">
      <alignment horizontal="center" vertical="center" wrapText="1"/>
    </xf>
    <xf numFmtId="170" fontId="8" fillId="0" borderId="0" xfId="103" applyNumberFormat="1" applyFont="1" applyFill="1" applyBorder="1"/>
    <xf numFmtId="0" fontId="10" fillId="2" borderId="0" xfId="94" applyFont="1" applyFill="1" applyBorder="1"/>
    <xf numFmtId="0" fontId="10" fillId="2" borderId="0" xfId="94" applyFont="1" applyFill="1" applyBorder="1" applyAlignment="1">
      <alignment horizontal="center"/>
    </xf>
    <xf numFmtId="9" fontId="26" fillId="2" borderId="0" xfId="282" applyFont="1" applyFill="1" applyBorder="1" applyAlignment="1">
      <alignment horizontal="center"/>
    </xf>
    <xf numFmtId="170" fontId="8" fillId="0" borderId="0" xfId="103" applyNumberFormat="1" applyFont="1"/>
    <xf numFmtId="9" fontId="30" fillId="0" borderId="0" xfId="282" applyFont="1" applyFill="1" applyBorder="1" applyAlignment="1">
      <alignment horizontal="center" vertical="center"/>
    </xf>
    <xf numFmtId="9" fontId="30" fillId="2" borderId="0" xfId="282" applyFont="1" applyFill="1" applyBorder="1" applyAlignment="1">
      <alignment horizontal="center" vertical="center"/>
    </xf>
    <xf numFmtId="0" fontId="26" fillId="2" borderId="0" xfId="94" applyFont="1" applyFill="1" applyBorder="1"/>
    <xf numFmtId="170" fontId="30" fillId="2" borderId="0" xfId="103" applyNumberFormat="1" applyFont="1" applyFill="1" applyBorder="1"/>
    <xf numFmtId="10" fontId="30" fillId="2" borderId="0" xfId="282" applyNumberFormat="1" applyFont="1" applyFill="1" applyBorder="1" applyAlignment="1">
      <alignment horizontal="center" vertical="center"/>
    </xf>
    <xf numFmtId="10" fontId="30" fillId="2" borderId="0" xfId="282" applyNumberFormat="1" applyFont="1" applyFill="1" applyBorder="1" applyAlignment="1">
      <alignment horizontal="center"/>
    </xf>
    <xf numFmtId="167" fontId="26" fillId="2" borderId="0" xfId="94" applyNumberFormat="1" applyFont="1" applyFill="1" applyBorder="1" applyAlignment="1">
      <alignment horizontal="left"/>
    </xf>
    <xf numFmtId="0" fontId="8" fillId="0" borderId="0" xfId="94" applyFont="1"/>
    <xf numFmtId="10" fontId="8" fillId="0" borderId="0" xfId="282" applyNumberFormat="1" applyFont="1" applyFill="1" applyBorder="1"/>
    <xf numFmtId="10" fontId="3" fillId="0" borderId="3" xfId="0" applyNumberFormat="1" applyFont="1" applyFill="1" applyBorder="1" applyAlignment="1" applyProtection="1">
      <alignment horizontal="center" vertical="center"/>
      <protection locked="0"/>
    </xf>
    <xf numFmtId="10" fontId="3" fillId="6" borderId="13" xfId="282" applyNumberFormat="1" applyFont="1" applyFill="1" applyBorder="1" applyAlignment="1">
      <alignment horizontal="center" vertical="center"/>
    </xf>
    <xf numFmtId="10" fontId="2" fillId="46" borderId="13" xfId="282" applyNumberFormat="1" applyFont="1" applyFill="1" applyBorder="1" applyAlignment="1">
      <alignment horizontal="center" vertical="center"/>
    </xf>
    <xf numFmtId="10" fontId="13" fillId="5" borderId="13" xfId="282" applyNumberFormat="1" applyFont="1" applyFill="1" applyBorder="1" applyAlignment="1">
      <alignment horizontal="center" vertical="center"/>
    </xf>
    <xf numFmtId="10" fontId="3" fillId="4" borderId="13" xfId="282" applyNumberFormat="1" applyFont="1" applyFill="1" applyBorder="1" applyAlignment="1">
      <alignment horizontal="center" vertical="center"/>
    </xf>
    <xf numFmtId="0" fontId="2" fillId="71" borderId="3" xfId="393" applyNumberFormat="1" applyFont="1" applyFill="1" applyBorder="1" applyAlignment="1">
      <alignment vertical="center" wrapText="1"/>
    </xf>
    <xf numFmtId="0" fontId="2" fillId="4" borderId="3" xfId="393" applyNumberFormat="1" applyFont="1" applyFill="1" applyBorder="1" applyAlignment="1">
      <alignment vertical="center" wrapText="1"/>
    </xf>
    <xf numFmtId="0" fontId="2" fillId="70" borderId="3" xfId="393" applyNumberFormat="1" applyFont="1" applyFill="1" applyBorder="1" applyAlignment="1">
      <alignment vertical="center" wrapText="1"/>
    </xf>
    <xf numFmtId="0" fontId="2" fillId="6" borderId="3" xfId="393" applyNumberFormat="1" applyFont="1" applyFill="1" applyBorder="1" applyAlignment="1">
      <alignment vertical="center" wrapText="1"/>
    </xf>
    <xf numFmtId="0" fontId="2" fillId="72" borderId="3" xfId="393" applyNumberFormat="1" applyFont="1" applyFill="1" applyBorder="1" applyAlignment="1">
      <alignment vertical="center" wrapText="1"/>
    </xf>
    <xf numFmtId="0" fontId="3" fillId="0" borderId="0" xfId="393" applyNumberFormat="1" applyFont="1" applyFill="1" applyBorder="1" applyAlignment="1">
      <alignment vertical="center" wrapText="1"/>
    </xf>
    <xf numFmtId="0" fontId="2" fillId="0" borderId="0" xfId="393" applyNumberFormat="1" applyFont="1" applyFill="1" applyBorder="1" applyAlignment="1">
      <alignment vertical="center" wrapText="1"/>
    </xf>
    <xf numFmtId="168" fontId="0" fillId="0" borderId="0" xfId="0" applyFill="1" applyBorder="1"/>
    <xf numFmtId="0" fontId="3" fillId="0" borderId="3" xfId="393" applyNumberFormat="1" applyFont="1" applyBorder="1" applyAlignment="1">
      <alignment vertical="center" wrapText="1"/>
    </xf>
    <xf numFmtId="43" fontId="3" fillId="13" borderId="13" xfId="0" applyNumberFormat="1" applyFont="1" applyFill="1" applyBorder="1" applyAlignment="1">
      <alignment vertical="center"/>
    </xf>
    <xf numFmtId="43" fontId="13" fillId="5" borderId="13" xfId="1" applyFont="1" applyFill="1" applyBorder="1" applyAlignment="1">
      <alignment horizontal="center" vertical="center"/>
    </xf>
    <xf numFmtId="43" fontId="13" fillId="5" borderId="19" xfId="1" applyFont="1" applyFill="1" applyBorder="1" applyAlignment="1">
      <alignment horizontal="center" vertical="center"/>
    </xf>
    <xf numFmtId="43" fontId="2" fillId="0" borderId="0" xfId="1" applyFont="1" applyBorder="1" applyAlignment="1">
      <alignment horizontal="center"/>
    </xf>
    <xf numFmtId="43" fontId="3" fillId="13" borderId="17" xfId="1" applyFont="1" applyFill="1" applyBorder="1" applyAlignment="1">
      <alignment vertical="center"/>
    </xf>
    <xf numFmtId="43" fontId="3" fillId="8" borderId="13" xfId="1" applyFont="1" applyFill="1" applyBorder="1" applyAlignment="1">
      <alignment horizontal="left" vertical="center" wrapText="1"/>
    </xf>
    <xf numFmtId="43" fontId="2" fillId="0" borderId="0" xfId="1" applyFont="1" applyAlignment="1">
      <alignment horizontal="center"/>
    </xf>
    <xf numFmtId="43" fontId="3" fillId="8" borderId="13" xfId="1" applyFont="1" applyFill="1" applyBorder="1" applyAlignment="1">
      <alignment horizontal="left" vertical="center"/>
    </xf>
    <xf numFmtId="43" fontId="3" fillId="0" borderId="0" xfId="1" applyFont="1" applyFill="1" applyAlignment="1">
      <alignment horizontal="center"/>
    </xf>
    <xf numFmtId="43" fontId="3" fillId="4" borderId="57" xfId="1" applyFont="1" applyFill="1" applyBorder="1" applyAlignment="1">
      <alignment horizontal="center" vertical="center"/>
    </xf>
    <xf numFmtId="0" fontId="3" fillId="6" borderId="19" xfId="0" applyNumberFormat="1" applyFont="1" applyFill="1" applyBorder="1" applyAlignment="1">
      <alignment horizontal="center" vertical="center" wrapText="1"/>
    </xf>
    <xf numFmtId="0" fontId="3" fillId="0" borderId="0" xfId="0" applyNumberFormat="1" applyFont="1" applyBorder="1" applyAlignment="1">
      <alignment horizontal="center" vertical="center" wrapText="1"/>
    </xf>
    <xf numFmtId="0" fontId="3" fillId="0" borderId="55" xfId="0" applyNumberFormat="1" applyFont="1" applyFill="1" applyBorder="1" applyAlignment="1">
      <alignment horizontal="center" vertical="center" wrapText="1"/>
    </xf>
    <xf numFmtId="0" fontId="3" fillId="0" borderId="56" xfId="0" applyNumberFormat="1" applyFont="1" applyFill="1" applyBorder="1" applyAlignment="1">
      <alignment horizontal="center" vertical="center" wrapText="1"/>
    </xf>
    <xf numFmtId="0" fontId="3" fillId="6" borderId="22" xfId="0" applyNumberFormat="1" applyFont="1" applyFill="1" applyBorder="1" applyAlignment="1">
      <alignment horizontal="center" vertical="center" wrapText="1"/>
    </xf>
    <xf numFmtId="0" fontId="3" fillId="0" borderId="67" xfId="0" applyNumberFormat="1" applyFont="1" applyFill="1" applyBorder="1" applyAlignment="1">
      <alignment horizontal="center" vertical="center" wrapText="1"/>
    </xf>
    <xf numFmtId="0" fontId="3" fillId="0" borderId="66" xfId="0" applyNumberFormat="1" applyFont="1" applyFill="1" applyBorder="1" applyAlignment="1">
      <alignment horizontal="center" vertical="center" wrapText="1"/>
    </xf>
    <xf numFmtId="0" fontId="13" fillId="5" borderId="17" xfId="0" applyNumberFormat="1" applyFont="1" applyFill="1" applyBorder="1" applyAlignment="1">
      <alignment horizontal="left" vertical="center"/>
    </xf>
    <xf numFmtId="0" fontId="3" fillId="13" borderId="22" xfId="0" applyNumberFormat="1" applyFont="1" applyFill="1" applyBorder="1" applyAlignment="1">
      <alignment horizontal="center" vertical="center" wrapText="1"/>
    </xf>
    <xf numFmtId="0" fontId="3" fillId="13" borderId="28" xfId="0" applyNumberFormat="1" applyFont="1" applyFill="1" applyBorder="1" applyAlignment="1">
      <alignment horizontal="center" vertical="center" wrapText="1"/>
    </xf>
    <xf numFmtId="168" fontId="2" fillId="0" borderId="0" xfId="0" applyFont="1" applyBorder="1" applyAlignment="1">
      <alignment horizontal="justify" vertical="center" wrapText="1"/>
    </xf>
    <xf numFmtId="0" fontId="3" fillId="6" borderId="24"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wrapText="1"/>
    </xf>
    <xf numFmtId="0" fontId="3" fillId="6" borderId="17" xfId="0" applyNumberFormat="1" applyFont="1" applyFill="1" applyBorder="1" applyAlignment="1">
      <alignment horizontal="center" vertical="center"/>
    </xf>
    <xf numFmtId="0" fontId="3" fillId="6" borderId="19" xfId="0" applyNumberFormat="1" applyFont="1" applyFill="1" applyBorder="1" applyAlignment="1">
      <alignment vertical="center"/>
    </xf>
    <xf numFmtId="0" fontId="3" fillId="13" borderId="76" xfId="0" applyNumberFormat="1" applyFont="1" applyFill="1" applyBorder="1" applyAlignment="1">
      <alignment horizontal="center" vertical="center" wrapText="1"/>
    </xf>
    <xf numFmtId="168" fontId="3" fillId="0" borderId="0" xfId="0" applyFont="1" applyBorder="1" applyAlignment="1">
      <alignment vertical="center" wrapText="1"/>
    </xf>
    <xf numFmtId="170" fontId="4" fillId="4" borderId="9" xfId="5" applyNumberFormat="1" applyFont="1" applyFill="1" applyBorder="1" applyAlignment="1">
      <alignment horizontal="center" vertical="center" wrapText="1"/>
    </xf>
    <xf numFmtId="0" fontId="2" fillId="0" borderId="13" xfId="0" applyNumberFormat="1" applyFont="1" applyBorder="1" applyAlignment="1">
      <alignment horizontal="center" vertical="center" wrapText="1"/>
    </xf>
    <xf numFmtId="0" fontId="2" fillId="0" borderId="13" xfId="0" applyNumberFormat="1" applyFont="1" applyFill="1" applyBorder="1" applyAlignment="1">
      <alignment horizontal="justify" vertical="center" wrapText="1"/>
    </xf>
    <xf numFmtId="168" fontId="2" fillId="0" borderId="13" xfId="0" applyFont="1" applyFill="1" applyBorder="1" applyAlignment="1">
      <alignment horizontal="justify" vertical="center" wrapText="1"/>
    </xf>
    <xf numFmtId="170" fontId="4" fillId="4" borderId="3" xfId="5" applyNumberFormat="1" applyFont="1" applyFill="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55" xfId="0" applyNumberFormat="1" applyFont="1" applyBorder="1" applyAlignment="1">
      <alignment horizontal="center" vertical="center" wrapText="1"/>
    </xf>
    <xf numFmtId="0" fontId="2" fillId="0" borderId="16" xfId="0" applyNumberFormat="1" applyFont="1" applyFill="1" applyBorder="1" applyAlignment="1">
      <alignment horizontal="center" vertical="center"/>
    </xf>
    <xf numFmtId="43" fontId="2" fillId="0" borderId="13" xfId="1" applyFont="1" applyFill="1" applyBorder="1" applyAlignment="1">
      <alignment horizontal="left" vertical="center"/>
    </xf>
    <xf numFmtId="0" fontId="2" fillId="0" borderId="5" xfId="0" applyNumberFormat="1" applyFont="1" applyBorder="1" applyAlignment="1">
      <alignment horizontal="center" vertical="center" wrapText="1"/>
    </xf>
    <xf numFmtId="0" fontId="2" fillId="0" borderId="12" xfId="0" applyNumberFormat="1" applyFont="1" applyBorder="1" applyAlignment="1">
      <alignment horizontal="center" vertical="center" wrapText="1"/>
    </xf>
    <xf numFmtId="0" fontId="2" fillId="0" borderId="31" xfId="0" applyNumberFormat="1" applyFont="1" applyFill="1" applyBorder="1" applyAlignment="1">
      <alignment horizontal="center" vertical="center"/>
    </xf>
    <xf numFmtId="168" fontId="2" fillId="0" borderId="32" xfId="0" applyFont="1" applyFill="1" applyBorder="1" applyAlignment="1">
      <alignment horizontal="justify" vertical="center" wrapText="1"/>
    </xf>
    <xf numFmtId="43" fontId="2" fillId="0" borderId="32" xfId="1" applyFont="1" applyFill="1" applyBorder="1" applyAlignment="1">
      <alignment vertical="center"/>
    </xf>
    <xf numFmtId="0" fontId="2" fillId="0" borderId="56" xfId="0" applyNumberFormat="1" applyFont="1" applyFill="1" applyBorder="1" applyAlignment="1">
      <alignment horizontal="center" vertical="center" wrapText="1"/>
    </xf>
    <xf numFmtId="0" fontId="2" fillId="0" borderId="67"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2" fillId="0" borderId="16" xfId="0" applyNumberFormat="1" applyFont="1" applyBorder="1" applyAlignment="1">
      <alignment horizontal="center" vertical="center" wrapText="1"/>
    </xf>
    <xf numFmtId="0" fontId="2" fillId="0" borderId="56" xfId="0" applyNumberFormat="1" applyFont="1" applyBorder="1" applyAlignment="1">
      <alignment horizontal="center" vertical="center" wrapText="1"/>
    </xf>
    <xf numFmtId="0" fontId="2" fillId="0" borderId="0" xfId="0" applyNumberFormat="1" applyFont="1" applyBorder="1" applyAlignment="1">
      <alignment horizontal="center" vertical="center" wrapText="1"/>
    </xf>
    <xf numFmtId="0" fontId="2" fillId="0" borderId="66" xfId="0" applyNumberFormat="1" applyFont="1" applyBorder="1" applyAlignment="1">
      <alignment horizontal="center" vertical="center" wrapText="1"/>
    </xf>
    <xf numFmtId="0" fontId="2" fillId="0" borderId="66" xfId="0" applyNumberFormat="1" applyFont="1" applyFill="1" applyBorder="1" applyAlignment="1">
      <alignment horizontal="center" vertical="center" wrapText="1"/>
    </xf>
    <xf numFmtId="0" fontId="2" fillId="13" borderId="13" xfId="0" applyNumberFormat="1" applyFont="1" applyFill="1" applyBorder="1" applyAlignment="1">
      <alignment vertical="center"/>
    </xf>
    <xf numFmtId="43" fontId="2" fillId="13" borderId="13" xfId="1" applyFont="1" applyFill="1" applyBorder="1" applyAlignment="1">
      <alignment vertical="center"/>
    </xf>
    <xf numFmtId="0" fontId="2" fillId="0" borderId="11" xfId="0" applyNumberFormat="1" applyFont="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55"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67" xfId="0" applyNumberFormat="1" applyFont="1" applyBorder="1" applyAlignment="1">
      <alignment horizontal="center" vertical="center" wrapText="1"/>
    </xf>
    <xf numFmtId="168" fontId="2" fillId="0" borderId="0" xfId="0" applyFont="1" applyFill="1" applyAlignment="1">
      <alignment vertical="center"/>
    </xf>
    <xf numFmtId="0" fontId="2" fillId="2" borderId="9"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168" fontId="2" fillId="0" borderId="3" xfId="0" applyFont="1" applyFill="1" applyBorder="1" applyAlignment="1">
      <alignment horizontal="justify" vertical="center" wrapText="1"/>
    </xf>
    <xf numFmtId="43" fontId="2" fillId="0" borderId="3" xfId="1" applyFont="1" applyFill="1" applyBorder="1" applyAlignment="1">
      <alignment horizontal="left" vertical="center"/>
    </xf>
    <xf numFmtId="0" fontId="2" fillId="0" borderId="3" xfId="0" applyNumberFormat="1" applyFont="1" applyFill="1" applyBorder="1" applyAlignment="1">
      <alignment horizontal="justify" vertical="center" wrapText="1"/>
    </xf>
    <xf numFmtId="0" fontId="2" fillId="0" borderId="3" xfId="0" applyNumberFormat="1" applyFont="1" applyFill="1" applyBorder="1" applyAlignment="1">
      <alignment horizontal="center" vertical="center"/>
    </xf>
    <xf numFmtId="168" fontId="2" fillId="0" borderId="16" xfId="0" applyFont="1" applyFill="1" applyBorder="1" applyAlignment="1">
      <alignment horizontal="justify" vertical="center" wrapText="1"/>
    </xf>
    <xf numFmtId="168" fontId="2" fillId="0" borderId="13" xfId="0" applyFont="1" applyFill="1" applyBorder="1" applyAlignment="1">
      <alignment horizontal="justify" vertical="center"/>
    </xf>
    <xf numFmtId="0" fontId="2" fillId="0" borderId="56"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0" fontId="2" fillId="0" borderId="56" xfId="0" applyNumberFormat="1" applyFont="1" applyBorder="1" applyAlignment="1">
      <alignment horizontal="center" vertical="center"/>
    </xf>
    <xf numFmtId="0" fontId="2" fillId="0" borderId="16" xfId="0" applyNumberFormat="1" applyFont="1" applyBorder="1" applyAlignment="1">
      <alignment horizontal="center" vertical="center"/>
    </xf>
    <xf numFmtId="43" fontId="2" fillId="0" borderId="13" xfId="1" applyFont="1" applyBorder="1" applyAlignment="1">
      <alignment horizontal="left" vertical="center"/>
    </xf>
    <xf numFmtId="0" fontId="2" fillId="0" borderId="12" xfId="0" applyNumberFormat="1" applyFont="1" applyBorder="1" applyAlignment="1">
      <alignment horizontal="center" vertical="center"/>
    </xf>
    <xf numFmtId="0" fontId="2" fillId="0" borderId="13" xfId="0" applyNumberFormat="1" applyFont="1" applyFill="1" applyBorder="1" applyAlignment="1">
      <alignment horizontal="justify" vertical="center"/>
    </xf>
    <xf numFmtId="170" fontId="4" fillId="4" borderId="0" xfId="5" applyNumberFormat="1" applyFont="1" applyFill="1" applyBorder="1" applyAlignment="1">
      <alignment horizontal="center" vertical="center" wrapText="1"/>
    </xf>
    <xf numFmtId="168" fontId="3" fillId="0" borderId="0" xfId="0" applyFont="1" applyFill="1" applyBorder="1" applyAlignment="1">
      <alignment horizontal="left" vertical="center"/>
    </xf>
    <xf numFmtId="168" fontId="3" fillId="0" borderId="13" xfId="0" applyFont="1" applyBorder="1"/>
    <xf numFmtId="168" fontId="2" fillId="0" borderId="13" xfId="0" applyFont="1" applyFill="1" applyBorder="1" applyAlignment="1">
      <alignment vertical="center"/>
    </xf>
    <xf numFmtId="168" fontId="3" fillId="0" borderId="0" xfId="0" applyFont="1" applyBorder="1"/>
    <xf numFmtId="168" fontId="2" fillId="0" borderId="0" xfId="0" applyFont="1" applyFill="1" applyBorder="1" applyAlignment="1">
      <alignment horizontal="left" vertical="center"/>
    </xf>
    <xf numFmtId="168" fontId="2" fillId="0" borderId="0" xfId="0" applyFont="1" applyFill="1" applyBorder="1" applyAlignment="1">
      <alignment vertical="center"/>
    </xf>
    <xf numFmtId="170" fontId="4" fillId="4" borderId="9" xfId="5" applyNumberFormat="1" applyFont="1" applyFill="1" applyBorder="1" applyAlignment="1">
      <alignment horizontal="center" vertical="center" wrapText="1"/>
    </xf>
    <xf numFmtId="170" fontId="4" fillId="4" borderId="3" xfId="5" applyNumberFormat="1" applyFont="1" applyFill="1" applyBorder="1" applyAlignment="1">
      <alignment horizontal="center" vertical="center" wrapText="1"/>
    </xf>
    <xf numFmtId="168" fontId="3" fillId="0" borderId="0" xfId="0" applyFont="1" applyFill="1" applyAlignment="1">
      <alignment vertical="center"/>
    </xf>
    <xf numFmtId="43" fontId="2" fillId="0" borderId="3" xfId="1" applyFont="1" applyFill="1" applyBorder="1" applyAlignment="1">
      <alignment horizontal="right" vertical="center" wrapText="1"/>
    </xf>
    <xf numFmtId="43" fontId="2" fillId="0" borderId="3" xfId="1" applyFont="1" applyFill="1" applyBorder="1" applyAlignment="1">
      <alignment horizontal="center" vertical="center" wrapText="1"/>
    </xf>
    <xf numFmtId="168" fontId="2" fillId="0" borderId="3" xfId="0" applyFont="1" applyFill="1" applyBorder="1" applyAlignment="1">
      <alignment horizontal="center" vertical="center" wrapText="1"/>
    </xf>
    <xf numFmtId="0" fontId="3" fillId="10" borderId="7" xfId="0" applyNumberFormat="1" applyFont="1" applyFill="1" applyBorder="1" applyAlignment="1">
      <alignment horizontal="left" vertical="center"/>
    </xf>
    <xf numFmtId="0" fontId="3" fillId="10" borderId="8" xfId="0" applyNumberFormat="1" applyFont="1" applyFill="1" applyBorder="1" applyAlignment="1">
      <alignment horizontal="left" vertical="center"/>
    </xf>
    <xf numFmtId="43" fontId="2" fillId="0" borderId="3" xfId="1" applyFont="1" applyFill="1" applyBorder="1" applyAlignment="1">
      <alignment vertical="center"/>
    </xf>
    <xf numFmtId="170" fontId="4" fillId="9" borderId="1" xfId="5" applyNumberFormat="1" applyFont="1" applyFill="1" applyBorder="1" applyAlignment="1">
      <alignment vertical="center" wrapText="1"/>
    </xf>
    <xf numFmtId="170" fontId="4" fillId="9" borderId="2" xfId="5" applyNumberFormat="1" applyFont="1" applyFill="1" applyBorder="1" applyAlignment="1">
      <alignment vertical="center" wrapText="1"/>
    </xf>
    <xf numFmtId="170" fontId="4" fillId="9" borderId="67" xfId="5" applyNumberFormat="1" applyFont="1" applyFill="1" applyBorder="1" applyAlignment="1">
      <alignment vertical="center" wrapText="1"/>
    </xf>
    <xf numFmtId="168" fontId="4" fillId="0" borderId="3" xfId="0" applyFont="1" applyBorder="1" applyAlignment="1">
      <alignment vertical="center"/>
    </xf>
    <xf numFmtId="168" fontId="4" fillId="0" borderId="3" xfId="0" applyFont="1" applyBorder="1" applyAlignment="1">
      <alignment horizontal="left" vertical="center"/>
    </xf>
    <xf numFmtId="4" fontId="2" fillId="0" borderId="3" xfId="0" applyNumberFormat="1" applyFont="1" applyFill="1" applyBorder="1" applyAlignment="1">
      <alignment horizontal="center" vertical="center" wrapText="1"/>
    </xf>
    <xf numFmtId="167" fontId="2" fillId="0" borderId="3" xfId="0" applyNumberFormat="1" applyFont="1" applyFill="1" applyBorder="1" applyAlignment="1">
      <alignment horizontal="center" vertical="center" wrapText="1"/>
    </xf>
    <xf numFmtId="173" fontId="2" fillId="0" borderId="3" xfId="4" applyNumberFormat="1" applyFont="1" applyFill="1" applyBorder="1" applyAlignment="1">
      <alignment horizontal="center" vertical="center" wrapText="1"/>
    </xf>
    <xf numFmtId="0" fontId="2" fillId="0" borderId="13" xfId="0" applyNumberFormat="1" applyFont="1" applyFill="1" applyBorder="1" applyAlignment="1">
      <alignment horizontal="justify" vertical="center" wrapText="1"/>
    </xf>
    <xf numFmtId="168" fontId="2" fillId="0" borderId="13" xfId="0" applyFont="1" applyFill="1" applyBorder="1" applyAlignment="1">
      <alignment horizontal="justify" vertical="center" wrapText="1"/>
    </xf>
    <xf numFmtId="170" fontId="4" fillId="4" borderId="3" xfId="5" applyNumberFormat="1" applyFont="1" applyFill="1" applyBorder="1" applyAlignment="1">
      <alignment horizontal="center" vertical="center" wrapText="1"/>
    </xf>
    <xf numFmtId="43" fontId="3" fillId="13" borderId="13" xfId="1" applyFont="1" applyFill="1" applyBorder="1" applyAlignment="1">
      <alignment horizontal="left" vertical="center"/>
    </xf>
    <xf numFmtId="43" fontId="3" fillId="13" borderId="16" xfId="1" applyFont="1" applyFill="1" applyBorder="1" applyAlignment="1">
      <alignment vertical="center"/>
    </xf>
    <xf numFmtId="43" fontId="3" fillId="0" borderId="13" xfId="1" applyFont="1" applyFill="1" applyBorder="1" applyAlignment="1">
      <alignment horizontal="left" vertical="center"/>
    </xf>
    <xf numFmtId="43" fontId="3" fillId="14" borderId="13" xfId="1" applyFont="1" applyFill="1" applyBorder="1" applyAlignment="1">
      <alignment horizontal="left" vertical="center"/>
    </xf>
    <xf numFmtId="43" fontId="13" fillId="5" borderId="0" xfId="1" applyFont="1" applyFill="1" applyAlignment="1">
      <alignment horizontal="center"/>
    </xf>
    <xf numFmtId="43" fontId="2" fillId="46" borderId="13" xfId="1" applyFont="1" applyFill="1" applyBorder="1" applyAlignment="1">
      <alignment vertical="center"/>
    </xf>
    <xf numFmtId="43" fontId="0" fillId="0" borderId="0" xfId="1" applyFont="1"/>
    <xf numFmtId="43" fontId="3" fillId="4" borderId="13" xfId="1" applyFont="1" applyFill="1" applyBorder="1" applyAlignment="1">
      <alignment vertical="center"/>
    </xf>
    <xf numFmtId="43" fontId="13" fillId="5" borderId="15" xfId="1" applyFont="1" applyFill="1" applyBorder="1" applyAlignment="1">
      <alignment horizontal="center" vertical="center"/>
    </xf>
    <xf numFmtId="43" fontId="2" fillId="0" borderId="15" xfId="1" applyFont="1" applyFill="1" applyBorder="1" applyAlignment="1">
      <alignment vertical="center"/>
    </xf>
    <xf numFmtId="10" fontId="2" fillId="0" borderId="3" xfId="0" applyNumberFormat="1" applyFont="1" applyFill="1" applyBorder="1" applyAlignment="1" applyProtection="1">
      <alignment horizontal="center" vertical="center"/>
      <protection locked="0"/>
    </xf>
    <xf numFmtId="0" fontId="2" fillId="0" borderId="13" xfId="0" applyNumberFormat="1" applyFont="1" applyFill="1" applyBorder="1" applyAlignment="1">
      <alignment vertical="center"/>
    </xf>
    <xf numFmtId="10" fontId="2" fillId="6" borderId="13" xfId="282" applyNumberFormat="1" applyFont="1" applyFill="1" applyBorder="1" applyAlignment="1">
      <alignment horizontal="center" vertical="center"/>
    </xf>
    <xf numFmtId="43" fontId="13" fillId="5" borderId="19" xfId="1" applyFont="1" applyFill="1" applyBorder="1" applyAlignment="1">
      <alignment horizontal="justify" vertical="center"/>
    </xf>
    <xf numFmtId="43" fontId="3" fillId="6" borderId="13" xfId="1" applyFont="1" applyFill="1" applyBorder="1" applyAlignment="1">
      <alignment horizontal="justify" vertical="center"/>
    </xf>
    <xf numFmtId="43" fontId="6" fillId="2" borderId="0" xfId="1" applyFont="1" applyFill="1" applyAlignment="1">
      <alignment vertical="center"/>
    </xf>
    <xf numFmtId="43" fontId="6" fillId="2" borderId="0" xfId="1" applyFont="1" applyFill="1"/>
    <xf numFmtId="43" fontId="3" fillId="8" borderId="3" xfId="1" applyFont="1" applyFill="1" applyBorder="1" applyAlignment="1">
      <alignment horizontal="left" vertical="center"/>
    </xf>
    <xf numFmtId="43" fontId="3" fillId="8" borderId="9" xfId="1" applyFont="1" applyFill="1" applyBorder="1" applyAlignment="1">
      <alignment horizontal="left" vertical="center"/>
    </xf>
    <xf numFmtId="43" fontId="3" fillId="15" borderId="35" xfId="1" applyFont="1" applyFill="1" applyBorder="1" applyAlignment="1">
      <alignment horizontal="center" vertical="center"/>
    </xf>
    <xf numFmtId="0" fontId="60" fillId="46" borderId="13" xfId="0" applyNumberFormat="1" applyFont="1" applyFill="1" applyBorder="1" applyAlignment="1">
      <alignment vertical="center"/>
    </xf>
    <xf numFmtId="10" fontId="2" fillId="0" borderId="13" xfId="282" applyNumberFormat="1" applyFont="1" applyFill="1" applyBorder="1" applyAlignment="1">
      <alignment horizontal="center" vertical="center"/>
    </xf>
    <xf numFmtId="0" fontId="2" fillId="0" borderId="13" xfId="0" applyNumberFormat="1" applyFont="1" applyFill="1" applyBorder="1" applyAlignment="1">
      <alignment vertical="center" wrapText="1"/>
    </xf>
    <xf numFmtId="43" fontId="3" fillId="6" borderId="19" xfId="1" applyFont="1" applyFill="1" applyBorder="1" applyAlignment="1">
      <alignment vertical="center"/>
    </xf>
    <xf numFmtId="10" fontId="3" fillId="0" borderId="12" xfId="0" applyNumberFormat="1" applyFont="1" applyFill="1" applyBorder="1" applyAlignment="1" applyProtection="1">
      <alignment horizontal="center" vertical="center"/>
      <protection locked="0"/>
    </xf>
    <xf numFmtId="10" fontId="3" fillId="6" borderId="19" xfId="282" applyNumberFormat="1" applyFont="1" applyFill="1" applyBorder="1" applyAlignment="1">
      <alignment horizontal="center" vertical="center"/>
    </xf>
    <xf numFmtId="170" fontId="4" fillId="4" borderId="9" xfId="103" applyNumberFormat="1" applyFont="1" applyFill="1" applyBorder="1" applyAlignment="1">
      <alignment vertical="center" wrapText="1"/>
    </xf>
    <xf numFmtId="0" fontId="4" fillId="73" borderId="3" xfId="0" applyNumberFormat="1" applyFont="1" applyFill="1" applyBorder="1" applyAlignment="1">
      <alignment horizontal="center" vertical="center" wrapText="1"/>
    </xf>
    <xf numFmtId="168" fontId="4" fillId="0" borderId="3" xfId="0" applyFont="1" applyBorder="1" applyAlignment="1">
      <alignment horizontal="center" vertical="center"/>
    </xf>
    <xf numFmtId="169" fontId="8" fillId="0" borderId="3" xfId="0" applyNumberFormat="1" applyFont="1" applyBorder="1" applyAlignment="1">
      <alignment horizontal="left" vertical="center"/>
    </xf>
    <xf numFmtId="14" fontId="8" fillId="0" borderId="3" xfId="0" applyNumberFormat="1" applyFont="1" applyFill="1" applyBorder="1" applyAlignment="1">
      <alignment horizontal="left" vertical="center"/>
    </xf>
    <xf numFmtId="3" fontId="4" fillId="3" borderId="3" xfId="0" applyNumberFormat="1" applyFont="1" applyFill="1" applyBorder="1" applyAlignment="1">
      <alignment horizontal="center" vertical="center" wrapText="1"/>
    </xf>
    <xf numFmtId="43" fontId="58" fillId="0" borderId="3" xfId="1" applyFont="1" applyFill="1" applyBorder="1" applyAlignment="1">
      <alignment vertical="center"/>
    </xf>
    <xf numFmtId="168" fontId="60" fillId="0" borderId="3" xfId="0" applyFont="1" applyFill="1" applyBorder="1" applyAlignment="1">
      <alignment vertical="center" wrapText="1"/>
    </xf>
    <xf numFmtId="167" fontId="29" fillId="0" borderId="0" xfId="103" applyNumberFormat="1" applyFont="1"/>
    <xf numFmtId="0" fontId="3" fillId="9" borderId="18" xfId="0" applyNumberFormat="1" applyFont="1" applyFill="1" applyBorder="1" applyAlignment="1">
      <alignment horizontal="left" vertical="center"/>
    </xf>
    <xf numFmtId="0" fontId="2" fillId="0" borderId="3" xfId="0" applyNumberFormat="1" applyFont="1" applyFill="1" applyBorder="1" applyAlignment="1" applyProtection="1">
      <alignment horizontal="center" vertical="center"/>
      <protection locked="0"/>
    </xf>
    <xf numFmtId="43" fontId="58" fillId="0" borderId="3" xfId="1" applyFont="1" applyFill="1" applyBorder="1" applyAlignment="1">
      <alignment horizontal="center" vertical="center"/>
    </xf>
    <xf numFmtId="49" fontId="2" fillId="0" borderId="3" xfId="0" applyNumberFormat="1" applyFont="1" applyFill="1" applyBorder="1" applyAlignment="1">
      <alignment horizontal="center" vertical="center" wrapText="1"/>
    </xf>
    <xf numFmtId="167" fontId="2" fillId="0" borderId="3" xfId="0" applyNumberFormat="1" applyFont="1" applyFill="1" applyBorder="1" applyAlignment="1">
      <alignment vertical="center"/>
    </xf>
    <xf numFmtId="0" fontId="3" fillId="9" borderId="19" xfId="0" applyNumberFormat="1" applyFont="1" applyFill="1" applyBorder="1" applyAlignment="1">
      <alignment horizontal="left" vertical="center"/>
    </xf>
    <xf numFmtId="0" fontId="3" fillId="9" borderId="26" xfId="0" applyNumberFormat="1" applyFont="1" applyFill="1" applyBorder="1" applyAlignment="1">
      <alignment horizontal="left" vertical="center"/>
    </xf>
    <xf numFmtId="0" fontId="3" fillId="9" borderId="27" xfId="0" applyNumberFormat="1" applyFont="1" applyFill="1" applyBorder="1" applyAlignment="1">
      <alignment horizontal="left" vertical="center"/>
    </xf>
    <xf numFmtId="0" fontId="3" fillId="9" borderId="27" xfId="0" applyNumberFormat="1" applyFont="1" applyFill="1" applyBorder="1" applyAlignment="1">
      <alignment horizontal="center" vertical="center"/>
    </xf>
    <xf numFmtId="168" fontId="3" fillId="9" borderId="27" xfId="0" applyFont="1" applyFill="1" applyBorder="1" applyAlignment="1">
      <alignment horizontal="center" vertical="center"/>
    </xf>
    <xf numFmtId="0" fontId="3" fillId="9" borderId="27" xfId="0" applyNumberFormat="1" applyFont="1" applyFill="1" applyBorder="1" applyAlignment="1">
      <alignment horizontal="justify" vertical="center" wrapText="1"/>
    </xf>
    <xf numFmtId="168" fontId="3" fillId="9" borderId="27" xfId="0" applyFont="1" applyFill="1" applyBorder="1" applyAlignment="1">
      <alignment horizontal="justify" vertical="center" wrapText="1"/>
    </xf>
    <xf numFmtId="0" fontId="3" fillId="9" borderId="28" xfId="0" applyNumberFormat="1" applyFont="1" applyFill="1" applyBorder="1" applyAlignment="1">
      <alignment horizontal="center" vertical="center" wrapText="1"/>
    </xf>
    <xf numFmtId="0" fontId="3" fillId="9" borderId="27" xfId="0" applyNumberFormat="1" applyFont="1" applyFill="1" applyBorder="1" applyAlignment="1">
      <alignment horizontal="center" vertical="center" wrapText="1"/>
    </xf>
    <xf numFmtId="168" fontId="3" fillId="9" borderId="19" xfId="0" applyFont="1" applyFill="1" applyBorder="1" applyAlignment="1">
      <alignment horizontal="center" vertical="center"/>
    </xf>
    <xf numFmtId="168" fontId="3" fillId="9" borderId="19" xfId="0" applyFont="1" applyFill="1" applyBorder="1" applyAlignment="1">
      <alignment horizontal="justify" vertical="center" wrapText="1"/>
    </xf>
    <xf numFmtId="43" fontId="3" fillId="9" borderId="19" xfId="0" applyNumberFormat="1" applyFont="1" applyFill="1" applyBorder="1" applyAlignment="1">
      <alignment vertical="center"/>
    </xf>
    <xf numFmtId="43" fontId="3" fillId="9" borderId="19" xfId="0" applyNumberFormat="1" applyFont="1" applyFill="1" applyBorder="1" applyAlignment="1">
      <alignment horizontal="center" vertical="center"/>
    </xf>
    <xf numFmtId="0" fontId="2" fillId="0" borderId="3" xfId="0" applyNumberFormat="1" applyFont="1" applyFill="1" applyBorder="1" applyAlignment="1">
      <alignment horizontal="left" vertical="center" wrapText="1"/>
    </xf>
    <xf numFmtId="0" fontId="2" fillId="0" borderId="3" xfId="6" applyNumberFormat="1" applyFont="1" applyFill="1" applyBorder="1">
      <alignment horizontal="center" vertical="center" wrapText="1"/>
    </xf>
    <xf numFmtId="167" fontId="2" fillId="0" borderId="3" xfId="5" applyFont="1" applyFill="1" applyBorder="1" applyAlignment="1">
      <alignment horizontal="justify" vertical="center"/>
    </xf>
    <xf numFmtId="43" fontId="2" fillId="0" borderId="3" xfId="1" applyFont="1" applyFill="1" applyBorder="1" applyAlignment="1">
      <alignment horizontal="center" vertical="center"/>
    </xf>
    <xf numFmtId="0" fontId="2" fillId="0" borderId="3" xfId="7" applyFont="1" applyFill="1" applyBorder="1" applyAlignment="1">
      <alignment horizontal="justify" vertical="center"/>
    </xf>
    <xf numFmtId="0" fontId="2" fillId="0" borderId="3" xfId="7" applyNumberFormat="1" applyFont="1" applyFill="1" applyBorder="1" applyAlignment="1">
      <alignment horizontal="center" vertical="center" wrapText="1"/>
    </xf>
    <xf numFmtId="43" fontId="2" fillId="0" borderId="3" xfId="1" applyFont="1" applyFill="1" applyBorder="1" applyAlignment="1">
      <alignment horizontal="right" vertical="center"/>
    </xf>
    <xf numFmtId="167" fontId="2" fillId="0" borderId="3" xfId="8" applyFont="1" applyFill="1" applyBorder="1" applyAlignment="1">
      <alignment horizontal="right" vertical="center" wrapText="1"/>
    </xf>
    <xf numFmtId="0" fontId="2" fillId="0" borderId="3" xfId="7" applyNumberFormat="1" applyFont="1" applyFill="1" applyBorder="1" applyAlignment="1">
      <alignment horizontal="justify" vertical="center"/>
    </xf>
    <xf numFmtId="167" fontId="2" fillId="0" borderId="3" xfId="8" applyNumberFormat="1" applyFont="1" applyFill="1" applyBorder="1" applyAlignment="1">
      <alignment horizontal="right" vertical="center" wrapText="1"/>
    </xf>
    <xf numFmtId="168" fontId="2" fillId="0" borderId="3" xfId="0" applyFont="1" applyFill="1" applyBorder="1" applyAlignment="1">
      <alignment vertical="center" wrapText="1"/>
    </xf>
    <xf numFmtId="168" fontId="2" fillId="0" borderId="3" xfId="0" applyFont="1" applyFill="1" applyBorder="1"/>
    <xf numFmtId="0" fontId="2" fillId="0" borderId="3" xfId="0" applyNumberFormat="1" applyFont="1" applyFill="1" applyBorder="1" applyAlignment="1" applyProtection="1">
      <alignment horizontal="justify" vertical="center" wrapText="1"/>
      <protection locked="0"/>
    </xf>
    <xf numFmtId="0" fontId="2" fillId="0" borderId="3" xfId="0" applyNumberFormat="1" applyFont="1" applyFill="1" applyBorder="1" applyAlignment="1" applyProtection="1">
      <alignment horizontal="center" vertical="center" wrapText="1"/>
      <protection locked="0"/>
    </xf>
    <xf numFmtId="167" fontId="3" fillId="0" borderId="3" xfId="0" applyNumberFormat="1" applyFont="1" applyFill="1" applyBorder="1" applyAlignment="1">
      <alignment horizontal="left" vertical="center"/>
    </xf>
    <xf numFmtId="167" fontId="2" fillId="0" borderId="3" xfId="0" applyNumberFormat="1" applyFont="1" applyFill="1" applyBorder="1" applyAlignment="1">
      <alignment horizontal="left" vertical="center"/>
    </xf>
    <xf numFmtId="4" fontId="2" fillId="0" borderId="3" xfId="0" applyNumberFormat="1" applyFont="1" applyFill="1" applyBorder="1" applyAlignment="1">
      <alignment horizontal="right" vertical="center" wrapText="1"/>
    </xf>
    <xf numFmtId="0" fontId="2" fillId="0" borderId="3" xfId="6" applyNumberFormat="1" applyFont="1" applyFill="1" applyBorder="1" applyAlignment="1">
      <alignment horizontal="justify" vertical="center" wrapText="1"/>
    </xf>
    <xf numFmtId="0" fontId="2" fillId="0" borderId="3" xfId="6" applyNumberFormat="1" applyFont="1" applyFill="1" applyBorder="1" applyAlignment="1">
      <alignment horizontal="center" vertical="center" wrapText="1"/>
    </xf>
    <xf numFmtId="172" fontId="2" fillId="0" borderId="3" xfId="2" applyNumberFormat="1" applyFont="1" applyFill="1" applyBorder="1" applyAlignment="1">
      <alignment horizontal="right" vertical="center"/>
    </xf>
    <xf numFmtId="167" fontId="2" fillId="0" borderId="3" xfId="5" applyFont="1" applyFill="1" applyBorder="1"/>
    <xf numFmtId="0" fontId="3" fillId="0" borderId="3" xfId="0" applyNumberFormat="1" applyFont="1" applyFill="1" applyBorder="1" applyAlignment="1">
      <alignment horizontal="center" vertical="center" wrapText="1"/>
    </xf>
    <xf numFmtId="168" fontId="2" fillId="0" borderId="3" xfId="0" applyFont="1" applyFill="1" applyBorder="1" applyAlignment="1">
      <alignment vertical="center"/>
    </xf>
    <xf numFmtId="167" fontId="3" fillId="0" borderId="3" xfId="0" applyNumberFormat="1" applyFont="1" applyFill="1" applyBorder="1" applyAlignment="1">
      <alignment vertical="center"/>
    </xf>
    <xf numFmtId="0" fontId="2" fillId="0" borderId="3" xfId="9" applyFont="1" applyFill="1" applyBorder="1" applyAlignment="1">
      <alignment horizontal="justify" vertical="center" wrapText="1"/>
    </xf>
    <xf numFmtId="0" fontId="2" fillId="0" borderId="3" xfId="0" applyNumberFormat="1" applyFont="1" applyFill="1" applyBorder="1" applyAlignment="1">
      <alignment horizontal="left" vertical="center"/>
    </xf>
    <xf numFmtId="0" fontId="2" fillId="0" borderId="3" xfId="7" applyFont="1" applyFill="1" applyBorder="1" applyAlignment="1">
      <alignment horizontal="justify" vertical="center" wrapText="1"/>
    </xf>
    <xf numFmtId="43" fontId="2" fillId="0" borderId="3" xfId="0" applyNumberFormat="1" applyFont="1" applyFill="1" applyBorder="1" applyAlignment="1">
      <alignment vertical="center"/>
    </xf>
    <xf numFmtId="0" fontId="2" fillId="0" borderId="3" xfId="9" applyFont="1" applyFill="1" applyBorder="1">
      <alignment horizontal="center" vertical="center" wrapText="1"/>
    </xf>
    <xf numFmtId="167" fontId="2" fillId="0" borderId="3" xfId="8" applyFont="1" applyFill="1" applyBorder="1" applyAlignment="1">
      <alignment horizontal="center" vertical="center" wrapText="1"/>
    </xf>
    <xf numFmtId="172" fontId="2" fillId="0" borderId="3" xfId="2" applyNumberFormat="1" applyFont="1" applyFill="1" applyBorder="1" applyAlignment="1">
      <alignment horizontal="right" vertical="center" wrapText="1"/>
    </xf>
    <xf numFmtId="0" fontId="2" fillId="0" borderId="3" xfId="8" applyNumberFormat="1" applyFont="1" applyFill="1" applyBorder="1" applyAlignment="1">
      <alignment horizontal="center" vertical="center" wrapText="1"/>
    </xf>
    <xf numFmtId="43" fontId="2" fillId="0" borderId="3" xfId="1" applyFont="1" applyFill="1" applyBorder="1" applyAlignment="1">
      <alignment horizontal="justify" vertical="center"/>
    </xf>
    <xf numFmtId="41" fontId="2" fillId="0" borderId="3" xfId="2" applyFont="1" applyFill="1" applyBorder="1" applyAlignment="1">
      <alignment horizontal="right" vertical="center" wrapText="1"/>
    </xf>
    <xf numFmtId="0" fontId="2" fillId="0" borderId="3" xfId="9" applyFont="1" applyFill="1" applyBorder="1" applyAlignment="1">
      <alignment horizontal="center" vertical="center" wrapText="1"/>
    </xf>
    <xf numFmtId="49" fontId="2" fillId="0" borderId="3" xfId="0" applyNumberFormat="1" applyFont="1" applyFill="1" applyBorder="1" applyAlignment="1">
      <alignment horizontal="justify" vertical="center" wrapText="1"/>
    </xf>
    <xf numFmtId="41" fontId="2" fillId="0" borderId="3" xfId="2" applyFont="1" applyFill="1" applyBorder="1" applyAlignment="1">
      <alignment vertical="center"/>
    </xf>
    <xf numFmtId="167" fontId="2" fillId="0" borderId="3" xfId="8" applyFont="1" applyFill="1" applyBorder="1" applyAlignment="1">
      <alignment horizontal="center" vertical="center"/>
    </xf>
    <xf numFmtId="167" fontId="2" fillId="0" borderId="3" xfId="5" applyFont="1" applyFill="1" applyBorder="1" applyAlignment="1">
      <alignment vertical="center"/>
    </xf>
    <xf numFmtId="168" fontId="2" fillId="0" borderId="3" xfId="0" applyFont="1" applyFill="1" applyBorder="1" applyAlignment="1">
      <alignment horizontal="center" vertical="center"/>
    </xf>
    <xf numFmtId="168" fontId="2" fillId="0" borderId="3" xfId="0" applyFont="1" applyFill="1" applyBorder="1" applyAlignment="1">
      <alignment horizontal="justify" vertical="center"/>
    </xf>
    <xf numFmtId="167" fontId="2" fillId="0" borderId="3" xfId="8" applyFont="1" applyFill="1" applyBorder="1" applyAlignment="1">
      <alignment vertical="center"/>
    </xf>
    <xf numFmtId="0" fontId="2" fillId="0" borderId="3" xfId="0" applyNumberFormat="1" applyFont="1" applyFill="1" applyBorder="1" applyAlignment="1">
      <alignment horizontal="justify" vertical="center"/>
    </xf>
    <xf numFmtId="43" fontId="2" fillId="0" borderId="3" xfId="1" applyFont="1" applyFill="1" applyBorder="1" applyAlignment="1">
      <alignment horizontal="justify" vertical="center" wrapText="1"/>
    </xf>
    <xf numFmtId="170" fontId="2" fillId="0" borderId="3" xfId="8" applyNumberFormat="1" applyFont="1" applyFill="1" applyBorder="1" applyAlignment="1">
      <alignment horizontal="right" vertical="center" wrapText="1"/>
    </xf>
    <xf numFmtId="167" fontId="2" fillId="0" borderId="3" xfId="8" applyFont="1" applyFill="1" applyBorder="1" applyAlignment="1">
      <alignment horizontal="left" vertical="center" wrapText="1"/>
    </xf>
    <xf numFmtId="1" fontId="2" fillId="0" borderId="3" xfId="13" applyNumberFormat="1" applyFont="1" applyFill="1" applyBorder="1" applyAlignment="1">
      <alignment horizontal="center" vertical="center"/>
    </xf>
    <xf numFmtId="43" fontId="2" fillId="0" borderId="3" xfId="1" applyFont="1" applyFill="1" applyBorder="1"/>
    <xf numFmtId="43" fontId="2" fillId="0" borderId="3" xfId="1" applyFont="1" applyFill="1" applyBorder="1" applyAlignment="1">
      <alignment vertical="center" wrapText="1"/>
    </xf>
    <xf numFmtId="0" fontId="2" fillId="0" borderId="3" xfId="1" applyNumberFormat="1" applyFont="1" applyFill="1" applyBorder="1" applyAlignment="1">
      <alignment horizontal="center" vertical="center" wrapText="1"/>
    </xf>
    <xf numFmtId="43" fontId="2" fillId="0" borderId="3" xfId="1" applyFont="1" applyFill="1" applyBorder="1" applyAlignment="1">
      <alignment horizontal="left" vertical="center" wrapText="1"/>
    </xf>
    <xf numFmtId="173" fontId="2" fillId="0" borderId="3" xfId="4" applyNumberFormat="1" applyFont="1" applyFill="1" applyBorder="1" applyAlignment="1">
      <alignment horizontal="center" vertical="center"/>
    </xf>
    <xf numFmtId="167" fontId="2" fillId="0" borderId="3" xfId="0" applyNumberFormat="1" applyFont="1" applyFill="1" applyBorder="1" applyAlignment="1">
      <alignment horizontal="justify" vertical="center"/>
    </xf>
    <xf numFmtId="0" fontId="2" fillId="0" borderId="3" xfId="6" applyNumberFormat="1" applyFont="1" applyFill="1" applyBorder="1" applyAlignment="1">
      <alignment horizontal="center" vertical="center"/>
    </xf>
    <xf numFmtId="0" fontId="2" fillId="0" borderId="3" xfId="7" applyFont="1" applyFill="1" applyBorder="1" applyAlignment="1">
      <alignment horizontal="center" vertical="center"/>
    </xf>
    <xf numFmtId="43" fontId="2" fillId="0" borderId="3" xfId="8" applyNumberFormat="1" applyFont="1" applyFill="1" applyBorder="1" applyAlignment="1">
      <alignment vertical="center"/>
    </xf>
    <xf numFmtId="167" fontId="3" fillId="0" borderId="3" xfId="5" applyFont="1" applyFill="1" applyBorder="1" applyAlignment="1">
      <alignment horizontal="justify" vertical="center"/>
    </xf>
    <xf numFmtId="167" fontId="2" fillId="0" borderId="3" xfId="5" applyFont="1" applyFill="1" applyBorder="1" applyAlignment="1">
      <alignment horizontal="justify" vertical="center" wrapText="1"/>
    </xf>
    <xf numFmtId="0" fontId="2" fillId="0" borderId="3" xfId="8" applyNumberFormat="1" applyFont="1" applyFill="1" applyBorder="1" applyAlignment="1">
      <alignment horizontal="justify" vertical="center" wrapText="1"/>
    </xf>
    <xf numFmtId="167" fontId="2" fillId="0" borderId="3" xfId="0" applyNumberFormat="1" applyFont="1" applyFill="1" applyBorder="1" applyAlignment="1">
      <alignment horizontal="justify" vertical="center" wrapText="1"/>
    </xf>
    <xf numFmtId="167" fontId="2" fillId="0" borderId="3" xfId="0" applyNumberFormat="1" applyFont="1" applyFill="1" applyBorder="1" applyAlignment="1">
      <alignment horizontal="right" vertical="center"/>
    </xf>
    <xf numFmtId="1" fontId="2" fillId="0" borderId="3" xfId="0" applyNumberFormat="1" applyFont="1" applyFill="1" applyBorder="1" applyAlignment="1">
      <alignment horizontal="center" vertical="center" wrapText="1"/>
    </xf>
    <xf numFmtId="168" fontId="2" fillId="0" borderId="3" xfId="0" applyFont="1" applyFill="1" applyBorder="1" applyAlignment="1" applyProtection="1">
      <alignment horizontal="justify" vertical="center" wrapText="1"/>
      <protection locked="0"/>
    </xf>
    <xf numFmtId="49" fontId="2" fillId="0" borderId="3" xfId="7" applyNumberFormat="1" applyFont="1" applyFill="1" applyBorder="1" applyAlignment="1">
      <alignment horizontal="justify" vertical="center" wrapText="1"/>
    </xf>
    <xf numFmtId="4" fontId="2" fillId="0" borderId="3" xfId="0" applyNumberFormat="1" applyFont="1" applyFill="1" applyBorder="1" applyAlignment="1">
      <alignment vertical="center" wrapText="1"/>
    </xf>
    <xf numFmtId="49" fontId="2" fillId="0" borderId="3" xfId="0" applyNumberFormat="1" applyFont="1" applyFill="1" applyBorder="1" applyAlignment="1">
      <alignment horizontal="center" vertical="center"/>
    </xf>
    <xf numFmtId="0" fontId="61" fillId="0" borderId="3" xfId="0" applyNumberFormat="1" applyFont="1" applyFill="1" applyBorder="1" applyAlignment="1">
      <alignment horizontal="center" vertical="center" wrapText="1"/>
    </xf>
    <xf numFmtId="4" fontId="2" fillId="0" borderId="3" xfId="0" applyNumberFormat="1" applyFont="1" applyFill="1" applyBorder="1" applyAlignment="1">
      <alignment horizontal="center" vertical="center"/>
    </xf>
    <xf numFmtId="44" fontId="2" fillId="0" borderId="3" xfId="3" applyFont="1" applyFill="1" applyBorder="1" applyAlignment="1">
      <alignment horizontal="center" vertical="center"/>
    </xf>
    <xf numFmtId="0" fontId="2" fillId="0" borderId="3" xfId="7" applyNumberFormat="1" applyFont="1" applyFill="1" applyBorder="1" applyAlignment="1">
      <alignment horizontal="justify" vertical="center" wrapText="1"/>
    </xf>
    <xf numFmtId="0" fontId="61" fillId="0" borderId="3" xfId="7" applyNumberFormat="1" applyFont="1" applyFill="1" applyBorder="1" applyAlignment="1">
      <alignment horizontal="center" vertical="center" wrapText="1"/>
    </xf>
    <xf numFmtId="4" fontId="2" fillId="0" borderId="3" xfId="0" applyNumberFormat="1" applyFont="1" applyFill="1" applyBorder="1" applyAlignment="1">
      <alignment vertical="center"/>
    </xf>
    <xf numFmtId="3" fontId="2" fillId="0" borderId="3" xfId="0" applyNumberFormat="1" applyFont="1" applyFill="1" applyBorder="1" applyAlignment="1">
      <alignment horizontal="right" vertical="center" wrapText="1"/>
    </xf>
    <xf numFmtId="167" fontId="2" fillId="0" borderId="3" xfId="5" applyFont="1" applyFill="1" applyBorder="1" applyAlignment="1">
      <alignment horizontal="right" vertical="center"/>
    </xf>
    <xf numFmtId="167" fontId="2" fillId="0" borderId="3" xfId="0" applyNumberFormat="1" applyFont="1" applyFill="1" applyBorder="1" applyAlignment="1">
      <alignment horizontal="right" vertical="center" wrapText="1"/>
    </xf>
    <xf numFmtId="0" fontId="61" fillId="0" borderId="3" xfId="0" applyNumberFormat="1" applyFont="1" applyFill="1" applyBorder="1" applyAlignment="1">
      <alignment horizontal="justify" vertical="center" wrapText="1"/>
    </xf>
    <xf numFmtId="0" fontId="2" fillId="0" borderId="3" xfId="0" applyNumberFormat="1" applyFont="1" applyFill="1" applyBorder="1" applyAlignment="1">
      <alignment vertical="center" wrapText="1"/>
    </xf>
    <xf numFmtId="1" fontId="2" fillId="0" borderId="3" xfId="0" applyNumberFormat="1" applyFont="1" applyFill="1" applyBorder="1" applyAlignment="1">
      <alignment vertical="center"/>
    </xf>
    <xf numFmtId="167" fontId="2" fillId="0" borderId="3" xfId="8" applyFont="1" applyFill="1" applyBorder="1" applyAlignment="1">
      <alignment horizontal="right" vertical="center"/>
    </xf>
    <xf numFmtId="167" fontId="2" fillId="0" borderId="3" xfId="5" applyFont="1" applyFill="1" applyBorder="1" applyAlignment="1">
      <alignment horizontal="center" vertical="center" wrapText="1"/>
    </xf>
    <xf numFmtId="167" fontId="2" fillId="0" borderId="3" xfId="0" applyNumberFormat="1" applyFont="1" applyFill="1" applyBorder="1" applyAlignment="1">
      <alignment horizontal="center" vertical="center"/>
    </xf>
    <xf numFmtId="0" fontId="2" fillId="0" borderId="3" xfId="12" applyNumberFormat="1" applyFont="1" applyFill="1" applyBorder="1" applyAlignment="1">
      <alignment horizontal="center" vertical="center" wrapText="1"/>
    </xf>
    <xf numFmtId="1" fontId="2" fillId="0" borderId="3" xfId="0" applyNumberFormat="1" applyFont="1" applyFill="1" applyBorder="1" applyAlignment="1">
      <alignment horizontal="center" vertical="center"/>
    </xf>
    <xf numFmtId="3" fontId="2" fillId="0" borderId="3" xfId="0" applyNumberFormat="1" applyFont="1" applyFill="1" applyBorder="1" applyAlignment="1">
      <alignment horizontal="justify" vertical="center" wrapText="1"/>
    </xf>
    <xf numFmtId="170" fontId="2" fillId="0" borderId="3" xfId="0" applyNumberFormat="1" applyFont="1" applyFill="1" applyBorder="1" applyAlignment="1">
      <alignment horizontal="justify" vertical="center" wrapText="1"/>
    </xf>
    <xf numFmtId="0" fontId="26" fillId="0" borderId="0" xfId="94" applyFont="1" applyFill="1" applyBorder="1"/>
    <xf numFmtId="170" fontId="30" fillId="0" borderId="0" xfId="103" applyNumberFormat="1" applyFont="1" applyFill="1" applyBorder="1"/>
    <xf numFmtId="10" fontId="30" fillId="0" borderId="0" xfId="282" applyNumberFormat="1" applyFont="1" applyFill="1" applyBorder="1" applyAlignment="1">
      <alignment horizontal="center" vertical="center"/>
    </xf>
    <xf numFmtId="10" fontId="30" fillId="0" borderId="0" xfId="282" applyNumberFormat="1" applyFont="1" applyFill="1" applyBorder="1" applyAlignment="1">
      <alignment horizontal="center"/>
    </xf>
    <xf numFmtId="167" fontId="26" fillId="0" borderId="0" xfId="94" applyNumberFormat="1" applyFont="1" applyFill="1" applyBorder="1" applyAlignment="1">
      <alignment horizontal="left"/>
    </xf>
    <xf numFmtId="0" fontId="64" fillId="0" borderId="0" xfId="94" applyFont="1" applyAlignment="1">
      <alignment horizontal="left"/>
    </xf>
    <xf numFmtId="170" fontId="64" fillId="0" borderId="0" xfId="103" applyNumberFormat="1" applyFont="1"/>
    <xf numFmtId="0" fontId="64" fillId="0" borderId="0" xfId="94" applyFont="1" applyFill="1" applyBorder="1" applyAlignment="1">
      <alignment horizontal="left"/>
    </xf>
    <xf numFmtId="170" fontId="64" fillId="0" borderId="0" xfId="103" applyNumberFormat="1" applyFont="1" applyFill="1" applyBorder="1"/>
    <xf numFmtId="10" fontId="64" fillId="0" borderId="0" xfId="282" applyNumberFormat="1" applyFont="1" applyFill="1" applyBorder="1"/>
    <xf numFmtId="0" fontId="3" fillId="0" borderId="4" xfId="0" applyNumberFormat="1" applyFont="1" applyBorder="1" applyAlignment="1">
      <alignment horizontal="center" vertical="center" wrapText="1"/>
    </xf>
    <xf numFmtId="0" fontId="3" fillId="0" borderId="0" xfId="0" applyNumberFormat="1" applyFont="1" applyBorder="1" applyAlignment="1">
      <alignment horizontal="center" vertical="center" wrapText="1"/>
    </xf>
    <xf numFmtId="168" fontId="59" fillId="0" borderId="4" xfId="0" applyFont="1" applyBorder="1" applyAlignment="1">
      <alignment horizontal="center" vertical="center" wrapText="1"/>
    </xf>
    <xf numFmtId="168" fontId="59" fillId="0" borderId="0" xfId="0" applyFont="1" applyBorder="1" applyAlignment="1">
      <alignment horizontal="center" vertical="center" wrapText="1"/>
    </xf>
    <xf numFmtId="168" fontId="59" fillId="0" borderId="0" xfId="0" applyFont="1" applyAlignment="1">
      <alignment horizontal="center" vertical="center" wrapText="1"/>
    </xf>
    <xf numFmtId="0" fontId="4" fillId="14" borderId="7" xfId="0" applyNumberFormat="1" applyFont="1" applyFill="1" applyBorder="1" applyAlignment="1">
      <alignment horizontal="center" vertical="center" wrapText="1"/>
    </xf>
    <xf numFmtId="0" fontId="4" fillId="14" borderId="8" xfId="0" applyNumberFormat="1" applyFont="1" applyFill="1" applyBorder="1" applyAlignment="1">
      <alignment horizontal="center" vertical="center" wrapText="1"/>
    </xf>
    <xf numFmtId="0" fontId="4" fillId="14" borderId="9" xfId="0" applyNumberFormat="1" applyFont="1" applyFill="1" applyBorder="1" applyAlignment="1">
      <alignment horizontal="center" vertical="center" wrapText="1"/>
    </xf>
    <xf numFmtId="168" fontId="4" fillId="73" borderId="55" xfId="0" applyFont="1" applyFill="1" applyBorder="1" applyAlignment="1">
      <alignment horizontal="center" vertical="center" wrapText="1"/>
    </xf>
    <xf numFmtId="168" fontId="4" fillId="73" borderId="12" xfId="0" applyFont="1" applyFill="1" applyBorder="1" applyAlignment="1">
      <alignment horizontal="center" vertical="center" wrapText="1"/>
    </xf>
    <xf numFmtId="0" fontId="4" fillId="14" borderId="55" xfId="0" applyNumberFormat="1" applyFont="1" applyFill="1" applyBorder="1" applyAlignment="1">
      <alignment horizontal="center" vertical="center" wrapText="1"/>
    </xf>
    <xf numFmtId="0" fontId="4" fillId="14" borderId="12" xfId="0" applyNumberFormat="1" applyFont="1" applyFill="1" applyBorder="1" applyAlignment="1">
      <alignment horizontal="center" vertical="center" wrapText="1"/>
    </xf>
    <xf numFmtId="0" fontId="4" fillId="73" borderId="3" xfId="0" applyNumberFormat="1" applyFont="1" applyFill="1" applyBorder="1" applyAlignment="1">
      <alignment horizontal="center" vertical="center" wrapText="1"/>
    </xf>
    <xf numFmtId="168" fontId="4" fillId="73" borderId="3" xfId="0" applyFont="1" applyFill="1" applyBorder="1" applyAlignment="1">
      <alignment horizontal="center" vertical="center" wrapText="1"/>
    </xf>
    <xf numFmtId="170" fontId="4" fillId="14" borderId="56" xfId="5" applyNumberFormat="1" applyFont="1" applyFill="1" applyBorder="1" applyAlignment="1">
      <alignment horizontal="center" vertical="center" wrapText="1"/>
    </xf>
    <xf numFmtId="170" fontId="4" fillId="14" borderId="12" xfId="5" applyNumberFormat="1" applyFont="1" applyFill="1" applyBorder="1" applyAlignment="1">
      <alignment horizontal="center" vertical="center" wrapText="1"/>
    </xf>
    <xf numFmtId="168" fontId="3" fillId="9" borderId="7" xfId="0" applyFont="1" applyFill="1" applyBorder="1" applyAlignment="1">
      <alignment horizontal="center" vertical="center" wrapText="1"/>
    </xf>
    <xf numFmtId="168" fontId="3" fillId="9" borderId="8" xfId="0" applyFont="1" applyFill="1" applyBorder="1" applyAlignment="1">
      <alignment horizontal="center" vertical="center" wrapText="1"/>
    </xf>
    <xf numFmtId="168" fontId="3" fillId="9" borderId="9" xfId="0" applyFont="1" applyFill="1" applyBorder="1" applyAlignment="1">
      <alignment horizontal="center" vertical="center" wrapText="1"/>
    </xf>
    <xf numFmtId="168" fontId="3" fillId="9" borderId="1" xfId="0" applyFont="1" applyFill="1" applyBorder="1" applyAlignment="1">
      <alignment horizontal="center" vertical="center" wrapText="1"/>
    </xf>
    <xf numFmtId="168" fontId="3" fillId="9" borderId="2" xfId="0" applyFont="1" applyFill="1" applyBorder="1" applyAlignment="1">
      <alignment horizontal="center" vertical="center" wrapText="1"/>
    </xf>
    <xf numFmtId="168" fontId="3" fillId="9" borderId="67" xfId="0" applyFont="1" applyFill="1" applyBorder="1" applyAlignment="1">
      <alignment horizontal="center" vertical="center" wrapText="1"/>
    </xf>
    <xf numFmtId="0" fontId="3" fillId="9" borderId="7" xfId="0" applyNumberFormat="1" applyFont="1" applyFill="1" applyBorder="1" applyAlignment="1">
      <alignment horizontal="center" vertical="center" wrapText="1"/>
    </xf>
    <xf numFmtId="0" fontId="3" fillId="9" borderId="9" xfId="0" applyNumberFormat="1" applyFont="1" applyFill="1" applyBorder="1" applyAlignment="1">
      <alignment horizontal="center" vertical="center" wrapText="1"/>
    </xf>
    <xf numFmtId="0" fontId="4" fillId="73" borderId="55" xfId="0" applyNumberFormat="1" applyFont="1" applyFill="1" applyBorder="1" applyAlignment="1">
      <alignment horizontal="center" vertical="center" wrapText="1"/>
    </xf>
    <xf numFmtId="0" fontId="4" fillId="73" borderId="12" xfId="0" applyNumberFormat="1" applyFont="1" applyFill="1" applyBorder="1" applyAlignment="1">
      <alignment horizontal="center" vertical="center" wrapText="1"/>
    </xf>
    <xf numFmtId="168" fontId="3" fillId="9" borderId="3" xfId="0" applyFont="1" applyFill="1" applyBorder="1" applyAlignment="1">
      <alignment horizontal="center" vertical="center" wrapText="1"/>
    </xf>
    <xf numFmtId="168" fontId="4" fillId="4" borderId="7" xfId="0" applyFont="1" applyFill="1" applyBorder="1" applyAlignment="1">
      <alignment horizontal="center" vertical="center" wrapText="1"/>
    </xf>
    <xf numFmtId="168" fontId="4" fillId="4" borderId="9" xfId="0" applyFont="1" applyFill="1" applyBorder="1" applyAlignment="1">
      <alignment horizontal="center" vertical="center" wrapText="1"/>
    </xf>
    <xf numFmtId="170" fontId="4" fillId="4" borderId="3" xfId="5" applyNumberFormat="1" applyFont="1" applyFill="1" applyBorder="1" applyAlignment="1">
      <alignment horizontal="center" vertical="center" wrapText="1"/>
    </xf>
    <xf numFmtId="168" fontId="3" fillId="0" borderId="2" xfId="0" applyFont="1" applyBorder="1" applyAlignment="1">
      <alignment horizontal="center" vertical="center" wrapText="1"/>
    </xf>
    <xf numFmtId="168" fontId="3" fillId="0" borderId="67" xfId="0" applyFont="1" applyBorder="1" applyAlignment="1">
      <alignment horizontal="center" vertical="center" wrapText="1"/>
    </xf>
    <xf numFmtId="168" fontId="3" fillId="0" borderId="0" xfId="0" applyFont="1" applyBorder="1" applyAlignment="1">
      <alignment horizontal="center" vertical="center" wrapText="1"/>
    </xf>
    <xf numFmtId="168" fontId="3" fillId="0" borderId="66" xfId="0" applyFont="1" applyBorder="1" applyAlignment="1">
      <alignment horizontal="center" vertical="center" wrapText="1"/>
    </xf>
    <xf numFmtId="168" fontId="3" fillId="0" borderId="6" xfId="0" applyFont="1" applyBorder="1" applyAlignment="1">
      <alignment horizontal="center" vertical="center" wrapText="1"/>
    </xf>
    <xf numFmtId="168" fontId="3" fillId="0" borderId="11" xfId="0" applyFont="1" applyBorder="1" applyAlignment="1">
      <alignment horizontal="center" vertical="center" wrapText="1"/>
    </xf>
    <xf numFmtId="170" fontId="4" fillId="4" borderId="15" xfId="5" applyNumberFormat="1" applyFont="1" applyFill="1" applyBorder="1" applyAlignment="1">
      <alignment horizontal="center" vertical="center" wrapText="1"/>
    </xf>
    <xf numFmtId="170" fontId="4" fillId="4" borderId="18" xfId="5" applyNumberFormat="1" applyFont="1" applyFill="1" applyBorder="1" applyAlignment="1">
      <alignment horizontal="center" vertical="center" wrapText="1"/>
    </xf>
    <xf numFmtId="170" fontId="4" fillId="4" borderId="16" xfId="5" applyNumberFormat="1" applyFont="1" applyFill="1" applyBorder="1" applyAlignment="1">
      <alignment horizontal="center" vertical="center" wrapText="1"/>
    </xf>
    <xf numFmtId="0" fontId="4" fillId="4" borderId="3" xfId="0" applyNumberFormat="1" applyFont="1" applyFill="1" applyBorder="1" applyAlignment="1">
      <alignment horizontal="center" vertical="center" wrapText="1"/>
    </xf>
    <xf numFmtId="168" fontId="4" fillId="4" borderId="3" xfId="0" applyFont="1" applyFill="1" applyBorder="1" applyAlignment="1">
      <alignment horizontal="center" vertical="center" wrapText="1"/>
    </xf>
    <xf numFmtId="170" fontId="4" fillId="4" borderId="20" xfId="5" applyNumberFormat="1" applyFont="1" applyFill="1" applyBorder="1" applyAlignment="1">
      <alignment horizontal="center" vertical="center" wrapText="1"/>
    </xf>
    <xf numFmtId="170" fontId="4" fillId="4" borderId="36" xfId="5" applyNumberFormat="1" applyFont="1" applyFill="1" applyBorder="1" applyAlignment="1">
      <alignment horizontal="center" vertical="center" wrapText="1"/>
    </xf>
    <xf numFmtId="170" fontId="4" fillId="4" borderId="31" xfId="5" applyNumberFormat="1" applyFont="1" applyFill="1" applyBorder="1" applyAlignment="1">
      <alignment horizontal="center" vertical="center" wrapText="1"/>
    </xf>
    <xf numFmtId="170" fontId="4" fillId="4" borderId="21" xfId="5" applyNumberFormat="1" applyFont="1" applyFill="1" applyBorder="1" applyAlignment="1">
      <alignment horizontal="center" vertical="center" wrapText="1"/>
    </xf>
    <xf numFmtId="170" fontId="4" fillId="4" borderId="29" xfId="5" applyNumberFormat="1" applyFont="1" applyFill="1" applyBorder="1" applyAlignment="1">
      <alignment horizontal="center" vertical="center" wrapText="1"/>
    </xf>
    <xf numFmtId="0" fontId="4" fillId="4" borderId="67" xfId="0" applyNumberFormat="1" applyFont="1" applyFill="1" applyBorder="1" applyAlignment="1">
      <alignment horizontal="center" vertical="center" wrapText="1"/>
    </xf>
    <xf numFmtId="0" fontId="4" fillId="4" borderId="68" xfId="0" applyNumberFormat="1" applyFont="1" applyFill="1" applyBorder="1" applyAlignment="1">
      <alignment horizontal="center" vertical="center" wrapText="1"/>
    </xf>
    <xf numFmtId="168" fontId="3" fillId="0" borderId="0" xfId="0" applyFont="1" applyBorder="1" applyAlignment="1">
      <alignment horizontal="center" vertical="top" wrapText="1"/>
    </xf>
    <xf numFmtId="168" fontId="3" fillId="0" borderId="0" xfId="0" applyFont="1" applyBorder="1" applyAlignment="1">
      <alignment horizontal="center" vertical="top"/>
    </xf>
    <xf numFmtId="170" fontId="4" fillId="4" borderId="7" xfId="5" applyNumberFormat="1" applyFont="1" applyFill="1" applyBorder="1" applyAlignment="1">
      <alignment horizontal="center" vertical="center" wrapText="1"/>
    </xf>
    <xf numFmtId="170" fontId="4" fillId="4" borderId="8" xfId="5" applyNumberFormat="1" applyFont="1" applyFill="1" applyBorder="1" applyAlignment="1">
      <alignment horizontal="center" vertical="center" wrapText="1"/>
    </xf>
    <xf numFmtId="170" fontId="4" fillId="4" borderId="9" xfId="5" applyNumberFormat="1" applyFont="1" applyFill="1" applyBorder="1" applyAlignment="1">
      <alignment horizontal="center" vertical="center" wrapText="1"/>
    </xf>
    <xf numFmtId="170" fontId="4" fillId="4" borderId="69" xfId="5" applyNumberFormat="1" applyFont="1" applyFill="1" applyBorder="1" applyAlignment="1">
      <alignment horizontal="center" vertical="center" wrapText="1"/>
    </xf>
    <xf numFmtId="0" fontId="4" fillId="4" borderId="30" xfId="0" applyNumberFormat="1" applyFont="1" applyFill="1" applyBorder="1" applyAlignment="1">
      <alignment horizontal="center" vertical="center" wrapText="1"/>
    </xf>
    <xf numFmtId="0" fontId="4" fillId="4" borderId="26" xfId="0" applyNumberFormat="1" applyFont="1" applyFill="1" applyBorder="1" applyAlignment="1">
      <alignment horizontal="center" vertical="center" wrapText="1"/>
    </xf>
    <xf numFmtId="170" fontId="4" fillId="4" borderId="23" xfId="5" applyNumberFormat="1" applyFont="1" applyFill="1" applyBorder="1" applyAlignment="1">
      <alignment horizontal="center" vertical="center" wrapText="1"/>
    </xf>
    <xf numFmtId="170" fontId="4" fillId="4" borderId="22" xfId="5" applyNumberFormat="1" applyFont="1" applyFill="1" applyBorder="1" applyAlignment="1">
      <alignment horizontal="center" vertical="center" wrapText="1"/>
    </xf>
    <xf numFmtId="0" fontId="3" fillId="4" borderId="15" xfId="0" applyNumberFormat="1" applyFont="1" applyFill="1" applyBorder="1" applyAlignment="1">
      <alignment horizontal="center" vertical="center"/>
    </xf>
    <xf numFmtId="0" fontId="3" fillId="4" borderId="16" xfId="0" applyNumberFormat="1" applyFont="1" applyFill="1" applyBorder="1" applyAlignment="1">
      <alignment horizontal="center" vertical="center"/>
    </xf>
    <xf numFmtId="168" fontId="25" fillId="4" borderId="4" xfId="0" applyFont="1" applyFill="1" applyBorder="1" applyAlignment="1">
      <alignment horizontal="center" vertical="center" wrapText="1"/>
    </xf>
    <xf numFmtId="168" fontId="25" fillId="4" borderId="0" xfId="0" applyFont="1" applyFill="1" applyBorder="1" applyAlignment="1">
      <alignment horizontal="center" vertical="center" wrapText="1"/>
    </xf>
    <xf numFmtId="168" fontId="25" fillId="4" borderId="7" xfId="0" applyFont="1" applyFill="1" applyBorder="1" applyAlignment="1">
      <alignment horizontal="center" vertical="center" wrapText="1"/>
    </xf>
    <xf numFmtId="168" fontId="25" fillId="4" borderId="8" xfId="0" applyFont="1" applyFill="1" applyBorder="1" applyAlignment="1">
      <alignment horizontal="center" vertical="center" wrapText="1"/>
    </xf>
    <xf numFmtId="168" fontId="25" fillId="4" borderId="9" xfId="0" applyFont="1" applyFill="1" applyBorder="1" applyAlignment="1">
      <alignment horizontal="center" vertical="center" wrapText="1"/>
    </xf>
    <xf numFmtId="0" fontId="2" fillId="6" borderId="75" xfId="393" applyNumberFormat="1" applyFont="1" applyFill="1" applyBorder="1" applyAlignment="1">
      <alignment horizontal="left" vertical="center" wrapText="1"/>
    </xf>
    <xf numFmtId="0" fontId="2" fillId="6" borderId="3" xfId="393" applyNumberFormat="1" applyFont="1" applyFill="1" applyBorder="1" applyAlignment="1">
      <alignment horizontal="left" vertical="center" wrapText="1"/>
    </xf>
    <xf numFmtId="0" fontId="2" fillId="72" borderId="75" xfId="393" applyNumberFormat="1" applyFont="1" applyFill="1" applyBorder="1" applyAlignment="1">
      <alignment horizontal="left" vertical="center" wrapText="1"/>
    </xf>
    <xf numFmtId="0" fontId="2" fillId="72" borderId="3" xfId="393" applyNumberFormat="1" applyFont="1" applyFill="1" applyBorder="1" applyAlignment="1">
      <alignment horizontal="left" vertical="center" wrapText="1"/>
    </xf>
    <xf numFmtId="168" fontId="25" fillId="4" borderId="3" xfId="0" applyFont="1" applyFill="1" applyBorder="1" applyAlignment="1">
      <alignment horizontal="center" vertical="center" wrapText="1"/>
    </xf>
    <xf numFmtId="0" fontId="3" fillId="0" borderId="72" xfId="393" applyNumberFormat="1" applyFont="1" applyBorder="1" applyAlignment="1">
      <alignment horizontal="center" vertical="center" wrapText="1"/>
    </xf>
    <xf numFmtId="0" fontId="3" fillId="0" borderId="73" xfId="393" applyNumberFormat="1" applyFont="1" applyBorder="1" applyAlignment="1">
      <alignment horizontal="center" vertical="center" wrapText="1"/>
    </xf>
    <xf numFmtId="0" fontId="2" fillId="71" borderId="75" xfId="393" applyNumberFormat="1" applyFont="1" applyFill="1" applyBorder="1" applyAlignment="1">
      <alignment horizontal="left" vertical="center" wrapText="1"/>
    </xf>
    <xf numFmtId="0" fontId="2" fillId="71" borderId="3" xfId="393" applyNumberFormat="1" applyFont="1" applyFill="1" applyBorder="1" applyAlignment="1">
      <alignment horizontal="left" vertical="center" wrapText="1"/>
    </xf>
    <xf numFmtId="0" fontId="2" fillId="4" borderId="75" xfId="393" applyNumberFormat="1" applyFont="1" applyFill="1" applyBorder="1" applyAlignment="1">
      <alignment horizontal="left" vertical="center" wrapText="1"/>
    </xf>
    <xf numFmtId="0" fontId="2" fillId="4" borderId="3" xfId="393" applyNumberFormat="1" applyFont="1" applyFill="1" applyBorder="1" applyAlignment="1">
      <alignment horizontal="left" vertical="center" wrapText="1"/>
    </xf>
    <xf numFmtId="0" fontId="2" fillId="70" borderId="75" xfId="393" applyNumberFormat="1" applyFont="1" applyFill="1" applyBorder="1" applyAlignment="1">
      <alignment horizontal="left" vertical="center" wrapText="1"/>
    </xf>
    <xf numFmtId="0" fontId="2" fillId="70" borderId="3" xfId="393" applyNumberFormat="1" applyFont="1" applyFill="1" applyBorder="1" applyAlignment="1">
      <alignment horizontal="left" vertical="center" wrapText="1"/>
    </xf>
    <xf numFmtId="168" fontId="54" fillId="4" borderId="0" xfId="0" applyFont="1" applyFill="1" applyBorder="1" applyAlignment="1">
      <alignment horizontal="center" vertical="center" wrapText="1"/>
    </xf>
    <xf numFmtId="168" fontId="54" fillId="4" borderId="70" xfId="0" applyFont="1" applyFill="1" applyBorder="1" applyAlignment="1">
      <alignment horizontal="center" vertical="center" wrapText="1"/>
    </xf>
    <xf numFmtId="168" fontId="55" fillId="4" borderId="0" xfId="0" applyFont="1" applyFill="1" applyBorder="1" applyAlignment="1">
      <alignment horizontal="center" vertical="center" wrapText="1"/>
    </xf>
    <xf numFmtId="168" fontId="55" fillId="4" borderId="70" xfId="0" applyFont="1" applyFill="1" applyBorder="1" applyAlignment="1">
      <alignment horizontal="center" vertical="center" wrapText="1"/>
    </xf>
    <xf numFmtId="168" fontId="55" fillId="4" borderId="72" xfId="0" applyFont="1" applyFill="1" applyBorder="1" applyAlignment="1">
      <alignment horizontal="center" vertical="center" wrapText="1"/>
    </xf>
    <xf numFmtId="168" fontId="55" fillId="4" borderId="73" xfId="0" applyFont="1" applyFill="1" applyBorder="1" applyAlignment="1">
      <alignment horizontal="center" vertical="center" wrapText="1"/>
    </xf>
    <xf numFmtId="168" fontId="55" fillId="4" borderId="74" xfId="0" applyFont="1" applyFill="1" applyBorder="1" applyAlignment="1">
      <alignment horizontal="center" vertical="center" wrapText="1"/>
    </xf>
    <xf numFmtId="168" fontId="54" fillId="0" borderId="33" xfId="0" applyFont="1" applyBorder="1" applyAlignment="1">
      <alignment horizontal="center" vertical="center" wrapText="1"/>
    </xf>
    <xf numFmtId="168" fontId="54" fillId="0" borderId="34" xfId="0" applyFont="1" applyBorder="1" applyAlignment="1">
      <alignment horizontal="center" vertical="center" wrapText="1"/>
    </xf>
    <xf numFmtId="168" fontId="54" fillId="0" borderId="35" xfId="0" applyFont="1" applyBorder="1" applyAlignment="1">
      <alignment horizontal="center" vertical="center" wrapText="1"/>
    </xf>
    <xf numFmtId="168" fontId="3" fillId="14" borderId="33" xfId="0" applyFont="1" applyFill="1" applyBorder="1" applyAlignment="1">
      <alignment horizontal="left" vertical="center"/>
    </xf>
    <xf numFmtId="168" fontId="3" fillId="14" borderId="34" xfId="0" applyFont="1" applyFill="1" applyBorder="1" applyAlignment="1">
      <alignment horizontal="left" vertical="center"/>
    </xf>
    <xf numFmtId="168" fontId="3" fillId="4" borderId="33" xfId="0" applyFont="1" applyFill="1" applyBorder="1" applyAlignment="1">
      <alignment horizontal="left" vertical="center"/>
    </xf>
    <xf numFmtId="168" fontId="3" fillId="4" borderId="34" xfId="0" applyFont="1" applyFill="1" applyBorder="1" applyAlignment="1">
      <alignment horizontal="left" vertical="center"/>
    </xf>
    <xf numFmtId="168" fontId="52" fillId="5" borderId="62" xfId="0" applyFont="1" applyFill="1" applyBorder="1" applyAlignment="1">
      <alignment horizontal="left" vertical="center"/>
    </xf>
    <xf numFmtId="168" fontId="52" fillId="5" borderId="63" xfId="0" applyFont="1" applyFill="1" applyBorder="1" applyAlignment="1">
      <alignment horizontal="left" vertical="center"/>
    </xf>
    <xf numFmtId="168" fontId="52" fillId="5" borderId="62" xfId="0" applyFont="1" applyFill="1" applyBorder="1" applyAlignment="1">
      <alignment horizontal="justify" vertical="center"/>
    </xf>
    <xf numFmtId="168" fontId="52" fillId="5" borderId="63" xfId="0" applyFont="1" applyFill="1" applyBorder="1" applyAlignment="1">
      <alignment horizontal="justify" vertical="center"/>
    </xf>
    <xf numFmtId="168" fontId="52" fillId="5" borderId="60" xfId="0" applyFont="1" applyFill="1" applyBorder="1" applyAlignment="1">
      <alignment horizontal="left" vertical="center"/>
    </xf>
    <xf numFmtId="168" fontId="52" fillId="5" borderId="61" xfId="0" applyFont="1" applyFill="1" applyBorder="1" applyAlignment="1">
      <alignment horizontal="left" vertical="center"/>
    </xf>
    <xf numFmtId="0" fontId="56" fillId="0" borderId="5" xfId="94" applyFont="1" applyBorder="1" applyAlignment="1">
      <alignment horizontal="center" vertical="center" wrapText="1"/>
    </xf>
    <xf numFmtId="0" fontId="56" fillId="0" borderId="6" xfId="94" applyFont="1" applyBorder="1" applyAlignment="1">
      <alignment horizontal="center" vertical="center" wrapText="1"/>
    </xf>
  </cellXfs>
  <cellStyles count="682">
    <cellStyle name="20% - Énfasis1" xfId="36" builtinId="30" customBuiltin="1"/>
    <cellStyle name="20% - Énfasis1 2" xfId="233"/>
    <cellStyle name="20% - Énfasis1 2 2" xfId="286"/>
    <cellStyle name="20% - Énfasis1 2 3" xfId="287"/>
    <cellStyle name="20% - Énfasis1 2 4" xfId="285"/>
    <cellStyle name="20% - Énfasis1 2 5" xfId="561"/>
    <cellStyle name="20% - Énfasis2" xfId="40" builtinId="34" customBuiltin="1"/>
    <cellStyle name="20% - Énfasis2 2" xfId="253"/>
    <cellStyle name="20% - Énfasis2 2 2" xfId="289"/>
    <cellStyle name="20% - Énfasis2 2 3" xfId="290"/>
    <cellStyle name="20% - Énfasis2 2 4" xfId="288"/>
    <cellStyle name="20% - Énfasis2 2 5" xfId="572"/>
    <cellStyle name="20% - Énfasis3" xfId="44" builtinId="38" customBuiltin="1"/>
    <cellStyle name="20% - Énfasis3 2" xfId="61"/>
    <cellStyle name="20% - Énfasis3 2 2" xfId="292"/>
    <cellStyle name="20% - Énfasis3 2 3" xfId="293"/>
    <cellStyle name="20% - Énfasis3 2 4" xfId="291"/>
    <cellStyle name="20% - Énfasis3 2 5" xfId="487"/>
    <cellStyle name="20% - Énfasis4" xfId="48" builtinId="42" customBuiltin="1"/>
    <cellStyle name="20% - Énfasis4 2" xfId="257"/>
    <cellStyle name="20% - Énfasis4 2 2" xfId="295"/>
    <cellStyle name="20% - Énfasis4 2 3" xfId="296"/>
    <cellStyle name="20% - Énfasis4 2 4" xfId="294"/>
    <cellStyle name="20% - Énfasis4 2 5" xfId="574"/>
    <cellStyle name="20% - Énfasis5" xfId="52" builtinId="46" customBuiltin="1"/>
    <cellStyle name="20% - Énfasis5 2" xfId="223"/>
    <cellStyle name="20% - Énfasis5 2 2" xfId="298"/>
    <cellStyle name="20% - Énfasis5 2 3" xfId="299"/>
    <cellStyle name="20% - Énfasis5 2 4" xfId="297"/>
    <cellStyle name="20% - Énfasis5 2 5" xfId="557"/>
    <cellStyle name="20% - Énfasis6" xfId="56" builtinId="50" customBuiltin="1"/>
    <cellStyle name="20% - Énfasis6 2" xfId="215"/>
    <cellStyle name="20% - Énfasis6 2 2" xfId="301"/>
    <cellStyle name="20% - Énfasis6 2 3" xfId="302"/>
    <cellStyle name="20% - Énfasis6 2 4" xfId="300"/>
    <cellStyle name="20% - Énfasis6 2 5" xfId="553"/>
    <cellStyle name="40% - Énfasis1" xfId="37" builtinId="31" customBuiltin="1"/>
    <cellStyle name="40% - Énfasis1 2" xfId="196"/>
    <cellStyle name="40% - Énfasis1 2 2" xfId="304"/>
    <cellStyle name="40% - Énfasis1 2 3" xfId="305"/>
    <cellStyle name="40% - Énfasis1 2 4" xfId="303"/>
    <cellStyle name="40% - Énfasis1 2 5" xfId="545"/>
    <cellStyle name="40% - Énfasis2" xfId="41" builtinId="35" customBuiltin="1"/>
    <cellStyle name="40% - Énfasis2 2" xfId="251"/>
    <cellStyle name="40% - Énfasis2 2 2" xfId="307"/>
    <cellStyle name="40% - Énfasis2 2 3" xfId="308"/>
    <cellStyle name="40% - Énfasis2 2 4" xfId="306"/>
    <cellStyle name="40% - Énfasis2 2 5" xfId="570"/>
    <cellStyle name="40% - Énfasis3" xfId="45" builtinId="39" customBuiltin="1"/>
    <cellStyle name="40% - Énfasis3 2" xfId="260"/>
    <cellStyle name="40% - Énfasis3 2 2" xfId="310"/>
    <cellStyle name="40% - Énfasis3 2 3" xfId="311"/>
    <cellStyle name="40% - Énfasis3 2 4" xfId="309"/>
    <cellStyle name="40% - Énfasis3 2 5" xfId="575"/>
    <cellStyle name="40% - Énfasis4" xfId="49" builtinId="43" customBuiltin="1"/>
    <cellStyle name="40% - Énfasis4 2" xfId="218"/>
    <cellStyle name="40% - Énfasis4 2 2" xfId="313"/>
    <cellStyle name="40% - Énfasis4 2 3" xfId="314"/>
    <cellStyle name="40% - Énfasis4 2 4" xfId="312"/>
    <cellStyle name="40% - Énfasis4 2 5" xfId="554"/>
    <cellStyle name="40% - Énfasis5" xfId="53" builtinId="47" customBuiltin="1"/>
    <cellStyle name="40% - Énfasis5 2" xfId="250"/>
    <cellStyle name="40% - Énfasis5 2 2" xfId="316"/>
    <cellStyle name="40% - Énfasis5 2 3" xfId="317"/>
    <cellStyle name="40% - Énfasis5 2 4" xfId="315"/>
    <cellStyle name="40% - Énfasis5 2 5" xfId="569"/>
    <cellStyle name="40% - Énfasis6" xfId="57" builtinId="51" customBuiltin="1"/>
    <cellStyle name="40% - Énfasis6 2" xfId="67"/>
    <cellStyle name="40% - Énfasis6 2 2" xfId="319"/>
    <cellStyle name="40% - Énfasis6 2 3" xfId="320"/>
    <cellStyle name="40% - Énfasis6 2 4" xfId="318"/>
    <cellStyle name="40% - Énfasis6 2 5" xfId="491"/>
    <cellStyle name="60% - Énfasis1" xfId="38" builtinId="32" customBuiltin="1"/>
    <cellStyle name="60% - Énfasis1 2" xfId="213"/>
    <cellStyle name="60% - Énfasis1 2 2" xfId="321"/>
    <cellStyle name="60% - Énfasis1 2 3" xfId="552"/>
    <cellStyle name="60% - Énfasis1 3" xfId="427"/>
    <cellStyle name="60% - Énfasis2" xfId="42" builtinId="36" customBuiltin="1"/>
    <cellStyle name="60% - Énfasis2 2" xfId="242"/>
    <cellStyle name="60% - Énfasis2 2 2" xfId="322"/>
    <cellStyle name="60% - Énfasis2 2 3" xfId="565"/>
    <cellStyle name="60% - Énfasis2 3" xfId="428"/>
    <cellStyle name="60% - Énfasis3" xfId="46" builtinId="40" customBuiltin="1"/>
    <cellStyle name="60% - Énfasis3 2" xfId="72"/>
    <cellStyle name="60% - Énfasis3 2 2" xfId="323"/>
    <cellStyle name="60% - Énfasis3 2 3" xfId="495"/>
    <cellStyle name="60% - Énfasis3 3" xfId="429"/>
    <cellStyle name="60% - Énfasis4" xfId="50" builtinId="44" customBuiltin="1"/>
    <cellStyle name="60% - Énfasis4 2" xfId="237"/>
    <cellStyle name="60% - Énfasis4 2 2" xfId="324"/>
    <cellStyle name="60% - Énfasis4 2 3" xfId="563"/>
    <cellStyle name="60% - Énfasis4 3" xfId="430"/>
    <cellStyle name="60% - Énfasis5" xfId="54" builtinId="48" customBuiltin="1"/>
    <cellStyle name="60% - Énfasis5 2" xfId="235"/>
    <cellStyle name="60% - Énfasis5 2 2" xfId="325"/>
    <cellStyle name="60% - Énfasis5 2 3" xfId="562"/>
    <cellStyle name="60% - Énfasis5 3" xfId="431"/>
    <cellStyle name="60% - Énfasis6" xfId="58" builtinId="52" customBuiltin="1"/>
    <cellStyle name="60% - Énfasis6 2" xfId="80"/>
    <cellStyle name="60% - Énfasis6 2 2" xfId="326"/>
    <cellStyle name="60% - Énfasis6 2 3" xfId="497"/>
    <cellStyle name="60% - Énfasis6 3" xfId="432"/>
    <cellStyle name="Buena 2" xfId="327"/>
    <cellStyle name="Cálculo" xfId="28" builtinId="22" customBuiltin="1"/>
    <cellStyle name="Cálculo 2" xfId="69"/>
    <cellStyle name="Cálculo 2 2" xfId="328"/>
    <cellStyle name="Cálculo 2 3" xfId="493"/>
    <cellStyle name="Celda de comprobación" xfId="30" builtinId="23" customBuiltin="1"/>
    <cellStyle name="Celda de comprobación 2" xfId="68"/>
    <cellStyle name="Celda de comprobación 2 2" xfId="329"/>
    <cellStyle name="Celda de comprobación 2 3" xfId="492"/>
    <cellStyle name="Celda vinculada" xfId="29" builtinId="24" customBuiltin="1"/>
    <cellStyle name="Celda vinculada 2" xfId="171"/>
    <cellStyle name="Celda vinculada 2 2" xfId="330"/>
    <cellStyle name="Celda vinculada 2 3" xfId="537"/>
    <cellStyle name="Encabezado 1" xfId="20" builtinId="16" customBuiltin="1"/>
    <cellStyle name="Encabezado 4" xfId="23" builtinId="19" customBuiltin="1"/>
    <cellStyle name="Encabezado 4 2" xfId="201"/>
    <cellStyle name="Encabezado 4 2 2" xfId="331"/>
    <cellStyle name="Encabezado 4 2 3" xfId="547"/>
    <cellStyle name="Énfasis1" xfId="35" builtinId="29" customBuiltin="1"/>
    <cellStyle name="Énfasis1 2" xfId="224"/>
    <cellStyle name="Énfasis1 2 2" xfId="332"/>
    <cellStyle name="Énfasis1 2 3" xfId="558"/>
    <cellStyle name="Énfasis2" xfId="39" builtinId="33" customBuiltin="1"/>
    <cellStyle name="Énfasis2 2" xfId="184"/>
    <cellStyle name="Énfasis2 2 2" xfId="333"/>
    <cellStyle name="Énfasis2 2 3" xfId="540"/>
    <cellStyle name="Énfasis3" xfId="43" builtinId="37" customBuiltin="1"/>
    <cellStyle name="Énfasis3 2" xfId="173"/>
    <cellStyle name="Énfasis3 2 2" xfId="334"/>
    <cellStyle name="Énfasis3 2 3" xfId="538"/>
    <cellStyle name="Énfasis4" xfId="47" builtinId="41" customBuiltin="1"/>
    <cellStyle name="Énfasis4 2" xfId="188"/>
    <cellStyle name="Énfasis4 2 2" xfId="335"/>
    <cellStyle name="Énfasis4 2 3" xfId="542"/>
    <cellStyle name="Énfasis5" xfId="51" builtinId="45" customBuiltin="1"/>
    <cellStyle name="Énfasis5 2" xfId="265"/>
    <cellStyle name="Énfasis5 2 2" xfId="336"/>
    <cellStyle name="Énfasis5 2 3" xfId="578"/>
    <cellStyle name="Énfasis6" xfId="55" builtinId="49" customBuiltin="1"/>
    <cellStyle name="Énfasis6 2" xfId="248"/>
    <cellStyle name="Énfasis6 2 2" xfId="337"/>
    <cellStyle name="Énfasis6 2 3" xfId="567"/>
    <cellStyle name="Entrada" xfId="26" builtinId="20" customBuiltin="1"/>
    <cellStyle name="Entrada 2" xfId="181"/>
    <cellStyle name="Entrada 2 2" xfId="338"/>
    <cellStyle name="Entrada 2 3" xfId="539"/>
    <cellStyle name="Euro" xfId="339"/>
    <cellStyle name="Euro 2" xfId="340"/>
    <cellStyle name="Euro 2 2" xfId="397"/>
    <cellStyle name="Euro 3" xfId="396"/>
    <cellStyle name="Excel Built-in Normal 2" xfId="119"/>
    <cellStyle name="Excel Built-in Normal 2 2" xfId="244"/>
    <cellStyle name="F2" xfId="341"/>
    <cellStyle name="F3" xfId="342"/>
    <cellStyle name="F4" xfId="343"/>
    <cellStyle name="F5" xfId="344"/>
    <cellStyle name="F6" xfId="345"/>
    <cellStyle name="F7" xfId="346"/>
    <cellStyle name="F8" xfId="347"/>
    <cellStyle name="Hipervínculo 2" xfId="192"/>
    <cellStyle name="Incorrecto" xfId="24" builtinId="27" customBuiltin="1"/>
    <cellStyle name="Incorrecto 2" xfId="254"/>
    <cellStyle name="Incorrecto 2 2" xfId="348"/>
    <cellStyle name="Incorrecto 2 3" xfId="573"/>
    <cellStyle name="KPT04" xfId="6"/>
    <cellStyle name="KPT04 2" xfId="9"/>
    <cellStyle name="KPT04 2 2" xfId="261"/>
    <cellStyle name="KPT04 3" xfId="263"/>
    <cellStyle name="KPT04_Main" xfId="14"/>
    <cellStyle name="Millares" xfId="1" builtinId="3"/>
    <cellStyle name="Millares [0]" xfId="2" builtinId="6"/>
    <cellStyle name="Millares [0] 2" xfId="97"/>
    <cellStyle name="Millares [0] 2 2" xfId="160"/>
    <cellStyle name="Millares [0] 2 2 2" xfId="532"/>
    <cellStyle name="Millares [0] 2 2 3" xfId="457"/>
    <cellStyle name="Millares [0] 2 3" xfId="502"/>
    <cellStyle name="Millares [0] 2 4" xfId="440"/>
    <cellStyle name="Millares [0] 3" xfId="123"/>
    <cellStyle name="Millares [0] 3 2" xfId="519"/>
    <cellStyle name="Millares [0] 3 3" xfId="451"/>
    <cellStyle name="Millares [0] 4" xfId="164"/>
    <cellStyle name="Millares [0] 4 2" xfId="535"/>
    <cellStyle name="Millares [0] 4 3" xfId="460"/>
    <cellStyle name="Millares [0] 5" xfId="416"/>
    <cellStyle name="Millares [0] 6" xfId="465"/>
    <cellStyle name="Millares [0] 7" xfId="681"/>
    <cellStyle name="Millares 10" xfId="475"/>
    <cellStyle name="Millares 11" xfId="619"/>
    <cellStyle name="Millares 12" xfId="515"/>
    <cellStyle name="Millares 13" xfId="591"/>
    <cellStyle name="Millares 14" xfId="473"/>
    <cellStyle name="Millares 15" xfId="629"/>
    <cellStyle name="Millares 16" xfId="614"/>
    <cellStyle name="Millares 17" xfId="610"/>
    <cellStyle name="Millares 18" xfId="666"/>
    <cellStyle name="Millares 19" xfId="598"/>
    <cellStyle name="Millares 2" xfId="5"/>
    <cellStyle name="Millares 2 2" xfId="8"/>
    <cellStyle name="Millares 2 2 2" xfId="12"/>
    <cellStyle name="Millares 2 2 2 2" xfId="95"/>
    <cellStyle name="Millares 2 2 2 2 2" xfId="159"/>
    <cellStyle name="Millares 2 2 2 2 2 2" xfId="531"/>
    <cellStyle name="Millares 2 2 2 2 2 3" xfId="456"/>
    <cellStyle name="Millares 2 2 2 2 3" xfId="501"/>
    <cellStyle name="Millares 2 2 2 2 4" xfId="438"/>
    <cellStyle name="Millares 2 2 2 3" xfId="471"/>
    <cellStyle name="Millares 2 2 2 4" xfId="421"/>
    <cellStyle name="Millares 2 2 3" xfId="419"/>
    <cellStyle name="Millares 2 2 4" xfId="398"/>
    <cellStyle name="Millares 2 3" xfId="349"/>
    <cellStyle name="Millares 2 3 2" xfId="595"/>
    <cellStyle name="Millares 2 3 3" xfId="418"/>
    <cellStyle name="Millares 2 4" xfId="103"/>
    <cellStyle name="Millares 2 4 2" xfId="166"/>
    <cellStyle name="Millares 2 4 2 2" xfId="536"/>
    <cellStyle name="Millares 2 4 2 3" xfId="461"/>
    <cellStyle name="Millares 2 4 3" xfId="506"/>
    <cellStyle name="Millares 2 4 4" xfId="444"/>
    <cellStyle name="Millares 20" xfId="632"/>
    <cellStyle name="Millares 21" xfId="615"/>
    <cellStyle name="Millares 22" xfId="583"/>
    <cellStyle name="Millares 23" xfId="646"/>
    <cellStyle name="Millares 24" xfId="594"/>
    <cellStyle name="Millares 25" xfId="613"/>
    <cellStyle name="Millares 26" xfId="526"/>
    <cellStyle name="Millares 27" xfId="616"/>
    <cellStyle name="Millares 28" xfId="654"/>
    <cellStyle name="Millares 29" xfId="607"/>
    <cellStyle name="Millares 3" xfId="115"/>
    <cellStyle name="Millares 3 2" xfId="124"/>
    <cellStyle name="Millares 3 3" xfId="121"/>
    <cellStyle name="Millares 3 3 2" xfId="517"/>
    <cellStyle name="Millares 3 3 3" xfId="449"/>
    <cellStyle name="Millares 3 4" xfId="390"/>
    <cellStyle name="Millares 3 4 2" xfId="606"/>
    <cellStyle name="Millares 3 5" xfId="513"/>
    <cellStyle name="Millares 3 6" xfId="445"/>
    <cellStyle name="Millares 30" xfId="650"/>
    <cellStyle name="Millares 31" xfId="659"/>
    <cellStyle name="Millares 32" xfId="672"/>
    <cellStyle name="Millares 33" xfId="479"/>
    <cellStyle name="Millares 34" xfId="657"/>
    <cellStyle name="Millares 35" xfId="637"/>
    <cellStyle name="Millares 36" xfId="484"/>
    <cellStyle name="Millares 37" xfId="664"/>
    <cellStyle name="Millares 38" xfId="652"/>
    <cellStyle name="Millares 39" xfId="644"/>
    <cellStyle name="Millares 4" xfId="120"/>
    <cellStyle name="Millares 4 2" xfId="516"/>
    <cellStyle name="Millares 4 3" xfId="448"/>
    <cellStyle name="Millares 40" xfId="628"/>
    <cellStyle name="Millares 41" xfId="510"/>
    <cellStyle name="Millares 42" xfId="623"/>
    <cellStyle name="Millares 43" xfId="584"/>
    <cellStyle name="Millares 44" xfId="585"/>
    <cellStyle name="Millares 45" xfId="522"/>
    <cellStyle name="Millares 46" xfId="528"/>
    <cellStyle name="Millares 47" xfId="530"/>
    <cellStyle name="Millares 48" xfId="482"/>
    <cellStyle name="Millares 49" xfId="527"/>
    <cellStyle name="Millares 5" xfId="415"/>
    <cellStyle name="Millares 50" xfId="472"/>
    <cellStyle name="Millares 51" xfId="476"/>
    <cellStyle name="Millares 52" xfId="656"/>
    <cellStyle name="Millares 6" xfId="122"/>
    <cellStyle name="Millares 6 2" xfId="518"/>
    <cellStyle name="Millares 6 3" xfId="450"/>
    <cellStyle name="Millares 7" xfId="424"/>
    <cellStyle name="Millares 8" xfId="426"/>
    <cellStyle name="Millares 9" xfId="464"/>
    <cellStyle name="Moneda" xfId="3" builtinId="4"/>
    <cellStyle name="Moneda [0]" xfId="4" builtinId="7"/>
    <cellStyle name="Moneda [0] 2" xfId="101"/>
    <cellStyle name="Moneda [0] 2 2" xfId="125"/>
    <cellStyle name="Moneda [0] 2 2 2" xfId="168"/>
    <cellStyle name="Moneda [0] 2 2 3" xfId="520"/>
    <cellStyle name="Moneda [0] 2 2 4" xfId="452"/>
    <cellStyle name="Moneda [0] 2 3" xfId="163"/>
    <cellStyle name="Moneda [0] 2 3 2" xfId="534"/>
    <cellStyle name="Moneda [0] 2 3 3" xfId="459"/>
    <cellStyle name="Moneda [0] 2 4" xfId="504"/>
    <cellStyle name="Moneda [0] 2 5" xfId="443"/>
    <cellStyle name="Moneda [0] 3" xfId="417"/>
    <cellStyle name="Moneda [0] 4" xfId="467"/>
    <cellStyle name="Moneda 10" xfId="139"/>
    <cellStyle name="Moneda 11" xfId="144"/>
    <cellStyle name="Moneda 12" xfId="145"/>
    <cellStyle name="Moneda 13" xfId="146"/>
    <cellStyle name="Moneda 14" xfId="147"/>
    <cellStyle name="Moneda 15" xfId="148"/>
    <cellStyle name="Moneda 16" xfId="149"/>
    <cellStyle name="Moneda 17" xfId="466"/>
    <cellStyle name="Moneda 18" xfId="480"/>
    <cellStyle name="Moneda 19" xfId="625"/>
    <cellStyle name="Moneda 2" xfId="11"/>
    <cellStyle name="Moneda 2 2" xfId="102"/>
    <cellStyle name="Moneda 2 3" xfId="100"/>
    <cellStyle name="Moneda 2 3 2" xfId="503"/>
    <cellStyle name="Moneda 2 3 3" xfId="442"/>
    <cellStyle name="Moneda 2 4" xfId="131"/>
    <cellStyle name="Moneda 2 5" xfId="162"/>
    <cellStyle name="Moneda 2 5 2" xfId="533"/>
    <cellStyle name="Moneda 2 5 3" xfId="458"/>
    <cellStyle name="Moneda 20" xfId="485"/>
    <cellStyle name="Moneda 21" xfId="477"/>
    <cellStyle name="Moneda 22" xfId="587"/>
    <cellStyle name="Moneda 23" xfId="474"/>
    <cellStyle name="Moneda 24" xfId="511"/>
    <cellStyle name="Moneda 25" xfId="633"/>
    <cellStyle name="Moneda 26" xfId="612"/>
    <cellStyle name="Moneda 27" xfId="649"/>
    <cellStyle name="Moneda 28" xfId="507"/>
    <cellStyle name="Moneda 29" xfId="525"/>
    <cellStyle name="Moneda 3" xfId="13"/>
    <cellStyle name="Moneda 3 2" xfId="118"/>
    <cellStyle name="Moneda 3 2 2" xfId="414"/>
    <cellStyle name="Moneda 3 2 3" xfId="447"/>
    <cellStyle name="Moneda 3 2 4" xfId="514"/>
    <cellStyle name="Moneda 3 2 5" xfId="412"/>
    <cellStyle name="Moneda 3 3" xfId="413"/>
    <cellStyle name="Moneda 30" xfId="617"/>
    <cellStyle name="Moneda 31" xfId="653"/>
    <cellStyle name="Moneda 32" xfId="667"/>
    <cellStyle name="Moneda 33" xfId="523"/>
    <cellStyle name="Moneda 34" xfId="500"/>
    <cellStyle name="Moneda 35" xfId="589"/>
    <cellStyle name="Moneda 36" xfId="647"/>
    <cellStyle name="Moneda 37" xfId="671"/>
    <cellStyle name="Moneda 38" xfId="674"/>
    <cellStyle name="Moneda 39" xfId="588"/>
    <cellStyle name="Moneda 4" xfId="130"/>
    <cellStyle name="Moneda 4 2" xfId="392"/>
    <cellStyle name="Moneda 40" xfId="499"/>
    <cellStyle name="Moneda 41" xfId="582"/>
    <cellStyle name="Moneda 42" xfId="529"/>
    <cellStyle name="Moneda 43" xfId="675"/>
    <cellStyle name="Moneda 44" xfId="662"/>
    <cellStyle name="Moneda 45" xfId="524"/>
    <cellStyle name="Moneda 46" xfId="469"/>
    <cellStyle name="Moneda 47" xfId="512"/>
    <cellStyle name="Moneda 48" xfId="648"/>
    <cellStyle name="Moneda 49" xfId="608"/>
    <cellStyle name="Moneda 5" xfId="134"/>
    <cellStyle name="Moneda 50" xfId="631"/>
    <cellStyle name="Moneda 51" xfId="677"/>
    <cellStyle name="Moneda 52" xfId="593"/>
    <cellStyle name="Moneda 53" xfId="494"/>
    <cellStyle name="Moneda 54" xfId="669"/>
    <cellStyle name="Moneda 55" xfId="660"/>
    <cellStyle name="Moneda 56" xfId="508"/>
    <cellStyle name="Moneda 57" xfId="673"/>
    <cellStyle name="Moneda 58" xfId="641"/>
    <cellStyle name="Moneda 59" xfId="597"/>
    <cellStyle name="Moneda 6" xfId="135"/>
    <cellStyle name="Moneda 60" xfId="468"/>
    <cellStyle name="Moneda 7" xfId="136"/>
    <cellStyle name="Moneda 8" xfId="138"/>
    <cellStyle name="Moneda 9" xfId="137"/>
    <cellStyle name="Neutral" xfId="25" builtinId="28" customBuiltin="1"/>
    <cellStyle name="Neutral 2" xfId="77"/>
    <cellStyle name="Neutral 2 2" xfId="350"/>
    <cellStyle name="Neutral 2 3" xfId="496"/>
    <cellStyle name="Neutral 3" xfId="425"/>
    <cellStyle name="Normal" xfId="0" builtinId="0"/>
    <cellStyle name="Normal 10" xfId="94"/>
    <cellStyle name="Normal 10 2" xfId="194"/>
    <cellStyle name="Normal 10 2 2" xfId="544"/>
    <cellStyle name="Normal 10 2 3" xfId="437"/>
    <cellStyle name="Normal 10 3" xfId="388"/>
    <cellStyle name="Normal 100" xfId="634"/>
    <cellStyle name="Normal 101" xfId="605"/>
    <cellStyle name="Normal 102" xfId="592"/>
    <cellStyle name="Normal 103" xfId="620"/>
    <cellStyle name="Normal 104" xfId="640"/>
    <cellStyle name="Normal 105" xfId="618"/>
    <cellStyle name="Normal 106" xfId="626"/>
    <cellStyle name="Normal 107" xfId="635"/>
    <cellStyle name="Normal 108" xfId="609"/>
    <cellStyle name="Normal 109" xfId="590"/>
    <cellStyle name="Normal 11" xfId="107"/>
    <cellStyle name="Normal 11 2" xfId="247"/>
    <cellStyle name="Normal 110" xfId="636"/>
    <cellStyle name="Normal 111" xfId="505"/>
    <cellStyle name="Normal 112" xfId="651"/>
    <cellStyle name="Normal 113" xfId="521"/>
    <cellStyle name="Normal 114" xfId="621"/>
    <cellStyle name="Normal 115" xfId="586"/>
    <cellStyle name="Normal 116" xfId="678"/>
    <cellStyle name="Normal 117" xfId="478"/>
    <cellStyle name="Normal 118" xfId="663"/>
    <cellStyle name="Normal 119" xfId="611"/>
    <cellStyle name="Normal 12" xfId="104"/>
    <cellStyle name="Normal 12 2" xfId="208"/>
    <cellStyle name="Normal 120" xfId="627"/>
    <cellStyle name="Normal 121" xfId="624"/>
    <cellStyle name="Normal 122" xfId="642"/>
    <cellStyle name="Normal 123" xfId="470"/>
    <cellStyle name="Normal 124" xfId="665"/>
    <cellStyle name="Normal 125" xfId="509"/>
    <cellStyle name="Normal 126" xfId="679"/>
    <cellStyle name="Normal 127" xfId="643"/>
    <cellStyle name="Normal 128" xfId="483"/>
    <cellStyle name="Normal 129" xfId="676"/>
    <cellStyle name="Normal 13" xfId="90"/>
    <cellStyle name="Normal 13 2" xfId="227"/>
    <cellStyle name="Normal 130" xfId="655"/>
    <cellStyle name="Normal 131" xfId="486"/>
    <cellStyle name="Normal 132" xfId="630"/>
    <cellStyle name="Normal 133" xfId="395"/>
    <cellStyle name="Normal 134" xfId="680"/>
    <cellStyle name="Normal 14" xfId="92"/>
    <cellStyle name="Normal 14 2" xfId="238"/>
    <cellStyle name="Normal 14 2 2" xfId="564"/>
    <cellStyle name="Normal 14 2 3" xfId="399"/>
    <cellStyle name="Normal 14 3" xfId="351"/>
    <cellStyle name="Normal 14 3 2" xfId="596"/>
    <cellStyle name="Normal 14 3 3" xfId="435"/>
    <cellStyle name="Normal 15" xfId="105"/>
    <cellStyle name="Normal 15 2" xfId="216"/>
    <cellStyle name="Normal 16" xfId="88"/>
    <cellStyle name="Normal 16 2" xfId="74"/>
    <cellStyle name="Normal 17" xfId="106"/>
    <cellStyle name="Normal 17 2" xfId="178"/>
    <cellStyle name="Normal 18" xfId="87"/>
    <cellStyle name="Normal 18 2" xfId="187"/>
    <cellStyle name="Normal 19" xfId="108"/>
    <cellStyle name="Normal 19 2" xfId="204"/>
    <cellStyle name="Normal 2" xfId="7"/>
    <cellStyle name="Normal 2 2" xfId="10"/>
    <cellStyle name="Normal 2 2 10" xfId="353"/>
    <cellStyle name="Normal 2 2 10 2" xfId="401"/>
    <cellStyle name="Normal 2 2 2" xfId="15"/>
    <cellStyle name="Normal 2 2 2 2" xfId="132"/>
    <cellStyle name="Normal 2 2 2 2 2" xfId="230"/>
    <cellStyle name="Normal 2 2 2 2 2 2" xfId="357"/>
    <cellStyle name="Normal 2 2 2 2 2 2 2" xfId="402"/>
    <cellStyle name="Normal 2 2 2 2 2 3" xfId="356"/>
    <cellStyle name="Normal 2 2 2 2 2 4" xfId="560"/>
    <cellStyle name="Normal 2 2 2 2 3" xfId="355"/>
    <cellStyle name="Normal 2 2 2 2 4" xfId="455"/>
    <cellStyle name="Normal 2 2 2 3" xfId="212"/>
    <cellStyle name="Normal 2 2 2 3 2" xfId="358"/>
    <cellStyle name="Normal 2 2 2 3 3" xfId="551"/>
    <cellStyle name="Normal 2 2 2 4" xfId="359"/>
    <cellStyle name="Normal 2 2 2 5" xfId="354"/>
    <cellStyle name="Normal 2 2 3" xfId="221"/>
    <cellStyle name="Normal 2 2 3 2" xfId="360"/>
    <cellStyle name="Normal 2 2 3 3" xfId="556"/>
    <cellStyle name="Normal 2 2 4" xfId="400"/>
    <cellStyle name="Normal 2 2 5" xfId="420"/>
    <cellStyle name="Normal 2 2 7" xfId="361"/>
    <cellStyle name="Normal 2 2 7 2" xfId="403"/>
    <cellStyle name="Normal 2 2 8" xfId="362"/>
    <cellStyle name="Normal 2 2 8 2" xfId="404"/>
    <cellStyle name="Normal 2 2 9" xfId="363"/>
    <cellStyle name="Normal 2 2 9 2" xfId="405"/>
    <cellStyle name="Normal 2 3" xfId="16"/>
    <cellStyle name="Normal 2 3 2" xfId="126"/>
    <cellStyle name="Normal 2 3 2 2" xfId="365"/>
    <cellStyle name="Normal 2 3 2 2 2" xfId="599"/>
    <cellStyle name="Normal 2 3 2 2 3" xfId="453"/>
    <cellStyle name="Normal 2 3 3" xfId="167"/>
    <cellStyle name="Normal 2 3 3 2" xfId="270"/>
    <cellStyle name="Normal 2 3 3 2 2" xfId="580"/>
    <cellStyle name="Normal 2 3 3 2 3" xfId="462"/>
    <cellStyle name="Normal 2 3 3 3" xfId="366"/>
    <cellStyle name="Normal 2 3 3 4" xfId="393"/>
    <cellStyle name="Normal 2 3 4" xfId="246"/>
    <cellStyle name="Normal 2 3 4 2" xfId="566"/>
    <cellStyle name="Normal 2 3 4 3" xfId="422"/>
    <cellStyle name="Normal 2 3 5" xfId="364"/>
    <cellStyle name="Normal 2 4" xfId="117"/>
    <cellStyle name="Normal 2 4 2" xfId="197"/>
    <cellStyle name="Normal 2 4 2 2" xfId="546"/>
    <cellStyle name="Normal 2 4 2 3" xfId="406"/>
    <cellStyle name="Normal 2 4 3" xfId="367"/>
    <cellStyle name="Normal 2 4 3 2" xfId="600"/>
    <cellStyle name="Normal 2 4 3 3" xfId="446"/>
    <cellStyle name="Normal 2 5" xfId="368"/>
    <cellStyle name="Normal 2 6" xfId="369"/>
    <cellStyle name="Normal 2 7" xfId="352"/>
    <cellStyle name="Normal 2_FUT INGRESOS 2010 Y FLS Y TESORERIA FLS AGOSTO 26" xfId="370"/>
    <cellStyle name="Normal 20" xfId="86"/>
    <cellStyle name="Normal 20 2" xfId="234"/>
    <cellStyle name="Normal 21" xfId="91"/>
    <cellStyle name="Normal 21 2" xfId="209"/>
    <cellStyle name="Normal 22" xfId="89"/>
    <cellStyle name="Normal 22 2" xfId="193"/>
    <cellStyle name="Normal 23" xfId="109"/>
    <cellStyle name="Normal 23 2" xfId="239"/>
    <cellStyle name="Normal 24" xfId="110"/>
    <cellStyle name="Normal 24 2" xfId="268"/>
    <cellStyle name="Normal 25" xfId="111"/>
    <cellStyle name="Normal 25 2" xfId="240"/>
    <cellStyle name="Normal 26" xfId="112"/>
    <cellStyle name="Normal 26 2" xfId="258"/>
    <cellStyle name="Normal 27" xfId="113"/>
    <cellStyle name="Normal 27 2" xfId="241"/>
    <cellStyle name="Normal 28" xfId="114"/>
    <cellStyle name="Normal 28 2" xfId="78"/>
    <cellStyle name="Normal 29" xfId="116"/>
    <cellStyle name="Normal 29 2" xfId="75"/>
    <cellStyle name="Normal 3" xfId="17"/>
    <cellStyle name="Normal 3 2" xfId="127"/>
    <cellStyle name="Normal 3 2 2" xfId="210"/>
    <cellStyle name="Normal 3 2 2 2" xfId="550"/>
    <cellStyle name="Normal 3 2 2 3" xfId="408"/>
    <cellStyle name="Normal 3 2 3" xfId="371"/>
    <cellStyle name="Normal 3 2 3 2" xfId="602"/>
    <cellStyle name="Normal 3 2 3 3" xfId="454"/>
    <cellStyle name="Normal 3 3" xfId="264"/>
    <cellStyle name="Normal 3 3 2" xfId="577"/>
    <cellStyle name="Normal 3 3 3" xfId="407"/>
    <cellStyle name="Normal 3 4" xfId="277"/>
    <cellStyle name="Normal 3 4 2" xfId="581"/>
    <cellStyle name="Normal 3 4 3" xfId="423"/>
    <cellStyle name="Normal 3 5" xfId="63"/>
    <cellStyle name="Normal 30" xfId="128"/>
    <cellStyle name="Normal 30 2" xfId="176"/>
    <cellStyle name="Normal 31" xfId="142"/>
    <cellStyle name="Normal 31 2" xfId="82"/>
    <cellStyle name="Normal 32" xfId="140"/>
    <cellStyle name="Normal 32 2" xfId="73"/>
    <cellStyle name="Normal 33" xfId="141"/>
    <cellStyle name="Normal 33 2" xfId="200"/>
    <cellStyle name="Normal 34" xfId="133"/>
    <cellStyle name="Normal 34 2" xfId="180"/>
    <cellStyle name="Normal 35" xfId="143"/>
    <cellStyle name="Normal 35 2" xfId="174"/>
    <cellStyle name="Normal 36" xfId="150"/>
    <cellStyle name="Normal 36 2" xfId="198"/>
    <cellStyle name="Normal 37" xfId="158"/>
    <cellStyle name="Normal 37 2" xfId="217"/>
    <cellStyle name="Normal 38" xfId="153"/>
    <cellStyle name="Normal 38 2" xfId="243"/>
    <cellStyle name="Normal 39" xfId="161"/>
    <cellStyle name="Normal 39 2" xfId="189"/>
    <cellStyle name="Normal 4" xfId="84"/>
    <cellStyle name="Normal 4 2" xfId="262"/>
    <cellStyle name="Normal 4 2 2" xfId="373"/>
    <cellStyle name="Normal 4 2 3" xfId="576"/>
    <cellStyle name="Normal 4 3" xfId="372"/>
    <cellStyle name="Normal 4 4" xfId="433"/>
    <cellStyle name="Normal 40" xfId="151"/>
    <cellStyle name="Normal 40 2" xfId="179"/>
    <cellStyle name="Normal 41" xfId="165"/>
    <cellStyle name="Normal 41 2" xfId="222"/>
    <cellStyle name="Normal 42" xfId="169"/>
    <cellStyle name="Normal 42 2" xfId="272"/>
    <cellStyle name="Normal 43" xfId="157"/>
    <cellStyle name="Normal 43 2" xfId="183"/>
    <cellStyle name="Normal 44" xfId="154"/>
    <cellStyle name="Normal 44 2" xfId="185"/>
    <cellStyle name="Normal 45" xfId="155"/>
    <cellStyle name="Normal 45 2" xfId="259"/>
    <cellStyle name="Normal 46" xfId="152"/>
    <cellStyle name="Normal 46 2" xfId="236"/>
    <cellStyle name="Normal 47" xfId="156"/>
    <cellStyle name="Normal 47 2" xfId="232"/>
    <cellStyle name="Normal 48" xfId="60"/>
    <cellStyle name="Normal 49" xfId="71"/>
    <cellStyle name="Normal 5" xfId="93"/>
    <cellStyle name="Normal 5 2" xfId="186"/>
    <cellStyle name="Normal 5 2 2" xfId="541"/>
    <cellStyle name="Normal 5 2 3" xfId="436"/>
    <cellStyle name="Normal 5 3" xfId="374"/>
    <cellStyle name="Normal 50" xfId="79"/>
    <cellStyle name="Normal 51" xfId="211"/>
    <cellStyle name="Normal 52" xfId="219"/>
    <cellStyle name="Normal 53" xfId="175"/>
    <cellStyle name="Normal 54" xfId="191"/>
    <cellStyle name="Normal 55" xfId="214"/>
    <cellStyle name="Normal 56" xfId="170"/>
    <cellStyle name="Normal 57" xfId="226"/>
    <cellStyle name="Normal 58" xfId="76"/>
    <cellStyle name="Normal 59" xfId="207"/>
    <cellStyle name="Normal 6" xfId="19"/>
    <cellStyle name="Normal 6 2" xfId="70"/>
    <cellStyle name="Normal 60" xfId="228"/>
    <cellStyle name="Normal 61" xfId="195"/>
    <cellStyle name="Normal 62" xfId="182"/>
    <cellStyle name="Normal 63" xfId="81"/>
    <cellStyle name="Normal 64" xfId="172"/>
    <cellStyle name="Normal 65" xfId="199"/>
    <cellStyle name="Normal 66" xfId="206"/>
    <cellStyle name="Normal 67" xfId="229"/>
    <cellStyle name="Normal 68" xfId="256"/>
    <cellStyle name="Normal 69" xfId="266"/>
    <cellStyle name="Normal 7" xfId="18"/>
    <cellStyle name="Normal 7 2" xfId="225"/>
    <cellStyle name="Normal 7 2 2" xfId="559"/>
    <cellStyle name="Normal 7 2 3" xfId="409"/>
    <cellStyle name="Normal 7 3" xfId="375"/>
    <cellStyle name="Normal 7 3 2" xfId="603"/>
    <cellStyle name="Normal 7 3 3" xfId="439"/>
    <cellStyle name="Normal 70" xfId="267"/>
    <cellStyle name="Normal 71" xfId="245"/>
    <cellStyle name="Normal 72" xfId="202"/>
    <cellStyle name="Normal 73" xfId="278"/>
    <cellStyle name="Normal 74" xfId="271"/>
    <cellStyle name="Normal 75" xfId="280"/>
    <cellStyle name="Normal 76" xfId="66"/>
    <cellStyle name="Normal 77" xfId="275"/>
    <cellStyle name="Normal 78" xfId="276"/>
    <cellStyle name="Normal 79" xfId="273"/>
    <cellStyle name="Normal 8" xfId="85"/>
    <cellStyle name="Normal 8 2" xfId="83"/>
    <cellStyle name="Normal 8 2 2" xfId="498"/>
    <cellStyle name="Normal 8 2 3" xfId="410"/>
    <cellStyle name="Normal 8 3" xfId="376"/>
    <cellStyle name="Normal 8 3 2" xfId="604"/>
    <cellStyle name="Normal 8 3 3" xfId="434"/>
    <cellStyle name="Normal 80" xfId="279"/>
    <cellStyle name="Normal 81" xfId="177"/>
    <cellStyle name="Normal 82" xfId="274"/>
    <cellStyle name="Normal 83" xfId="255"/>
    <cellStyle name="Normal 84" xfId="281"/>
    <cellStyle name="Normal 85" xfId="59"/>
    <cellStyle name="Normal 86" xfId="283"/>
    <cellStyle name="Normal 87" xfId="391"/>
    <cellStyle name="Normal 88" xfId="389"/>
    <cellStyle name="Normal 89" xfId="463"/>
    <cellStyle name="Normal 9" xfId="99"/>
    <cellStyle name="Normal 9 2" xfId="62"/>
    <cellStyle name="Normal 9 2 2" xfId="488"/>
    <cellStyle name="Normal 9 2 3" xfId="441"/>
    <cellStyle name="Normal 9 3" xfId="284"/>
    <cellStyle name="Normal 90" xfId="481"/>
    <cellStyle name="Normal 91" xfId="670"/>
    <cellStyle name="Normal 92" xfId="645"/>
    <cellStyle name="Normal 93" xfId="658"/>
    <cellStyle name="Normal 94" xfId="601"/>
    <cellStyle name="Normal 95" xfId="668"/>
    <cellStyle name="Normal 96" xfId="638"/>
    <cellStyle name="Normal 97" xfId="639"/>
    <cellStyle name="Normal 98" xfId="661"/>
    <cellStyle name="Normal 99" xfId="622"/>
    <cellStyle name="Notas" xfId="32" builtinId="10" customBuiltin="1"/>
    <cellStyle name="Notas 2" xfId="203"/>
    <cellStyle name="Notas 2 2" xfId="377"/>
    <cellStyle name="Notas 2 3" xfId="548"/>
    <cellStyle name="Notas 3" xfId="378"/>
    <cellStyle name="Notas 3 2" xfId="411"/>
    <cellStyle name="Porcentaje" xfId="282" builtinId="5"/>
    <cellStyle name="Porcentaje 2 2" xfId="96"/>
    <cellStyle name="Porcentaje 2 2 2" xfId="98"/>
    <cellStyle name="Porcentaje 2 3" xfId="129"/>
    <cellStyle name="Salida" xfId="27" builtinId="21" customBuiltin="1"/>
    <cellStyle name="Salida 2" xfId="205"/>
    <cellStyle name="Salida 2 2" xfId="379"/>
    <cellStyle name="Salida 2 3" xfId="549"/>
    <cellStyle name="TableStyleLight1" xfId="380"/>
    <cellStyle name="Texto de advertencia" xfId="31" builtinId="11" customBuiltin="1"/>
    <cellStyle name="Texto de advertencia 2" xfId="249"/>
    <cellStyle name="Texto de advertencia 2 2" xfId="381"/>
    <cellStyle name="Texto de advertencia 2 3" xfId="568"/>
    <cellStyle name="Texto explicativo" xfId="33" builtinId="53" customBuiltin="1"/>
    <cellStyle name="Texto explicativo 2" xfId="252"/>
    <cellStyle name="Texto explicativo 2 2" xfId="382"/>
    <cellStyle name="Texto explicativo 2 3" xfId="571"/>
    <cellStyle name="Título" xfId="394" builtinId="15" customBuiltin="1"/>
    <cellStyle name="Título 1 2" xfId="269"/>
    <cellStyle name="Título 1 2 2" xfId="383"/>
    <cellStyle name="Título 1 2 3" xfId="579"/>
    <cellStyle name="Título 2" xfId="21" builtinId="17" customBuiltin="1"/>
    <cellStyle name="Título 2 2" xfId="65"/>
    <cellStyle name="Título 2 2 2" xfId="384"/>
    <cellStyle name="Título 2 2 3" xfId="490"/>
    <cellStyle name="Título 3" xfId="22" builtinId="18" customBuiltin="1"/>
    <cellStyle name="Título 3 2" xfId="190"/>
    <cellStyle name="Título 3 2 2" xfId="385"/>
    <cellStyle name="Título 3 2 3" xfId="543"/>
    <cellStyle name="Título 4" xfId="64"/>
    <cellStyle name="Título 4 2" xfId="386"/>
    <cellStyle name="Título 4 3" xfId="489"/>
    <cellStyle name="Título 5" xfId="231"/>
    <cellStyle name="Total" xfId="34" builtinId="25" customBuiltin="1"/>
    <cellStyle name="Total 2" xfId="220"/>
    <cellStyle name="Total 2 2" xfId="387"/>
    <cellStyle name="Total 2 3" xfId="555"/>
  </cellStyles>
  <dxfs count="127">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24-5CC6-11CF-8D67-00AA00BDCE1D}" ax:persistence="persistStream"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ESTADO DE EJECUCIÓN POAI</a:t>
            </a:r>
          </a:p>
          <a:p>
            <a:pPr>
              <a:defRPr/>
            </a:pPr>
            <a:r>
              <a:rPr lang="es-CO"/>
              <a:t>SECTOR CENTRAL</a:t>
            </a:r>
          </a:p>
          <a:p>
            <a:pPr>
              <a:defRPr/>
            </a:pPr>
            <a:r>
              <a:rPr lang="es-CO" baseline="0"/>
              <a:t>SEPTIEMBRE 30 DE 2021</a:t>
            </a:r>
            <a:endParaRPr lang="es-CO"/>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'EJE ESTRATEGICO'!$C$3</c:f>
              <c:strCache>
                <c:ptCount val="1"/>
                <c:pt idx="0">
                  <c:v>Inclusión social y equidad</c:v>
                </c:pt>
              </c:strCache>
            </c:strRef>
          </c:tx>
          <c:spPr>
            <a:solidFill>
              <a:srgbClr val="002060"/>
            </a:solidFill>
            <a:ln>
              <a:noFill/>
            </a:ln>
            <a:effectLst/>
            <a:sp3d/>
          </c:spPr>
          <c:invertIfNegative val="0"/>
          <c:cat>
            <c:strRef>
              <c:f>'EJE ESTRATEGICO'!$D$2:$H$2</c:f>
              <c:strCache>
                <c:ptCount val="5"/>
                <c:pt idx="0">
                  <c:v>PRESUPUESTADO</c:v>
                </c:pt>
                <c:pt idx="1">
                  <c:v>COMPROMISOS</c:v>
                </c:pt>
                <c:pt idx="2">
                  <c:v>% COMPR</c:v>
                </c:pt>
                <c:pt idx="3">
                  <c:v>OBLIGACIONES</c:v>
                </c:pt>
                <c:pt idx="4">
                  <c:v>% OBLIG</c:v>
                </c:pt>
              </c:strCache>
            </c:strRef>
          </c:cat>
          <c:val>
            <c:numRef>
              <c:f>'EJE ESTRATEGICO'!$D$3:$H$3</c:f>
              <c:numCache>
                <c:formatCode>_(* #,##0.00_);_(* \(#,##0.00\);_(* "-"??_);_(@_)</c:formatCode>
                <c:ptCount val="5"/>
                <c:pt idx="0">
                  <c:v>275100369403.52002</c:v>
                </c:pt>
                <c:pt idx="1">
                  <c:v>186630499223.46997</c:v>
                </c:pt>
                <c:pt idx="2" formatCode="0.00%">
                  <c:v>0.67840875542307422</c:v>
                </c:pt>
                <c:pt idx="3">
                  <c:v>171303709021.75998</c:v>
                </c:pt>
                <c:pt idx="4" formatCode="0.00%">
                  <c:v>0.91787628353628414</c:v>
                </c:pt>
              </c:numCache>
            </c:numRef>
          </c:val>
          <c:extLst>
            <c:ext xmlns:c16="http://schemas.microsoft.com/office/drawing/2014/chart" uri="{C3380CC4-5D6E-409C-BE32-E72D297353CC}">
              <c16:uniqueId val="{00000000-193A-4AAF-822B-6C775BAB9851}"/>
            </c:ext>
          </c:extLst>
        </c:ser>
        <c:ser>
          <c:idx val="1"/>
          <c:order val="1"/>
          <c:tx>
            <c:strRef>
              <c:f>'EJE ESTRATEGICO'!$C$4</c:f>
              <c:strCache>
                <c:ptCount val="1"/>
                <c:pt idx="0">
                  <c:v>Productividad y competitividad</c:v>
                </c:pt>
              </c:strCache>
            </c:strRef>
          </c:tx>
          <c:spPr>
            <a:solidFill>
              <a:srgbClr val="C00000"/>
            </a:solidFill>
            <a:ln>
              <a:noFill/>
            </a:ln>
            <a:effectLst/>
            <a:sp3d/>
          </c:spPr>
          <c:invertIfNegative val="0"/>
          <c:cat>
            <c:strRef>
              <c:f>'EJE ESTRATEGICO'!$D$2:$H$2</c:f>
              <c:strCache>
                <c:ptCount val="5"/>
                <c:pt idx="0">
                  <c:v>PRESUPUESTADO</c:v>
                </c:pt>
                <c:pt idx="1">
                  <c:v>COMPROMISOS</c:v>
                </c:pt>
                <c:pt idx="2">
                  <c:v>% COMPR</c:v>
                </c:pt>
                <c:pt idx="3">
                  <c:v>OBLIGACIONES</c:v>
                </c:pt>
                <c:pt idx="4">
                  <c:v>% OBLIG</c:v>
                </c:pt>
              </c:strCache>
            </c:strRef>
          </c:cat>
          <c:val>
            <c:numRef>
              <c:f>'EJE ESTRATEGICO'!$D$4:$H$4</c:f>
              <c:numCache>
                <c:formatCode>_(* #,##0.00_);_(* \(#,##0.00\);_(* "-"??_);_(@_)</c:formatCode>
                <c:ptCount val="5"/>
                <c:pt idx="0">
                  <c:v>5779941822.2399998</c:v>
                </c:pt>
                <c:pt idx="1">
                  <c:v>3654330639</c:v>
                </c:pt>
                <c:pt idx="2" formatCode="0.00%">
                  <c:v>0.63224349853123174</c:v>
                </c:pt>
                <c:pt idx="3">
                  <c:v>1539630363</c:v>
                </c:pt>
                <c:pt idx="4" formatCode="0.00%">
                  <c:v>0.42131665552335368</c:v>
                </c:pt>
              </c:numCache>
            </c:numRef>
          </c:val>
          <c:extLst>
            <c:ext xmlns:c16="http://schemas.microsoft.com/office/drawing/2014/chart" uri="{C3380CC4-5D6E-409C-BE32-E72D297353CC}">
              <c16:uniqueId val="{00000001-193A-4AAF-822B-6C775BAB9851}"/>
            </c:ext>
          </c:extLst>
        </c:ser>
        <c:ser>
          <c:idx val="2"/>
          <c:order val="2"/>
          <c:tx>
            <c:strRef>
              <c:f>'EJE ESTRATEGICO'!$C$5</c:f>
              <c:strCache>
                <c:ptCount val="1"/>
                <c:pt idx="0">
                  <c:v>Territorio, ambiente y desarrollo sostenible</c:v>
                </c:pt>
              </c:strCache>
            </c:strRef>
          </c:tx>
          <c:spPr>
            <a:solidFill>
              <a:schemeClr val="accent3"/>
            </a:solidFill>
            <a:ln>
              <a:noFill/>
            </a:ln>
            <a:effectLst/>
            <a:sp3d/>
          </c:spPr>
          <c:invertIfNegative val="0"/>
          <c:cat>
            <c:strRef>
              <c:f>'EJE ESTRATEGICO'!$D$2:$H$2</c:f>
              <c:strCache>
                <c:ptCount val="5"/>
                <c:pt idx="0">
                  <c:v>PRESUPUESTADO</c:v>
                </c:pt>
                <c:pt idx="1">
                  <c:v>COMPROMISOS</c:v>
                </c:pt>
                <c:pt idx="2">
                  <c:v>% COMPR</c:v>
                </c:pt>
                <c:pt idx="3">
                  <c:v>OBLIGACIONES</c:v>
                </c:pt>
                <c:pt idx="4">
                  <c:v>% OBLIG</c:v>
                </c:pt>
              </c:strCache>
            </c:strRef>
          </c:cat>
          <c:val>
            <c:numRef>
              <c:f>'EJE ESTRATEGICO'!$D$5:$H$5</c:f>
              <c:numCache>
                <c:formatCode>_(* #,##0.00_);_(* \(#,##0.00\);_(* "-"??_);_(@_)</c:formatCode>
                <c:ptCount val="5"/>
                <c:pt idx="0">
                  <c:v>13095806049.780001</c:v>
                </c:pt>
                <c:pt idx="1">
                  <c:v>4563540083.4700003</c:v>
                </c:pt>
                <c:pt idx="2" formatCode="0.00%">
                  <c:v>0.34847340179924735</c:v>
                </c:pt>
                <c:pt idx="3">
                  <c:v>3069121969.1900001</c:v>
                </c:pt>
                <c:pt idx="4" formatCode="0.00%">
                  <c:v>0.67253095470924784</c:v>
                </c:pt>
              </c:numCache>
            </c:numRef>
          </c:val>
          <c:extLst>
            <c:ext xmlns:c16="http://schemas.microsoft.com/office/drawing/2014/chart" uri="{C3380CC4-5D6E-409C-BE32-E72D297353CC}">
              <c16:uniqueId val="{00000002-193A-4AAF-822B-6C775BAB9851}"/>
            </c:ext>
          </c:extLst>
        </c:ser>
        <c:ser>
          <c:idx val="3"/>
          <c:order val="3"/>
          <c:tx>
            <c:strRef>
              <c:f>'EJE ESTRATEGICO'!$C$6</c:f>
              <c:strCache>
                <c:ptCount val="1"/>
                <c:pt idx="0">
                  <c:v>Liderazgo, gobernabilidad y transparencia</c:v>
                </c:pt>
              </c:strCache>
            </c:strRef>
          </c:tx>
          <c:spPr>
            <a:solidFill>
              <a:schemeClr val="accent4"/>
            </a:solidFill>
            <a:ln>
              <a:noFill/>
            </a:ln>
            <a:effectLst/>
            <a:sp3d/>
          </c:spPr>
          <c:invertIfNegative val="0"/>
          <c:cat>
            <c:strRef>
              <c:f>'EJE ESTRATEGICO'!$D$2:$H$2</c:f>
              <c:strCache>
                <c:ptCount val="5"/>
                <c:pt idx="0">
                  <c:v>PRESUPUESTADO</c:v>
                </c:pt>
                <c:pt idx="1">
                  <c:v>COMPROMISOS</c:v>
                </c:pt>
                <c:pt idx="2">
                  <c:v>% COMPR</c:v>
                </c:pt>
                <c:pt idx="3">
                  <c:v>OBLIGACIONES</c:v>
                </c:pt>
                <c:pt idx="4">
                  <c:v>% OBLIG</c:v>
                </c:pt>
              </c:strCache>
            </c:strRef>
          </c:cat>
          <c:val>
            <c:numRef>
              <c:f>'EJE ESTRATEGICO'!$D$6:$H$6</c:f>
              <c:numCache>
                <c:formatCode>_(* #,##0.00_);_(* \(#,##0.00\);_(* "-"??_);_(@_)</c:formatCode>
                <c:ptCount val="5"/>
                <c:pt idx="0">
                  <c:v>6898207423.8400002</c:v>
                </c:pt>
                <c:pt idx="1">
                  <c:v>4695567225.6599998</c:v>
                </c:pt>
                <c:pt idx="2" formatCode="0.00%">
                  <c:v>0.68069382915803012</c:v>
                </c:pt>
                <c:pt idx="3">
                  <c:v>2813878707.4200001</c:v>
                </c:pt>
                <c:pt idx="4" formatCode="0.00%">
                  <c:v>0.59926278811277944</c:v>
                </c:pt>
              </c:numCache>
            </c:numRef>
          </c:val>
          <c:extLst>
            <c:ext xmlns:c16="http://schemas.microsoft.com/office/drawing/2014/chart" uri="{C3380CC4-5D6E-409C-BE32-E72D297353CC}">
              <c16:uniqueId val="{00000003-193A-4AAF-822B-6C775BAB9851}"/>
            </c:ext>
          </c:extLst>
        </c:ser>
        <c:ser>
          <c:idx val="4"/>
          <c:order val="4"/>
          <c:tx>
            <c:strRef>
              <c:f>'EJE ESTRATEGICO'!$C$7</c:f>
              <c:strCache>
                <c:ptCount val="1"/>
                <c:pt idx="0">
                  <c:v>TOTAL</c:v>
                </c:pt>
              </c:strCache>
            </c:strRef>
          </c:tx>
          <c:spPr>
            <a:solidFill>
              <a:srgbClr val="92D050"/>
            </a:solidFill>
            <a:ln>
              <a:noFill/>
            </a:ln>
            <a:effectLst/>
            <a:sp3d/>
          </c:spPr>
          <c:invertIfNegative val="0"/>
          <c:cat>
            <c:strRef>
              <c:f>'EJE ESTRATEGICO'!$D$2:$H$2</c:f>
              <c:strCache>
                <c:ptCount val="5"/>
                <c:pt idx="0">
                  <c:v>PRESUPUESTADO</c:v>
                </c:pt>
                <c:pt idx="1">
                  <c:v>COMPROMISOS</c:v>
                </c:pt>
                <c:pt idx="2">
                  <c:v>% COMPR</c:v>
                </c:pt>
                <c:pt idx="3">
                  <c:v>OBLIGACIONES</c:v>
                </c:pt>
                <c:pt idx="4">
                  <c:v>% OBLIG</c:v>
                </c:pt>
              </c:strCache>
            </c:strRef>
          </c:cat>
          <c:val>
            <c:numRef>
              <c:f>'EJE ESTRATEGICO'!$D$7:$H$7</c:f>
              <c:numCache>
                <c:formatCode>_(* #,##0.00_);_(* \(#,##0.00\);_(* "-"??_);_(@_)</c:formatCode>
                <c:ptCount val="5"/>
                <c:pt idx="0">
                  <c:v>300874324699.38007</c:v>
                </c:pt>
                <c:pt idx="1">
                  <c:v>199543937171.59998</c:v>
                </c:pt>
                <c:pt idx="2" formatCode="0.00%">
                  <c:v>0.6632135772002985</c:v>
                </c:pt>
                <c:pt idx="3">
                  <c:v>178726340061.37</c:v>
                </c:pt>
                <c:pt idx="4" formatCode="0.00%">
                  <c:v>0.89567411866626812</c:v>
                </c:pt>
              </c:numCache>
            </c:numRef>
          </c:val>
          <c:extLst>
            <c:ext xmlns:c16="http://schemas.microsoft.com/office/drawing/2014/chart" uri="{C3380CC4-5D6E-409C-BE32-E72D297353CC}">
              <c16:uniqueId val="{00000004-193A-4AAF-822B-6C775BAB9851}"/>
            </c:ext>
          </c:extLst>
        </c:ser>
        <c:dLbls>
          <c:showLegendKey val="0"/>
          <c:showVal val="0"/>
          <c:showCatName val="0"/>
          <c:showSerName val="0"/>
          <c:showPercent val="0"/>
          <c:showBubbleSize val="0"/>
        </c:dLbls>
        <c:gapWidth val="150"/>
        <c:shape val="box"/>
        <c:axId val="180715424"/>
        <c:axId val="180715984"/>
        <c:axId val="0"/>
      </c:bar3DChart>
      <c:catAx>
        <c:axId val="1807154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0715984"/>
        <c:crosses val="autoZero"/>
        <c:auto val="1"/>
        <c:lblAlgn val="ctr"/>
        <c:lblOffset val="100"/>
        <c:noMultiLvlLbl val="0"/>
      </c:catAx>
      <c:valAx>
        <c:axId val="180715984"/>
        <c:scaling>
          <c:orientation val="minMax"/>
        </c:scaling>
        <c:delete val="0"/>
        <c:axPos val="l"/>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07154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ESTADO DE EJECUCIÓN POAI</a:t>
            </a:r>
          </a:p>
          <a:p>
            <a:pPr>
              <a:defRPr/>
            </a:pPr>
            <a:r>
              <a:rPr lang="es-CO"/>
              <a:t>DESCENTRALIZADOS</a:t>
            </a:r>
          </a:p>
          <a:p>
            <a:pPr>
              <a:defRPr/>
            </a:pPr>
            <a:r>
              <a:rPr lang="es-CO"/>
              <a:t>SEPTIEMBRE 30 </a:t>
            </a:r>
            <a:r>
              <a:rPr lang="es-CO" baseline="0"/>
              <a:t>DE 2021</a:t>
            </a:r>
            <a:endParaRPr lang="es-CO"/>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'EJE ESTRATEGICO'!$C$16</c:f>
              <c:strCache>
                <c:ptCount val="1"/>
                <c:pt idx="0">
                  <c:v>Inclusión Social y Equidad</c:v>
                </c:pt>
              </c:strCache>
            </c:strRef>
          </c:tx>
          <c:spPr>
            <a:solidFill>
              <a:srgbClr val="002060"/>
            </a:solidFill>
            <a:ln>
              <a:noFill/>
            </a:ln>
            <a:effectLst/>
            <a:sp3d/>
          </c:spPr>
          <c:invertIfNegative val="0"/>
          <c:cat>
            <c:strRef>
              <c:f>'EJE ESTRATEGICO'!$D$15:$H$15</c:f>
              <c:strCache>
                <c:ptCount val="5"/>
                <c:pt idx="0">
                  <c:v>PRESUPUESTADO</c:v>
                </c:pt>
                <c:pt idx="1">
                  <c:v>COMPROMISOS</c:v>
                </c:pt>
                <c:pt idx="2">
                  <c:v>% COMPR</c:v>
                </c:pt>
                <c:pt idx="3">
                  <c:v>OBLIGACIONES</c:v>
                </c:pt>
                <c:pt idx="4">
                  <c:v>% OBLIG</c:v>
                </c:pt>
              </c:strCache>
            </c:strRef>
          </c:cat>
          <c:val>
            <c:numRef>
              <c:f>'EJE ESTRATEGICO'!$D$16:$H$16</c:f>
              <c:numCache>
                <c:formatCode>_(* #,##0.00_);_(* \(#,##0.00\);_(* "-"??_);_(@_)</c:formatCode>
                <c:ptCount val="5"/>
                <c:pt idx="0">
                  <c:v>13742371092.879999</c:v>
                </c:pt>
                <c:pt idx="1">
                  <c:v>3931598344.7059999</c:v>
                </c:pt>
                <c:pt idx="2" formatCode="0.00%">
                  <c:v>0.28609315802445356</c:v>
                </c:pt>
                <c:pt idx="3">
                  <c:v>2761798144.7600002</c:v>
                </c:pt>
                <c:pt idx="4" formatCode="0.00%">
                  <c:v>0.70246192581671874</c:v>
                </c:pt>
              </c:numCache>
            </c:numRef>
          </c:val>
          <c:extLst>
            <c:ext xmlns:c16="http://schemas.microsoft.com/office/drawing/2014/chart" uri="{C3380CC4-5D6E-409C-BE32-E72D297353CC}">
              <c16:uniqueId val="{00000000-206B-4998-B2DA-83EF624BACE3}"/>
            </c:ext>
          </c:extLst>
        </c:ser>
        <c:ser>
          <c:idx val="1"/>
          <c:order val="1"/>
          <c:tx>
            <c:strRef>
              <c:f>'EJE ESTRATEGICO'!$C$17</c:f>
              <c:strCache>
                <c:ptCount val="1"/>
                <c:pt idx="0">
                  <c:v>Territorio, ambiente y desarrollo sostenible</c:v>
                </c:pt>
              </c:strCache>
            </c:strRef>
          </c:tx>
          <c:spPr>
            <a:solidFill>
              <a:srgbClr val="C00000"/>
            </a:solidFill>
            <a:ln>
              <a:noFill/>
            </a:ln>
            <a:effectLst/>
            <a:sp3d/>
          </c:spPr>
          <c:invertIfNegative val="0"/>
          <c:cat>
            <c:strRef>
              <c:f>'EJE ESTRATEGICO'!$D$15:$H$15</c:f>
              <c:strCache>
                <c:ptCount val="5"/>
                <c:pt idx="0">
                  <c:v>PRESUPUESTADO</c:v>
                </c:pt>
                <c:pt idx="1">
                  <c:v>COMPROMISOS</c:v>
                </c:pt>
                <c:pt idx="2">
                  <c:v>% COMPR</c:v>
                </c:pt>
                <c:pt idx="3">
                  <c:v>OBLIGACIONES</c:v>
                </c:pt>
                <c:pt idx="4">
                  <c:v>% OBLIG</c:v>
                </c:pt>
              </c:strCache>
            </c:strRef>
          </c:cat>
          <c:val>
            <c:numRef>
              <c:f>'EJE ESTRATEGICO'!$D$17:$H$17</c:f>
              <c:numCache>
                <c:formatCode>_(* #,##0.00_);_(* \(#,##0.00\);_(* "-"??_);_(@_)</c:formatCode>
                <c:ptCount val="5"/>
                <c:pt idx="0">
                  <c:v>1668023393.23</c:v>
                </c:pt>
                <c:pt idx="1">
                  <c:v>902827344.50605011</c:v>
                </c:pt>
                <c:pt idx="2" formatCode="0.00%">
                  <c:v>0.54125580502668724</c:v>
                </c:pt>
                <c:pt idx="3">
                  <c:v>530670815.84600002</c:v>
                </c:pt>
                <c:pt idx="4" formatCode="0.00%">
                  <c:v>0.58778770833125094</c:v>
                </c:pt>
              </c:numCache>
            </c:numRef>
          </c:val>
          <c:extLst>
            <c:ext xmlns:c16="http://schemas.microsoft.com/office/drawing/2014/chart" uri="{C3380CC4-5D6E-409C-BE32-E72D297353CC}">
              <c16:uniqueId val="{00000001-206B-4998-B2DA-83EF624BACE3}"/>
            </c:ext>
          </c:extLst>
        </c:ser>
        <c:ser>
          <c:idx val="2"/>
          <c:order val="2"/>
          <c:tx>
            <c:strRef>
              <c:f>'EJE ESTRATEGICO'!$C$18</c:f>
              <c:strCache>
                <c:ptCount val="1"/>
                <c:pt idx="0">
                  <c:v>TOTAL</c:v>
                </c:pt>
              </c:strCache>
            </c:strRef>
          </c:tx>
          <c:spPr>
            <a:solidFill>
              <a:srgbClr val="92D050"/>
            </a:solidFill>
            <a:ln>
              <a:noFill/>
            </a:ln>
            <a:effectLst/>
            <a:sp3d/>
          </c:spPr>
          <c:invertIfNegative val="0"/>
          <c:cat>
            <c:strRef>
              <c:f>'EJE ESTRATEGICO'!$D$15:$H$15</c:f>
              <c:strCache>
                <c:ptCount val="5"/>
                <c:pt idx="0">
                  <c:v>PRESUPUESTADO</c:v>
                </c:pt>
                <c:pt idx="1">
                  <c:v>COMPROMISOS</c:v>
                </c:pt>
                <c:pt idx="2">
                  <c:v>% COMPR</c:v>
                </c:pt>
                <c:pt idx="3">
                  <c:v>OBLIGACIONES</c:v>
                </c:pt>
                <c:pt idx="4">
                  <c:v>% OBLIG</c:v>
                </c:pt>
              </c:strCache>
            </c:strRef>
          </c:cat>
          <c:val>
            <c:numRef>
              <c:f>'EJE ESTRATEGICO'!$D$18:$H$18</c:f>
              <c:numCache>
                <c:formatCode>_(* #,##0.00_);_(* \(#,##0.00\);_(* "-"??_);_(@_)</c:formatCode>
                <c:ptCount val="5"/>
                <c:pt idx="0">
                  <c:v>15410394486.109999</c:v>
                </c:pt>
                <c:pt idx="1">
                  <c:v>4834425689.2120495</c:v>
                </c:pt>
                <c:pt idx="2" formatCode="0.00%">
                  <c:v>0.31371200092051565</c:v>
                </c:pt>
                <c:pt idx="3">
                  <c:v>3292468960.6060004</c:v>
                </c:pt>
                <c:pt idx="4" formatCode="0.00%">
                  <c:v>0.68104655490994448</c:v>
                </c:pt>
              </c:numCache>
            </c:numRef>
          </c:val>
          <c:extLst>
            <c:ext xmlns:c16="http://schemas.microsoft.com/office/drawing/2014/chart" uri="{C3380CC4-5D6E-409C-BE32-E72D297353CC}">
              <c16:uniqueId val="{00000002-206B-4998-B2DA-83EF624BACE3}"/>
            </c:ext>
          </c:extLst>
        </c:ser>
        <c:dLbls>
          <c:showLegendKey val="0"/>
          <c:showVal val="0"/>
          <c:showCatName val="0"/>
          <c:showSerName val="0"/>
          <c:showPercent val="0"/>
          <c:showBubbleSize val="0"/>
        </c:dLbls>
        <c:gapWidth val="150"/>
        <c:shape val="box"/>
        <c:axId val="180720464"/>
        <c:axId val="180721024"/>
        <c:axId val="0"/>
      </c:bar3DChart>
      <c:catAx>
        <c:axId val="18072046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0721024"/>
        <c:crosses val="autoZero"/>
        <c:auto val="1"/>
        <c:lblAlgn val="ctr"/>
        <c:lblOffset val="100"/>
        <c:noMultiLvlLbl val="0"/>
      </c:catAx>
      <c:valAx>
        <c:axId val="180721024"/>
        <c:scaling>
          <c:orientation val="minMax"/>
        </c:scaling>
        <c:delete val="0"/>
        <c:axPos val="l"/>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072046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ESTADO DE EJECUCIÓN POAI</a:t>
            </a:r>
          </a:p>
          <a:p>
            <a:pPr>
              <a:defRPr/>
            </a:pPr>
            <a:r>
              <a:rPr lang="es-CO"/>
              <a:t>DEPARTAMENTO QUINDIO</a:t>
            </a:r>
          </a:p>
          <a:p>
            <a:pPr>
              <a:defRPr/>
            </a:pPr>
            <a:r>
              <a:rPr lang="es-CO"/>
              <a:t>SEPTIEMBRE 30 DE 2021</a:t>
            </a:r>
          </a:p>
        </c:rich>
      </c:tx>
      <c:layout>
        <c:manualLayout>
          <c:xMode val="edge"/>
          <c:yMode val="edge"/>
          <c:x val="0.46791676913284214"/>
          <c:y val="4.270937753884689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'EJE ESTRATEGICO'!$C$32</c:f>
              <c:strCache>
                <c:ptCount val="1"/>
                <c:pt idx="0">
                  <c:v>Inclusión social y equidad</c:v>
                </c:pt>
              </c:strCache>
            </c:strRef>
          </c:tx>
          <c:spPr>
            <a:solidFill>
              <a:srgbClr val="002060"/>
            </a:solidFill>
            <a:ln>
              <a:noFill/>
            </a:ln>
            <a:effectLst/>
            <a:sp3d/>
          </c:spPr>
          <c:invertIfNegative val="0"/>
          <c:cat>
            <c:strRef>
              <c:f>'EJE ESTRATEGICO'!$D$31:$H$31</c:f>
              <c:strCache>
                <c:ptCount val="5"/>
                <c:pt idx="0">
                  <c:v>PRESUPUESTADO</c:v>
                </c:pt>
                <c:pt idx="1">
                  <c:v>COMPROMISOS</c:v>
                </c:pt>
                <c:pt idx="2">
                  <c:v>% COMPR</c:v>
                </c:pt>
                <c:pt idx="3">
                  <c:v>OBLIGACIONES</c:v>
                </c:pt>
                <c:pt idx="4">
                  <c:v>% OBLIG</c:v>
                </c:pt>
              </c:strCache>
            </c:strRef>
          </c:cat>
          <c:val>
            <c:numRef>
              <c:f>'EJE ESTRATEGICO'!$D$32:$H$32</c:f>
              <c:numCache>
                <c:formatCode>_(* #,##0.00_);_(* \(#,##0.00\);_(* "-"??_);_(@_)</c:formatCode>
                <c:ptCount val="5"/>
                <c:pt idx="0">
                  <c:v>288842740496.40002</c:v>
                </c:pt>
                <c:pt idx="1">
                  <c:v>190562097568.17596</c:v>
                </c:pt>
                <c:pt idx="2" formatCode="0.00%">
                  <c:v>0.65974342038397538</c:v>
                </c:pt>
                <c:pt idx="3">
                  <c:v>174065507166.51999</c:v>
                </c:pt>
                <c:pt idx="4" formatCode="0.00%">
                  <c:v>0.91343194364370328</c:v>
                </c:pt>
              </c:numCache>
            </c:numRef>
          </c:val>
          <c:extLst>
            <c:ext xmlns:c16="http://schemas.microsoft.com/office/drawing/2014/chart" uri="{C3380CC4-5D6E-409C-BE32-E72D297353CC}">
              <c16:uniqueId val="{00000000-7AD6-4CDD-B170-98AB75964132}"/>
            </c:ext>
          </c:extLst>
        </c:ser>
        <c:ser>
          <c:idx val="1"/>
          <c:order val="1"/>
          <c:tx>
            <c:strRef>
              <c:f>'EJE ESTRATEGICO'!$C$33</c:f>
              <c:strCache>
                <c:ptCount val="1"/>
                <c:pt idx="0">
                  <c:v>Productividad y competitividad</c:v>
                </c:pt>
              </c:strCache>
            </c:strRef>
          </c:tx>
          <c:spPr>
            <a:solidFill>
              <a:srgbClr val="C00000"/>
            </a:solidFill>
            <a:ln>
              <a:noFill/>
            </a:ln>
            <a:effectLst/>
            <a:sp3d/>
          </c:spPr>
          <c:invertIfNegative val="0"/>
          <c:cat>
            <c:strRef>
              <c:f>'EJE ESTRATEGICO'!$D$31:$H$31</c:f>
              <c:strCache>
                <c:ptCount val="5"/>
                <c:pt idx="0">
                  <c:v>PRESUPUESTADO</c:v>
                </c:pt>
                <c:pt idx="1">
                  <c:v>COMPROMISOS</c:v>
                </c:pt>
                <c:pt idx="2">
                  <c:v>% COMPR</c:v>
                </c:pt>
                <c:pt idx="3">
                  <c:v>OBLIGACIONES</c:v>
                </c:pt>
                <c:pt idx="4">
                  <c:v>% OBLIG</c:v>
                </c:pt>
              </c:strCache>
            </c:strRef>
          </c:cat>
          <c:val>
            <c:numRef>
              <c:f>'EJE ESTRATEGICO'!$D$33:$H$33</c:f>
              <c:numCache>
                <c:formatCode>_(* #,##0.00_);_(* \(#,##0.00\);_(* "-"??_);_(@_)</c:formatCode>
                <c:ptCount val="5"/>
                <c:pt idx="0">
                  <c:v>5779941822.2399998</c:v>
                </c:pt>
                <c:pt idx="1">
                  <c:v>3654330639</c:v>
                </c:pt>
                <c:pt idx="2" formatCode="0.00%">
                  <c:v>0.63224349853123174</c:v>
                </c:pt>
                <c:pt idx="3">
                  <c:v>1539630363</c:v>
                </c:pt>
                <c:pt idx="4" formatCode="0.00%">
                  <c:v>0.42131665552335368</c:v>
                </c:pt>
              </c:numCache>
            </c:numRef>
          </c:val>
          <c:extLst>
            <c:ext xmlns:c16="http://schemas.microsoft.com/office/drawing/2014/chart" uri="{C3380CC4-5D6E-409C-BE32-E72D297353CC}">
              <c16:uniqueId val="{00000001-7AD6-4CDD-B170-98AB75964132}"/>
            </c:ext>
          </c:extLst>
        </c:ser>
        <c:ser>
          <c:idx val="2"/>
          <c:order val="2"/>
          <c:tx>
            <c:strRef>
              <c:f>'EJE ESTRATEGICO'!$C$34</c:f>
              <c:strCache>
                <c:ptCount val="1"/>
                <c:pt idx="0">
                  <c:v>Territorio, ambiente y desarrollo sostenible</c:v>
                </c:pt>
              </c:strCache>
            </c:strRef>
          </c:tx>
          <c:spPr>
            <a:solidFill>
              <a:schemeClr val="accent3"/>
            </a:solidFill>
            <a:ln>
              <a:noFill/>
            </a:ln>
            <a:effectLst/>
            <a:sp3d/>
          </c:spPr>
          <c:invertIfNegative val="0"/>
          <c:cat>
            <c:strRef>
              <c:f>'EJE ESTRATEGICO'!$D$31:$H$31</c:f>
              <c:strCache>
                <c:ptCount val="5"/>
                <c:pt idx="0">
                  <c:v>PRESUPUESTADO</c:v>
                </c:pt>
                <c:pt idx="1">
                  <c:v>COMPROMISOS</c:v>
                </c:pt>
                <c:pt idx="2">
                  <c:v>% COMPR</c:v>
                </c:pt>
                <c:pt idx="3">
                  <c:v>OBLIGACIONES</c:v>
                </c:pt>
                <c:pt idx="4">
                  <c:v>% OBLIG</c:v>
                </c:pt>
              </c:strCache>
            </c:strRef>
          </c:cat>
          <c:val>
            <c:numRef>
              <c:f>'EJE ESTRATEGICO'!$D$34:$H$34</c:f>
              <c:numCache>
                <c:formatCode>_(* #,##0.00_);_(* \(#,##0.00\);_(* "-"??_);_(@_)</c:formatCode>
                <c:ptCount val="5"/>
                <c:pt idx="0">
                  <c:v>14763829443.01</c:v>
                </c:pt>
                <c:pt idx="1">
                  <c:v>5466367427.9760504</c:v>
                </c:pt>
                <c:pt idx="2" formatCode="0.00%">
                  <c:v>0.37025403531494505</c:v>
                </c:pt>
                <c:pt idx="3">
                  <c:v>3599792785.0360003</c:v>
                </c:pt>
                <c:pt idx="4" formatCode="0.00%">
                  <c:v>0.65853472758029397</c:v>
                </c:pt>
              </c:numCache>
            </c:numRef>
          </c:val>
          <c:extLst>
            <c:ext xmlns:c16="http://schemas.microsoft.com/office/drawing/2014/chart" uri="{C3380CC4-5D6E-409C-BE32-E72D297353CC}">
              <c16:uniqueId val="{00000002-7AD6-4CDD-B170-98AB75964132}"/>
            </c:ext>
          </c:extLst>
        </c:ser>
        <c:ser>
          <c:idx val="3"/>
          <c:order val="3"/>
          <c:tx>
            <c:strRef>
              <c:f>'EJE ESTRATEGICO'!$C$35</c:f>
              <c:strCache>
                <c:ptCount val="1"/>
                <c:pt idx="0">
                  <c:v>Liderazgo, gobernabilidad y transparencia</c:v>
                </c:pt>
              </c:strCache>
            </c:strRef>
          </c:tx>
          <c:spPr>
            <a:solidFill>
              <a:schemeClr val="accent4"/>
            </a:solidFill>
            <a:ln>
              <a:noFill/>
            </a:ln>
            <a:effectLst/>
            <a:sp3d/>
          </c:spPr>
          <c:invertIfNegative val="0"/>
          <c:cat>
            <c:strRef>
              <c:f>'EJE ESTRATEGICO'!$D$31:$H$31</c:f>
              <c:strCache>
                <c:ptCount val="5"/>
                <c:pt idx="0">
                  <c:v>PRESUPUESTADO</c:v>
                </c:pt>
                <c:pt idx="1">
                  <c:v>COMPROMISOS</c:v>
                </c:pt>
                <c:pt idx="2">
                  <c:v>% COMPR</c:v>
                </c:pt>
                <c:pt idx="3">
                  <c:v>OBLIGACIONES</c:v>
                </c:pt>
                <c:pt idx="4">
                  <c:v>% OBLIG</c:v>
                </c:pt>
              </c:strCache>
            </c:strRef>
          </c:cat>
          <c:val>
            <c:numRef>
              <c:f>'EJE ESTRATEGICO'!$D$35:$H$35</c:f>
              <c:numCache>
                <c:formatCode>_(* #,##0.00_);_(* \(#,##0.00\);_(* "-"??_);_(@_)</c:formatCode>
                <c:ptCount val="5"/>
                <c:pt idx="0">
                  <c:v>6898207423.8400002</c:v>
                </c:pt>
                <c:pt idx="1">
                  <c:v>4695567225.6599998</c:v>
                </c:pt>
                <c:pt idx="2" formatCode="0.00%">
                  <c:v>0.68069382915803012</c:v>
                </c:pt>
                <c:pt idx="3">
                  <c:v>2813878707.4200001</c:v>
                </c:pt>
                <c:pt idx="4" formatCode="0.00%">
                  <c:v>0.59926278811277944</c:v>
                </c:pt>
              </c:numCache>
            </c:numRef>
          </c:val>
          <c:extLst>
            <c:ext xmlns:c16="http://schemas.microsoft.com/office/drawing/2014/chart" uri="{C3380CC4-5D6E-409C-BE32-E72D297353CC}">
              <c16:uniqueId val="{00000003-7AD6-4CDD-B170-98AB75964132}"/>
            </c:ext>
          </c:extLst>
        </c:ser>
        <c:ser>
          <c:idx val="4"/>
          <c:order val="4"/>
          <c:tx>
            <c:strRef>
              <c:f>'EJE ESTRATEGICO'!$C$36</c:f>
              <c:strCache>
                <c:ptCount val="1"/>
                <c:pt idx="0">
                  <c:v>TOTAL</c:v>
                </c:pt>
              </c:strCache>
            </c:strRef>
          </c:tx>
          <c:spPr>
            <a:solidFill>
              <a:srgbClr val="92D050"/>
            </a:solidFill>
            <a:ln>
              <a:noFill/>
            </a:ln>
            <a:effectLst/>
            <a:sp3d/>
          </c:spPr>
          <c:invertIfNegative val="0"/>
          <c:cat>
            <c:strRef>
              <c:f>'EJE ESTRATEGICO'!$D$31:$H$31</c:f>
              <c:strCache>
                <c:ptCount val="5"/>
                <c:pt idx="0">
                  <c:v>PRESUPUESTADO</c:v>
                </c:pt>
                <c:pt idx="1">
                  <c:v>COMPROMISOS</c:v>
                </c:pt>
                <c:pt idx="2">
                  <c:v>% COMPR</c:v>
                </c:pt>
                <c:pt idx="3">
                  <c:v>OBLIGACIONES</c:v>
                </c:pt>
                <c:pt idx="4">
                  <c:v>% OBLIG</c:v>
                </c:pt>
              </c:strCache>
            </c:strRef>
          </c:cat>
          <c:val>
            <c:numRef>
              <c:f>'EJE ESTRATEGICO'!$D$36:$H$36</c:f>
              <c:numCache>
                <c:formatCode>_(* #,##0.00_);_(* \(#,##0.00\);_(* "-"??_);_(@_)</c:formatCode>
                <c:ptCount val="5"/>
                <c:pt idx="0">
                  <c:v>316284719185.49005</c:v>
                </c:pt>
                <c:pt idx="1">
                  <c:v>204378362860.81201</c:v>
                </c:pt>
                <c:pt idx="2" formatCode="0.00%">
                  <c:v>0.64618475210290249</c:v>
                </c:pt>
                <c:pt idx="3">
                  <c:v>182018809021.97601</c:v>
                </c:pt>
                <c:pt idx="4" formatCode="0.00%">
                  <c:v>0.89059725537549417</c:v>
                </c:pt>
              </c:numCache>
            </c:numRef>
          </c:val>
          <c:extLst>
            <c:ext xmlns:c16="http://schemas.microsoft.com/office/drawing/2014/chart" uri="{C3380CC4-5D6E-409C-BE32-E72D297353CC}">
              <c16:uniqueId val="{00000004-7AD6-4CDD-B170-98AB75964132}"/>
            </c:ext>
          </c:extLst>
        </c:ser>
        <c:dLbls>
          <c:showLegendKey val="0"/>
          <c:showVal val="0"/>
          <c:showCatName val="0"/>
          <c:showSerName val="0"/>
          <c:showPercent val="0"/>
          <c:showBubbleSize val="0"/>
        </c:dLbls>
        <c:gapWidth val="150"/>
        <c:shape val="box"/>
        <c:axId val="181301120"/>
        <c:axId val="181301680"/>
        <c:axId val="0"/>
      </c:bar3DChart>
      <c:catAx>
        <c:axId val="1813011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1301680"/>
        <c:crosses val="autoZero"/>
        <c:auto val="1"/>
        <c:lblAlgn val="ctr"/>
        <c:lblOffset val="100"/>
        <c:noMultiLvlLbl val="0"/>
      </c:catAx>
      <c:valAx>
        <c:axId val="181301680"/>
        <c:scaling>
          <c:orientation val="minMax"/>
        </c:scaling>
        <c:delete val="0"/>
        <c:axPos val="l"/>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130112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baseline="0">
                <a:latin typeface="Arial" panose="020B0604020202020204" pitchFamily="34" charset="0"/>
                <a:cs typeface="Arial" panose="020B0604020202020204" pitchFamily="34" charset="0"/>
              </a:rPr>
              <a:t>Estado de Ejecución  Sector Central</a:t>
            </a:r>
          </a:p>
          <a:p>
            <a:pPr>
              <a:defRPr sz="1200" b="1">
                <a:latin typeface="Arial" panose="020B0604020202020204" pitchFamily="34" charset="0"/>
                <a:cs typeface="Arial" panose="020B0604020202020204" pitchFamily="34" charset="0"/>
              </a:defRPr>
            </a:pPr>
            <a:r>
              <a:rPr lang="es-CO" sz="1200" b="1" baseline="0">
                <a:latin typeface="Arial" panose="020B0604020202020204" pitchFamily="34" charset="0"/>
                <a:cs typeface="Arial" panose="020B0604020202020204" pitchFamily="34" charset="0"/>
              </a:rPr>
              <a:t>Gastos de Inversión con corte al III Trimestre 2021</a:t>
            </a:r>
            <a:endParaRPr lang="es-CO" sz="1200" b="1">
              <a:latin typeface="Arial" panose="020B0604020202020204" pitchFamily="34" charset="0"/>
              <a:cs typeface="Arial" panose="020B0604020202020204" pitchFamily="34" charset="0"/>
            </a:endParaRPr>
          </a:p>
        </c:rich>
      </c:tx>
      <c:layout>
        <c:manualLayout>
          <c:xMode val="edge"/>
          <c:yMode val="edge"/>
          <c:x val="0.38225537996805209"/>
          <c:y val="8.6644376548000709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0.13410779548565621"/>
          <c:y val="0.15784037952389388"/>
          <c:w val="0.85302418680714087"/>
          <c:h val="0.71588350508700771"/>
        </c:manualLayout>
      </c:layout>
      <c:barChart>
        <c:barDir val="col"/>
        <c:grouping val="clustered"/>
        <c:varyColors val="0"/>
        <c:ser>
          <c:idx val="0"/>
          <c:order val="0"/>
          <c:tx>
            <c:strRef>
              <c:f>'CONSOLIDADO UNIDADES'!$C$23</c:f>
              <c:strCache>
                <c:ptCount val="1"/>
                <c:pt idx="0">
                  <c:v>Valor</c:v>
                </c:pt>
              </c:strCache>
            </c:strRef>
          </c:tx>
          <c:spPr>
            <a:solidFill>
              <a:srgbClr val="002060"/>
            </a:solidFill>
            <a:ln>
              <a:noFill/>
            </a:ln>
            <a:effectLst/>
          </c:spPr>
          <c:invertIfNegative val="0"/>
          <c:dPt>
            <c:idx val="1"/>
            <c:invertIfNegative val="0"/>
            <c:bubble3D val="0"/>
            <c:spPr>
              <a:solidFill>
                <a:srgbClr val="C00000"/>
              </a:solidFill>
              <a:ln>
                <a:noFill/>
              </a:ln>
              <a:effectLst/>
            </c:spPr>
            <c:extLst>
              <c:ext xmlns:c16="http://schemas.microsoft.com/office/drawing/2014/chart" uri="{C3380CC4-5D6E-409C-BE32-E72D297353CC}">
                <c16:uniqueId val="{00000003-3960-46AD-8AEB-A9264092E8AD}"/>
              </c:ext>
            </c:extLst>
          </c:dPt>
          <c:dPt>
            <c:idx val="2"/>
            <c:invertIfNegative val="0"/>
            <c:bubble3D val="0"/>
            <c:spPr>
              <a:solidFill>
                <a:srgbClr val="00B0F0"/>
              </a:solidFill>
              <a:ln>
                <a:noFill/>
              </a:ln>
              <a:effectLst/>
            </c:spPr>
            <c:extLst>
              <c:ext xmlns:c16="http://schemas.microsoft.com/office/drawing/2014/chart" uri="{C3380CC4-5D6E-409C-BE32-E72D297353CC}">
                <c16:uniqueId val="{00000006-3960-46AD-8AEB-A9264092E8AD}"/>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9-3960-46AD-8AEB-A9264092E8AD}"/>
              </c:ext>
            </c:extLst>
          </c:dPt>
          <c:dPt>
            <c:idx val="4"/>
            <c:invertIfNegative val="0"/>
            <c:bubble3D val="0"/>
            <c:spPr>
              <a:solidFill>
                <a:srgbClr val="92D050"/>
              </a:solidFill>
              <a:ln>
                <a:noFill/>
              </a:ln>
              <a:effectLst/>
            </c:spPr>
            <c:extLst>
              <c:ext xmlns:c16="http://schemas.microsoft.com/office/drawing/2014/chart" uri="{C3380CC4-5D6E-409C-BE32-E72D297353CC}">
                <c16:uniqueId val="{0000000E-3960-46AD-8AEB-A9264092E8AD}"/>
              </c:ext>
            </c:extLst>
          </c:dPt>
          <c:dPt>
            <c:idx val="5"/>
            <c:invertIfNegative val="0"/>
            <c:bubble3D val="0"/>
            <c:spPr>
              <a:solidFill>
                <a:srgbClr val="FFFF00"/>
              </a:solidFill>
              <a:ln>
                <a:noFill/>
              </a:ln>
              <a:effectLst/>
            </c:spPr>
            <c:extLst>
              <c:ext xmlns:c16="http://schemas.microsoft.com/office/drawing/2014/chart" uri="{C3380CC4-5D6E-409C-BE32-E72D297353CC}">
                <c16:uniqueId val="{00000012-3960-46AD-8AEB-A9264092E8AD}"/>
              </c:ext>
            </c:extLst>
          </c:dPt>
          <c:cat>
            <c:strRef>
              <c:f>'CONSOLIDADO UNIDADES'!$B$24:$B$29</c:f>
              <c:strCache>
                <c:ptCount val="6"/>
                <c:pt idx="0">
                  <c:v>Sector Central</c:v>
                </c:pt>
                <c:pt idx="1">
                  <c:v>Disponibilidades </c:v>
                </c:pt>
                <c:pt idx="2">
                  <c:v>Compromisos</c:v>
                </c:pt>
                <c:pt idx="3">
                  <c:v>Obligaciones</c:v>
                </c:pt>
                <c:pt idx="4">
                  <c:v>Pagos </c:v>
                </c:pt>
                <c:pt idx="5">
                  <c:v>Disponible</c:v>
                </c:pt>
              </c:strCache>
            </c:strRef>
          </c:cat>
          <c:val>
            <c:numRef>
              <c:f>'CONSOLIDADO UNIDADES'!$C$24:$C$29</c:f>
              <c:numCache>
                <c:formatCode>_(* #,##0_);_(* \(#,##0\);_(* "-"??_);_(@_)</c:formatCode>
                <c:ptCount val="6"/>
                <c:pt idx="0">
                  <c:v>300874324699.38007</c:v>
                </c:pt>
                <c:pt idx="1">
                  <c:v>218263940231.41998</c:v>
                </c:pt>
                <c:pt idx="2">
                  <c:v>199543937171.60001</c:v>
                </c:pt>
                <c:pt idx="3">
                  <c:v>178726340061.37</c:v>
                </c:pt>
                <c:pt idx="4">
                  <c:v>178726340061.37</c:v>
                </c:pt>
                <c:pt idx="5">
                  <c:v>82610384467.960037</c:v>
                </c:pt>
              </c:numCache>
            </c:numRef>
          </c:val>
          <c:extLst>
            <c:ext xmlns:c16="http://schemas.microsoft.com/office/drawing/2014/chart" uri="{C3380CC4-5D6E-409C-BE32-E72D297353CC}">
              <c16:uniqueId val="{00000000-3960-46AD-8AEB-A9264092E8AD}"/>
            </c:ext>
          </c:extLst>
        </c:ser>
        <c:ser>
          <c:idx val="1"/>
          <c:order val="1"/>
          <c:tx>
            <c:strRef>
              <c:f>'CONSOLIDADO UNIDADES'!$D$23</c:f>
              <c:strCache>
                <c:ptCount val="1"/>
                <c:pt idx="0">
                  <c:v>%</c:v>
                </c:pt>
              </c:strCache>
            </c:strRef>
          </c:tx>
          <c:spPr>
            <a:solidFill>
              <a:schemeClr val="accent2"/>
            </a:solidFill>
            <a:ln>
              <a:noFill/>
            </a:ln>
            <a:effectLst/>
          </c:spPr>
          <c:invertIfNegative val="0"/>
          <c:cat>
            <c:strRef>
              <c:f>'CONSOLIDADO UNIDADES'!$B$24:$B$29</c:f>
              <c:strCache>
                <c:ptCount val="6"/>
                <c:pt idx="0">
                  <c:v>Sector Central</c:v>
                </c:pt>
                <c:pt idx="1">
                  <c:v>Disponibilidades </c:v>
                </c:pt>
                <c:pt idx="2">
                  <c:v>Compromisos</c:v>
                </c:pt>
                <c:pt idx="3">
                  <c:v>Obligaciones</c:v>
                </c:pt>
                <c:pt idx="4">
                  <c:v>Pagos </c:v>
                </c:pt>
                <c:pt idx="5">
                  <c:v>Disponible</c:v>
                </c:pt>
              </c:strCache>
            </c:strRef>
          </c:cat>
          <c:val>
            <c:numRef>
              <c:f>'CONSOLIDADO UNIDADES'!$D$24:$D$29</c:f>
              <c:numCache>
                <c:formatCode>0.00%</c:formatCode>
                <c:ptCount val="6"/>
                <c:pt idx="0" formatCode="0%">
                  <c:v>1</c:v>
                </c:pt>
                <c:pt idx="1">
                  <c:v>0.72543225630668018</c:v>
                </c:pt>
                <c:pt idx="2">
                  <c:v>0.66321357720029861</c:v>
                </c:pt>
                <c:pt idx="3">
                  <c:v>0.895674118666268</c:v>
                </c:pt>
                <c:pt idx="4">
                  <c:v>0.895674118666268</c:v>
                </c:pt>
                <c:pt idx="5">
                  <c:v>0.27456774369331971</c:v>
                </c:pt>
              </c:numCache>
            </c:numRef>
          </c:val>
          <c:extLst>
            <c:ext xmlns:c16="http://schemas.microsoft.com/office/drawing/2014/chart" uri="{C3380CC4-5D6E-409C-BE32-E72D297353CC}">
              <c16:uniqueId val="{00000001-3960-46AD-8AEB-A9264092E8AD}"/>
            </c:ext>
          </c:extLst>
        </c:ser>
        <c:dLbls>
          <c:showLegendKey val="0"/>
          <c:showVal val="0"/>
          <c:showCatName val="0"/>
          <c:showSerName val="0"/>
          <c:showPercent val="0"/>
          <c:showBubbleSize val="0"/>
        </c:dLbls>
        <c:gapWidth val="219"/>
        <c:overlap val="-27"/>
        <c:axId val="181518960"/>
        <c:axId val="181519520"/>
      </c:barChart>
      <c:catAx>
        <c:axId val="181518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1519520"/>
        <c:crosses val="autoZero"/>
        <c:auto val="1"/>
        <c:lblAlgn val="ctr"/>
        <c:lblOffset val="100"/>
        <c:noMultiLvlLbl val="0"/>
      </c:catAx>
      <c:valAx>
        <c:axId val="181519520"/>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15189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Estado de Ejecución Entes</a:t>
            </a:r>
            <a:r>
              <a:rPr lang="es-CO" sz="1200" b="1" baseline="0">
                <a:latin typeface="Arial" panose="020B0604020202020204" pitchFamily="34" charset="0"/>
                <a:cs typeface="Arial" panose="020B0604020202020204" pitchFamily="34" charset="0"/>
              </a:rPr>
              <a:t> Descentralizados</a:t>
            </a:r>
          </a:p>
          <a:p>
            <a:pPr>
              <a:defRPr sz="1200" b="1">
                <a:latin typeface="Arial" panose="020B0604020202020204" pitchFamily="34" charset="0"/>
                <a:cs typeface="Arial" panose="020B0604020202020204" pitchFamily="34" charset="0"/>
              </a:defRPr>
            </a:pPr>
            <a:r>
              <a:rPr lang="es-CO" sz="1200" b="1" baseline="0">
                <a:latin typeface="Arial" panose="020B0604020202020204" pitchFamily="34" charset="0"/>
                <a:cs typeface="Arial" panose="020B0604020202020204" pitchFamily="34" charset="0"/>
              </a:rPr>
              <a:t>Gastos de Inversión con corte al III Trimestre 2021</a:t>
            </a:r>
            <a:endParaRPr lang="es-CO"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2060"/>
              </a:solidFill>
              <a:ln>
                <a:noFill/>
              </a:ln>
              <a:effectLst/>
            </c:spPr>
            <c:extLst>
              <c:ext xmlns:c16="http://schemas.microsoft.com/office/drawing/2014/chart" uri="{C3380CC4-5D6E-409C-BE32-E72D297353CC}">
                <c16:uniqueId val="{00000001-4880-4938-84D7-1118D55666C7}"/>
              </c:ext>
            </c:extLst>
          </c:dPt>
          <c:dPt>
            <c:idx val="5"/>
            <c:invertIfNegative val="0"/>
            <c:bubble3D val="0"/>
            <c:spPr>
              <a:solidFill>
                <a:srgbClr val="FFFF00"/>
              </a:solidFill>
              <a:ln>
                <a:noFill/>
              </a:ln>
              <a:effectLst/>
            </c:spPr>
            <c:extLst>
              <c:ext xmlns:c16="http://schemas.microsoft.com/office/drawing/2014/chart" uri="{C3380CC4-5D6E-409C-BE32-E72D297353CC}">
                <c16:uniqueId val="{00000003-4880-4938-84D7-1118D55666C7}"/>
              </c:ext>
            </c:extLst>
          </c:dPt>
          <c:cat>
            <c:strRef>
              <c:f>'CONSOLIDADO UNIDADES'!$B$33:$B$38</c:f>
              <c:strCache>
                <c:ptCount val="6"/>
                <c:pt idx="0">
                  <c:v>Descentralizados</c:v>
                </c:pt>
                <c:pt idx="1">
                  <c:v>Disponibilidades </c:v>
                </c:pt>
                <c:pt idx="2">
                  <c:v>Compromisos</c:v>
                </c:pt>
                <c:pt idx="3">
                  <c:v>Obligaciones</c:v>
                </c:pt>
                <c:pt idx="4">
                  <c:v>Pagos </c:v>
                </c:pt>
                <c:pt idx="5">
                  <c:v>Disponible</c:v>
                </c:pt>
              </c:strCache>
            </c:strRef>
          </c:cat>
          <c:val>
            <c:numRef>
              <c:f>'CONSOLIDADO UNIDADES'!$C$33:$C$38</c:f>
              <c:numCache>
                <c:formatCode>_(* #,##0_);_(* \(#,##0\);_(* "-"??_);_(@_)</c:formatCode>
                <c:ptCount val="6"/>
                <c:pt idx="0">
                  <c:v>15410394486.109999</c:v>
                </c:pt>
                <c:pt idx="1">
                  <c:v>5883999596.5044498</c:v>
                </c:pt>
                <c:pt idx="2">
                  <c:v>4834425689.2120495</c:v>
                </c:pt>
                <c:pt idx="3">
                  <c:v>3292468960.6059995</c:v>
                </c:pt>
                <c:pt idx="4">
                  <c:v>3292468960.6059999</c:v>
                </c:pt>
                <c:pt idx="5">
                  <c:v>9526394889.6055489</c:v>
                </c:pt>
              </c:numCache>
            </c:numRef>
          </c:val>
          <c:extLst>
            <c:ext xmlns:c16="http://schemas.microsoft.com/office/drawing/2014/chart" uri="{C3380CC4-5D6E-409C-BE32-E72D297353CC}">
              <c16:uniqueId val="{00000004-4880-4938-84D7-1118D55666C7}"/>
            </c:ext>
          </c:extLst>
        </c:ser>
        <c:ser>
          <c:idx val="1"/>
          <c:order val="1"/>
          <c:spPr>
            <a:solidFill>
              <a:schemeClr val="accent2"/>
            </a:solidFill>
            <a:ln>
              <a:noFill/>
            </a:ln>
            <a:effectLst/>
          </c:spPr>
          <c:invertIfNegative val="0"/>
          <c:cat>
            <c:strRef>
              <c:f>'CONSOLIDADO UNIDADES'!$B$33:$B$38</c:f>
              <c:strCache>
                <c:ptCount val="6"/>
                <c:pt idx="0">
                  <c:v>Descentralizados</c:v>
                </c:pt>
                <c:pt idx="1">
                  <c:v>Disponibilidades </c:v>
                </c:pt>
                <c:pt idx="2">
                  <c:v>Compromisos</c:v>
                </c:pt>
                <c:pt idx="3">
                  <c:v>Obligaciones</c:v>
                </c:pt>
                <c:pt idx="4">
                  <c:v>Pagos </c:v>
                </c:pt>
                <c:pt idx="5">
                  <c:v>Disponible</c:v>
                </c:pt>
              </c:strCache>
            </c:strRef>
          </c:cat>
          <c:val>
            <c:numRef>
              <c:f>'CONSOLIDADO UNIDADES'!$D$33:$D$38</c:f>
              <c:numCache>
                <c:formatCode>0.00%</c:formatCode>
                <c:ptCount val="6"/>
                <c:pt idx="0" formatCode="0%">
                  <c:v>1</c:v>
                </c:pt>
                <c:pt idx="1">
                  <c:v>0.38182017999655576</c:v>
                </c:pt>
                <c:pt idx="2">
                  <c:v>0.31371200092051565</c:v>
                </c:pt>
                <c:pt idx="3">
                  <c:v>0.68104655490994437</c:v>
                </c:pt>
                <c:pt idx="4">
                  <c:v>0.68104655490994437</c:v>
                </c:pt>
                <c:pt idx="5">
                  <c:v>0.61817982000344429</c:v>
                </c:pt>
              </c:numCache>
            </c:numRef>
          </c:val>
          <c:extLst>
            <c:ext xmlns:c16="http://schemas.microsoft.com/office/drawing/2014/chart" uri="{C3380CC4-5D6E-409C-BE32-E72D297353CC}">
              <c16:uniqueId val="{00000005-4880-4938-84D7-1118D55666C7}"/>
            </c:ext>
          </c:extLst>
        </c:ser>
        <c:dLbls>
          <c:showLegendKey val="0"/>
          <c:showVal val="0"/>
          <c:showCatName val="0"/>
          <c:showSerName val="0"/>
          <c:showPercent val="0"/>
          <c:showBubbleSize val="0"/>
        </c:dLbls>
        <c:gapWidth val="219"/>
        <c:overlap val="-27"/>
        <c:axId val="181523440"/>
        <c:axId val="181524000"/>
      </c:barChart>
      <c:catAx>
        <c:axId val="181523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1524000"/>
        <c:crosses val="autoZero"/>
        <c:auto val="1"/>
        <c:lblAlgn val="ctr"/>
        <c:lblOffset val="100"/>
        <c:noMultiLvlLbl val="0"/>
      </c:catAx>
      <c:valAx>
        <c:axId val="181524000"/>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152344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i="0" baseline="0">
                <a:effectLst/>
                <a:latin typeface="Arial" panose="020B0604020202020204" pitchFamily="34" charset="0"/>
                <a:cs typeface="Arial" panose="020B0604020202020204" pitchFamily="34" charset="0"/>
              </a:rPr>
              <a:t>Estado de Ejecución Departamento Quindiío</a:t>
            </a:r>
            <a:endParaRPr lang="es-CO" sz="1200" b="1">
              <a:effectLst/>
              <a:latin typeface="Arial" panose="020B0604020202020204" pitchFamily="34" charset="0"/>
              <a:cs typeface="Arial" panose="020B0604020202020204" pitchFamily="34" charset="0"/>
            </a:endParaRPr>
          </a:p>
          <a:p>
            <a:pPr>
              <a:defRPr sz="1200" b="1">
                <a:latin typeface="Arial" panose="020B0604020202020204" pitchFamily="34" charset="0"/>
                <a:cs typeface="Arial" panose="020B0604020202020204" pitchFamily="34" charset="0"/>
              </a:defRPr>
            </a:pPr>
            <a:r>
              <a:rPr lang="es-CO" sz="1200" b="1" i="0" baseline="0">
                <a:effectLst/>
                <a:latin typeface="Arial" panose="020B0604020202020204" pitchFamily="34" charset="0"/>
                <a:cs typeface="Arial" panose="020B0604020202020204" pitchFamily="34" charset="0"/>
              </a:rPr>
              <a:t>Gastos de Inversión con corte al III Trimestre 2021</a:t>
            </a:r>
            <a:endParaRPr lang="es-CO" sz="1200" b="1">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2060"/>
              </a:solidFill>
              <a:ln>
                <a:noFill/>
              </a:ln>
              <a:effectLst/>
            </c:spPr>
            <c:extLst>
              <c:ext xmlns:c16="http://schemas.microsoft.com/office/drawing/2014/chart" uri="{C3380CC4-5D6E-409C-BE32-E72D297353CC}">
                <c16:uniqueId val="{00000001-206E-4B7B-8B49-00214891761A}"/>
              </c:ext>
            </c:extLst>
          </c:dPt>
          <c:dPt>
            <c:idx val="1"/>
            <c:invertIfNegative val="0"/>
            <c:bubble3D val="0"/>
            <c:spPr>
              <a:solidFill>
                <a:srgbClr val="C00000"/>
              </a:solidFill>
              <a:ln>
                <a:noFill/>
              </a:ln>
              <a:effectLst/>
            </c:spPr>
            <c:extLst>
              <c:ext xmlns:c16="http://schemas.microsoft.com/office/drawing/2014/chart" uri="{C3380CC4-5D6E-409C-BE32-E72D297353CC}">
                <c16:uniqueId val="{00000003-206E-4B7B-8B49-00214891761A}"/>
              </c:ext>
            </c:extLst>
          </c:dPt>
          <c:dPt>
            <c:idx val="2"/>
            <c:invertIfNegative val="0"/>
            <c:bubble3D val="0"/>
            <c:spPr>
              <a:solidFill>
                <a:srgbClr val="00B0F0"/>
              </a:solidFill>
              <a:ln>
                <a:noFill/>
              </a:ln>
              <a:effectLst/>
            </c:spPr>
            <c:extLst>
              <c:ext xmlns:c16="http://schemas.microsoft.com/office/drawing/2014/chart" uri="{C3380CC4-5D6E-409C-BE32-E72D297353CC}">
                <c16:uniqueId val="{00000005-206E-4B7B-8B49-00214891761A}"/>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7-206E-4B7B-8B49-00214891761A}"/>
              </c:ext>
            </c:extLst>
          </c:dPt>
          <c:dPt>
            <c:idx val="4"/>
            <c:invertIfNegative val="0"/>
            <c:bubble3D val="0"/>
            <c:spPr>
              <a:solidFill>
                <a:srgbClr val="92D050"/>
              </a:solidFill>
              <a:ln>
                <a:noFill/>
              </a:ln>
              <a:effectLst/>
            </c:spPr>
            <c:extLst>
              <c:ext xmlns:c16="http://schemas.microsoft.com/office/drawing/2014/chart" uri="{C3380CC4-5D6E-409C-BE32-E72D297353CC}">
                <c16:uniqueId val="{00000009-206E-4B7B-8B49-00214891761A}"/>
              </c:ext>
            </c:extLst>
          </c:dPt>
          <c:dPt>
            <c:idx val="5"/>
            <c:invertIfNegative val="0"/>
            <c:bubble3D val="0"/>
            <c:spPr>
              <a:solidFill>
                <a:srgbClr val="FFFF00"/>
              </a:solidFill>
              <a:ln>
                <a:noFill/>
              </a:ln>
              <a:effectLst/>
            </c:spPr>
            <c:extLst>
              <c:ext xmlns:c16="http://schemas.microsoft.com/office/drawing/2014/chart" uri="{C3380CC4-5D6E-409C-BE32-E72D297353CC}">
                <c16:uniqueId val="{0000000B-206E-4B7B-8B49-00214891761A}"/>
              </c:ext>
            </c:extLst>
          </c:dPt>
          <c:cat>
            <c:strRef>
              <c:f>'CONSOLIDADO UNIDADES'!$B$47:$B$52</c:f>
              <c:strCache>
                <c:ptCount val="6"/>
                <c:pt idx="0">
                  <c:v>Departamento Quindío</c:v>
                </c:pt>
                <c:pt idx="1">
                  <c:v>Disponibilidades </c:v>
                </c:pt>
                <c:pt idx="2">
                  <c:v>Compromisos</c:v>
                </c:pt>
                <c:pt idx="3">
                  <c:v>Obligaciones</c:v>
                </c:pt>
                <c:pt idx="4">
                  <c:v>Pagos </c:v>
                </c:pt>
                <c:pt idx="5">
                  <c:v>Disponible</c:v>
                </c:pt>
              </c:strCache>
            </c:strRef>
          </c:cat>
          <c:val>
            <c:numRef>
              <c:f>'CONSOLIDADO UNIDADES'!$C$47:$C$52</c:f>
              <c:numCache>
                <c:formatCode>_(* #,##0_);_(* \(#,##0\);_(* "-"??_);_(@_)</c:formatCode>
                <c:ptCount val="6"/>
                <c:pt idx="0">
                  <c:v>316284719185.49005</c:v>
                </c:pt>
                <c:pt idx="1">
                  <c:v>224147939827.92444</c:v>
                </c:pt>
                <c:pt idx="2">
                  <c:v>204378362860.81204</c:v>
                </c:pt>
                <c:pt idx="3">
                  <c:v>182018809021.97598</c:v>
                </c:pt>
                <c:pt idx="4">
                  <c:v>182018809021.97598</c:v>
                </c:pt>
                <c:pt idx="5">
                  <c:v>92136779357.565582</c:v>
                </c:pt>
              </c:numCache>
            </c:numRef>
          </c:val>
          <c:extLst>
            <c:ext xmlns:c16="http://schemas.microsoft.com/office/drawing/2014/chart" uri="{C3380CC4-5D6E-409C-BE32-E72D297353CC}">
              <c16:uniqueId val="{0000000C-206E-4B7B-8B49-00214891761A}"/>
            </c:ext>
          </c:extLst>
        </c:ser>
        <c:ser>
          <c:idx val="1"/>
          <c:order val="1"/>
          <c:spPr>
            <a:solidFill>
              <a:schemeClr val="accent2"/>
            </a:solidFill>
            <a:ln>
              <a:noFill/>
            </a:ln>
            <a:effectLst/>
          </c:spPr>
          <c:invertIfNegative val="0"/>
          <c:cat>
            <c:strRef>
              <c:f>'CONSOLIDADO UNIDADES'!$B$47:$B$52</c:f>
              <c:strCache>
                <c:ptCount val="6"/>
                <c:pt idx="0">
                  <c:v>Departamento Quindío</c:v>
                </c:pt>
                <c:pt idx="1">
                  <c:v>Disponibilidades </c:v>
                </c:pt>
                <c:pt idx="2">
                  <c:v>Compromisos</c:v>
                </c:pt>
                <c:pt idx="3">
                  <c:v>Obligaciones</c:v>
                </c:pt>
                <c:pt idx="4">
                  <c:v>Pagos </c:v>
                </c:pt>
                <c:pt idx="5">
                  <c:v>Disponible</c:v>
                </c:pt>
              </c:strCache>
            </c:strRef>
          </c:cat>
          <c:val>
            <c:numRef>
              <c:f>'CONSOLIDADO UNIDADES'!$D$47:$D$52</c:f>
              <c:numCache>
                <c:formatCode>0.00%</c:formatCode>
                <c:ptCount val="6"/>
                <c:pt idx="0" formatCode="0%">
                  <c:v>1</c:v>
                </c:pt>
                <c:pt idx="1">
                  <c:v>0.70869038632394199</c:v>
                </c:pt>
                <c:pt idx="2">
                  <c:v>0.6461847521029026</c:v>
                </c:pt>
                <c:pt idx="3">
                  <c:v>0.89059725537549395</c:v>
                </c:pt>
                <c:pt idx="4">
                  <c:v>0.89059725537549395</c:v>
                </c:pt>
                <c:pt idx="5">
                  <c:v>0.29130961367605795</c:v>
                </c:pt>
              </c:numCache>
            </c:numRef>
          </c:val>
          <c:extLst>
            <c:ext xmlns:c16="http://schemas.microsoft.com/office/drawing/2014/chart" uri="{C3380CC4-5D6E-409C-BE32-E72D297353CC}">
              <c16:uniqueId val="{0000000D-206E-4B7B-8B49-00214891761A}"/>
            </c:ext>
          </c:extLst>
        </c:ser>
        <c:dLbls>
          <c:showLegendKey val="0"/>
          <c:showVal val="0"/>
          <c:showCatName val="0"/>
          <c:showSerName val="0"/>
          <c:showPercent val="0"/>
          <c:showBubbleSize val="0"/>
        </c:dLbls>
        <c:gapWidth val="219"/>
        <c:overlap val="-27"/>
        <c:axId val="182053808"/>
        <c:axId val="182054368"/>
      </c:barChart>
      <c:catAx>
        <c:axId val="182053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2054368"/>
        <c:crosses val="autoZero"/>
        <c:auto val="1"/>
        <c:lblAlgn val="ctr"/>
        <c:lblOffset val="100"/>
        <c:noMultiLvlLbl val="0"/>
      </c:catAx>
      <c:valAx>
        <c:axId val="182054368"/>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20538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800" b="1">
                <a:effectLst/>
              </a:rPr>
              <a:t>COMPARATIVO  DISPONIBILIDADES  Vs. REGISTROS PRESUPUESTALES </a:t>
            </a:r>
            <a:endParaRPr lang="es-CO">
              <a:effectLst/>
            </a:endParaRPr>
          </a:p>
          <a:p>
            <a:pPr>
              <a:defRPr/>
            </a:pPr>
            <a:r>
              <a:rPr lang="es-CO" sz="1800" b="1">
                <a:effectLst/>
              </a:rPr>
              <a:t>PLAN OPERATIVO ANUAL DE INVERSIONES POAI   CON CORTE AL III - TRIMESTRE DE 2021 </a:t>
            </a:r>
          </a:p>
          <a:p>
            <a:pPr>
              <a:defRPr/>
            </a:pPr>
            <a:r>
              <a:rPr lang="es-CO" sz="1800" b="1">
                <a:effectLst/>
              </a:rPr>
              <a:t>POR UNIDADES EJECUTORAS</a:t>
            </a:r>
            <a:endParaRPr lang="es-CO">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'CONSOLIDADO UNIDADES'!$D$2</c:f>
              <c:strCache>
                <c:ptCount val="1"/>
                <c:pt idx="0">
                  <c:v>% PD</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'CONSOLIDADO UNIDADES'!$B$3:$B$22</c15:sqref>
                  </c15:fullRef>
                </c:ext>
              </c:extLst>
              <c:f>('CONSOLIDADO UNIDADES'!$B$3:$B$15,'CONSOLIDADO UNIDADES'!$B$17:$B$19,'CONSOLIDADO UNIDADES'!$B$22)</c:f>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Oficina Privada</c:v>
                </c:pt>
                <c:pt idx="9">
                  <c:v>Educación</c:v>
                </c:pt>
                <c:pt idx="10">
                  <c:v>Familia</c:v>
                </c:pt>
                <c:pt idx="11">
                  <c:v>Salud</c:v>
                </c:pt>
                <c:pt idx="12">
                  <c:v>Tecnología de la Información y las Comunicaciones</c:v>
                </c:pt>
                <c:pt idx="13">
                  <c:v>Indeportes</c:v>
                </c:pt>
                <c:pt idx="14">
                  <c:v>Promotora</c:v>
                </c:pt>
                <c:pt idx="15">
                  <c:v>IDTQ</c:v>
                </c:pt>
                <c:pt idx="16">
                  <c:v>TOTAL DEPARTAMENTO</c:v>
                </c:pt>
              </c:strCache>
            </c:strRef>
          </c:cat>
          <c:val>
            <c:numRef>
              <c:extLst>
                <c:ext xmlns:c15="http://schemas.microsoft.com/office/drawing/2012/chart" uri="{02D57815-91ED-43cb-92C2-25804820EDAC}">
                  <c15:fullRef>
                    <c15:sqref>'CONSOLIDADO UNIDADES'!$D$3:$D$22</c15:sqref>
                  </c15:fullRef>
                </c:ext>
              </c:extLst>
              <c:f>('CONSOLIDADO UNIDADES'!$D$3:$D$15,'CONSOLIDADO UNIDADES'!$D$17:$D$19,'CONSOLIDADO UNIDADES'!$D$22)</c:f>
              <c:numCache>
                <c:formatCode>0%</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extLst>
            <c:ext xmlns:c16="http://schemas.microsoft.com/office/drawing/2014/chart" uri="{C3380CC4-5D6E-409C-BE32-E72D297353CC}">
              <c16:uniqueId val="{00000000-FCAC-40E9-A580-28F5882046CC}"/>
            </c:ext>
          </c:extLst>
        </c:ser>
        <c:ser>
          <c:idx val="1"/>
          <c:order val="1"/>
          <c:tx>
            <c:strRef>
              <c:f>'CONSOLIDADO UNIDADES'!$F$2</c:f>
              <c:strCache>
                <c:ptCount val="1"/>
                <c:pt idx="0">
                  <c:v>% CD</c:v>
                </c:pt>
              </c:strCache>
            </c:strRef>
          </c:tx>
          <c:spPr>
            <a:solidFill>
              <a:schemeClr val="accent4">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'CONSOLIDADO UNIDADES'!$B$3:$B$22</c15:sqref>
                  </c15:fullRef>
                </c:ext>
              </c:extLst>
              <c:f>('CONSOLIDADO UNIDADES'!$B$3:$B$15,'CONSOLIDADO UNIDADES'!$B$17:$B$19,'CONSOLIDADO UNIDADES'!$B$22)</c:f>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Oficina Privada</c:v>
                </c:pt>
                <c:pt idx="9">
                  <c:v>Educación</c:v>
                </c:pt>
                <c:pt idx="10">
                  <c:v>Familia</c:v>
                </c:pt>
                <c:pt idx="11">
                  <c:v>Salud</c:v>
                </c:pt>
                <c:pt idx="12">
                  <c:v>Tecnología de la Información y las Comunicaciones</c:v>
                </c:pt>
                <c:pt idx="13">
                  <c:v>Indeportes</c:v>
                </c:pt>
                <c:pt idx="14">
                  <c:v>Promotora</c:v>
                </c:pt>
                <c:pt idx="15">
                  <c:v>IDTQ</c:v>
                </c:pt>
                <c:pt idx="16">
                  <c:v>TOTAL DEPARTAMENTO</c:v>
                </c:pt>
              </c:strCache>
            </c:strRef>
          </c:cat>
          <c:val>
            <c:numRef>
              <c:extLst>
                <c:ext xmlns:c15="http://schemas.microsoft.com/office/drawing/2012/chart" uri="{02D57815-91ED-43cb-92C2-25804820EDAC}">
                  <c15:fullRef>
                    <c15:sqref>'CONSOLIDADO UNIDADES'!$F$3:$F$22</c15:sqref>
                  </c15:fullRef>
                </c:ext>
              </c:extLst>
              <c:f>('CONSOLIDADO UNIDADES'!$F$3:$F$15,'CONSOLIDADO UNIDADES'!$F$17:$F$19,'CONSOLIDADO UNIDADES'!$F$22)</c:f>
              <c:numCache>
                <c:formatCode>0.00%</c:formatCode>
                <c:ptCount val="17"/>
                <c:pt idx="0">
                  <c:v>0.49743557773109243</c:v>
                </c:pt>
                <c:pt idx="1">
                  <c:v>0.73782396177672671</c:v>
                </c:pt>
                <c:pt idx="2">
                  <c:v>0.72484547388889553</c:v>
                </c:pt>
                <c:pt idx="3">
                  <c:v>0.79277833387990293</c:v>
                </c:pt>
                <c:pt idx="4">
                  <c:v>0.73689621191630816</c:v>
                </c:pt>
                <c:pt idx="5">
                  <c:v>0.81914322805931961</c:v>
                </c:pt>
                <c:pt idx="6">
                  <c:v>0.89670188239883342</c:v>
                </c:pt>
                <c:pt idx="7">
                  <c:v>0.60891873588860579</c:v>
                </c:pt>
                <c:pt idx="8">
                  <c:v>0.781769149804588</c:v>
                </c:pt>
                <c:pt idx="9">
                  <c:v>0.68889267732787351</c:v>
                </c:pt>
                <c:pt idx="10">
                  <c:v>0.60752133221185833</c:v>
                </c:pt>
                <c:pt idx="11">
                  <c:v>0.83140775713697967</c:v>
                </c:pt>
                <c:pt idx="12">
                  <c:v>0.75593524498327758</c:v>
                </c:pt>
                <c:pt idx="13">
                  <c:v>0.35595018920963806</c:v>
                </c:pt>
                <c:pt idx="14">
                  <c:v>0.5131179331933895</c:v>
                </c:pt>
                <c:pt idx="15">
                  <c:v>0.84287487523818161</c:v>
                </c:pt>
                <c:pt idx="16">
                  <c:v>0.70869038632394199</c:v>
                </c:pt>
              </c:numCache>
            </c:numRef>
          </c:val>
          <c:extLst>
            <c:ext xmlns:c16="http://schemas.microsoft.com/office/drawing/2014/chart" uri="{C3380CC4-5D6E-409C-BE32-E72D297353CC}">
              <c16:uniqueId val="{00000001-FCAC-40E9-A580-28F5882046CC}"/>
            </c:ext>
          </c:extLst>
        </c:ser>
        <c:ser>
          <c:idx val="2"/>
          <c:order val="2"/>
          <c:tx>
            <c:strRef>
              <c:f>'CONSOLIDADO UNIDADES'!$H$2</c:f>
              <c:strCache>
                <c:ptCount val="1"/>
                <c:pt idx="0">
                  <c:v>% RP</c:v>
                </c:pt>
              </c:strCache>
            </c:strRef>
          </c:tx>
          <c:spPr>
            <a:solidFill>
              <a:srgbClr val="FFC000"/>
            </a:solidFill>
            <a:ln>
              <a:noFill/>
            </a:ln>
            <a:effectLst/>
          </c:spPr>
          <c:invertIfNegative val="0"/>
          <c:dLbls>
            <c:dLbl>
              <c:idx val="0"/>
              <c:layout>
                <c:manualLayout>
                  <c:x val="3.3096929178304886E-3"/>
                  <c:y val="-4.20136445099827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CAC-40E9-A580-28F5882046CC}"/>
                </c:ext>
              </c:extLst>
            </c:dLbl>
            <c:dLbl>
              <c:idx val="9"/>
              <c:layout>
                <c:manualLayout>
                  <c:x val="3.3096929178304886E-3"/>
                  <c:y val="-3.57115978334854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CAC-40E9-A580-28F5882046CC}"/>
                </c:ext>
              </c:extLst>
            </c:dLbl>
            <c:dLbl>
              <c:idx val="13"/>
              <c:layout>
                <c:manualLayout>
                  <c:x val="6.6193858356610579E-3"/>
                  <c:y val="-3.781228005898458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CAC-40E9-A580-28F5882046CC}"/>
                </c:ext>
              </c:extLst>
            </c:dLbl>
            <c:dLbl>
              <c:idx val="14"/>
              <c:layout>
                <c:manualLayout>
                  <c:x val="1.1032309726101627E-3"/>
                  <c:y val="-3.361091560798630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CAC-40E9-A580-28F5882046CC}"/>
                </c:ext>
              </c:extLst>
            </c:dLbl>
            <c:dLbl>
              <c:idx val="15"/>
              <c:layout>
                <c:manualLayout>
                  <c:x val="1.1032309726101629E-2"/>
                  <c:y val="-4.20136445099827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CAC-40E9-A580-28F5882046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'CONSOLIDADO UNIDADES'!$B$3:$B$22</c15:sqref>
                  </c15:fullRef>
                </c:ext>
              </c:extLst>
              <c:f>('CONSOLIDADO UNIDADES'!$B$3:$B$15,'CONSOLIDADO UNIDADES'!$B$17:$B$19,'CONSOLIDADO UNIDADES'!$B$22)</c:f>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Oficina Privada</c:v>
                </c:pt>
                <c:pt idx="9">
                  <c:v>Educación</c:v>
                </c:pt>
                <c:pt idx="10">
                  <c:v>Familia</c:v>
                </c:pt>
                <c:pt idx="11">
                  <c:v>Salud</c:v>
                </c:pt>
                <c:pt idx="12">
                  <c:v>Tecnología de la Información y las Comunicaciones</c:v>
                </c:pt>
                <c:pt idx="13">
                  <c:v>Indeportes</c:v>
                </c:pt>
                <c:pt idx="14">
                  <c:v>Promotora</c:v>
                </c:pt>
                <c:pt idx="15">
                  <c:v>IDTQ</c:v>
                </c:pt>
                <c:pt idx="16">
                  <c:v>TOTAL DEPARTAMENTO</c:v>
                </c:pt>
              </c:strCache>
            </c:strRef>
          </c:cat>
          <c:val>
            <c:numRef>
              <c:extLst>
                <c:ext xmlns:c15="http://schemas.microsoft.com/office/drawing/2012/chart" uri="{02D57815-91ED-43cb-92C2-25804820EDAC}">
                  <c15:fullRef>
                    <c15:sqref>'CONSOLIDADO UNIDADES'!$H$3:$H$22</c15:sqref>
                  </c15:fullRef>
                </c:ext>
              </c:extLst>
              <c:f>('CONSOLIDADO UNIDADES'!$H$3:$H$15,'CONSOLIDADO UNIDADES'!$H$17:$H$19,'CONSOLIDADO UNIDADES'!$H$22)</c:f>
              <c:numCache>
                <c:formatCode>0.00%</c:formatCode>
                <c:ptCount val="17"/>
                <c:pt idx="0">
                  <c:v>0.33991528361344536</c:v>
                </c:pt>
                <c:pt idx="1">
                  <c:v>0.69737331721590501</c:v>
                </c:pt>
                <c:pt idx="2">
                  <c:v>0.71177328311366639</c:v>
                </c:pt>
                <c:pt idx="3">
                  <c:v>0.2883555670439682</c:v>
                </c:pt>
                <c:pt idx="4">
                  <c:v>0.30536751927898986</c:v>
                </c:pt>
                <c:pt idx="5">
                  <c:v>0.74449317600813425</c:v>
                </c:pt>
                <c:pt idx="6">
                  <c:v>0.68535599581847007</c:v>
                </c:pt>
                <c:pt idx="7">
                  <c:v>0.45082222480769413</c:v>
                </c:pt>
                <c:pt idx="8">
                  <c:v>0.77604980712829241</c:v>
                </c:pt>
                <c:pt idx="9">
                  <c:v>0.66606481752758784</c:v>
                </c:pt>
                <c:pt idx="10">
                  <c:v>0.56392151084363185</c:v>
                </c:pt>
                <c:pt idx="11">
                  <c:v>0.81379123412351151</c:v>
                </c:pt>
                <c:pt idx="12">
                  <c:v>0.55617683946488294</c:v>
                </c:pt>
                <c:pt idx="13">
                  <c:v>0.290444016448412</c:v>
                </c:pt>
                <c:pt idx="14">
                  <c:v>0.42853806523544125</c:v>
                </c:pt>
                <c:pt idx="15">
                  <c:v>0.79343979675165588</c:v>
                </c:pt>
                <c:pt idx="16">
                  <c:v>0.6461847521029026</c:v>
                </c:pt>
              </c:numCache>
            </c:numRef>
          </c:val>
          <c:extLst>
            <c:ext xmlns:c15="http://schemas.microsoft.com/office/drawing/2012/chart" uri="{02D57815-91ED-43cb-92C2-25804820EDAC}">
              <c15:categoryFilterExceptions>
                <c15:categoryFilterException>
                  <c15:sqref>'CONSOLIDADO UNIDADES'!$H$20</c15:sqref>
                  <c15:dLbl>
                    <c:idx val="15"/>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0-4819-43AD-BADB-70279B906454}"/>
                      </c:ext>
                    </c:extLst>
                  </c15:dLbl>
                </c15:categoryFilterException>
              </c15:categoryFilterExceptions>
            </c:ext>
            <c:ext xmlns:c16="http://schemas.microsoft.com/office/drawing/2014/chart" uri="{C3380CC4-5D6E-409C-BE32-E72D297353CC}">
              <c16:uniqueId val="{00000007-FCAC-40E9-A580-28F5882046CC}"/>
            </c:ext>
          </c:extLst>
        </c:ser>
        <c:dLbls>
          <c:dLblPos val="outEnd"/>
          <c:showLegendKey val="0"/>
          <c:showVal val="1"/>
          <c:showCatName val="0"/>
          <c:showSerName val="0"/>
          <c:showPercent val="0"/>
          <c:showBubbleSize val="0"/>
        </c:dLbls>
        <c:gapWidth val="219"/>
        <c:overlap val="-27"/>
        <c:axId val="182058288"/>
        <c:axId val="182058848"/>
      </c:barChart>
      <c:catAx>
        <c:axId val="182058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2058848"/>
        <c:crosses val="autoZero"/>
        <c:auto val="1"/>
        <c:lblAlgn val="ctr"/>
        <c:lblOffset val="100"/>
        <c:noMultiLvlLbl val="0"/>
      </c:catAx>
      <c:valAx>
        <c:axId val="1820588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20582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66</xdr:col>
          <xdr:colOff>525236</xdr:colOff>
          <xdr:row>339</xdr:row>
          <xdr:rowOff>63954</xdr:rowOff>
        </xdr:from>
        <xdr:to>
          <xdr:col>66</xdr:col>
          <xdr:colOff>791936</xdr:colOff>
          <xdr:row>341</xdr:row>
          <xdr:rowOff>16329</xdr:rowOff>
        </xdr:to>
        <xdr:sp macro="" textlink="">
          <xdr:nvSpPr>
            <xdr:cNvPr id="1032" name="Control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oneCellAnchor>
    <xdr:from>
      <xdr:col>0</xdr:col>
      <xdr:colOff>421822</xdr:colOff>
      <xdr:row>0</xdr:row>
      <xdr:rowOff>0</xdr:rowOff>
    </xdr:from>
    <xdr:ext cx="984249" cy="825500"/>
    <xdr:pic>
      <xdr:nvPicPr>
        <xdr:cNvPr id="3" name="Imagen 2" descr="C:\Users\AUXPLANEACION03\Desktop\Gobernacion_del_quindio.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822" y="0"/>
          <a:ext cx="984249" cy="82550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9</xdr:col>
      <xdr:colOff>440531</xdr:colOff>
      <xdr:row>0</xdr:row>
      <xdr:rowOff>265509</xdr:rowOff>
    </xdr:from>
    <xdr:to>
      <xdr:col>22</xdr:col>
      <xdr:colOff>714375</xdr:colOff>
      <xdr:row>18</xdr:row>
      <xdr:rowOff>59531</xdr:rowOff>
    </xdr:to>
    <xdr:graphicFrame macro="">
      <xdr:nvGraphicFramePr>
        <xdr:cNvPr id="5" name="Gráfico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631031</xdr:colOff>
      <xdr:row>20</xdr:row>
      <xdr:rowOff>3570</xdr:rowOff>
    </xdr:from>
    <xdr:to>
      <xdr:col>22</xdr:col>
      <xdr:colOff>726281</xdr:colOff>
      <xdr:row>33</xdr:row>
      <xdr:rowOff>71436</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750092</xdr:colOff>
      <xdr:row>37</xdr:row>
      <xdr:rowOff>27384</xdr:rowOff>
    </xdr:from>
    <xdr:to>
      <xdr:col>23</xdr:col>
      <xdr:colOff>-1</xdr:colOff>
      <xdr:row>55</xdr:row>
      <xdr:rowOff>166687</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276225</xdr:colOff>
      <xdr:row>23</xdr:row>
      <xdr:rowOff>4158</xdr:rowOff>
    </xdr:from>
    <xdr:to>
      <xdr:col>13</xdr:col>
      <xdr:colOff>1224642</xdr:colOff>
      <xdr:row>39</xdr:row>
      <xdr:rowOff>95252</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326571</xdr:colOff>
      <xdr:row>41</xdr:row>
      <xdr:rowOff>159202</xdr:rowOff>
    </xdr:from>
    <xdr:to>
      <xdr:col>13</xdr:col>
      <xdr:colOff>1455964</xdr:colOff>
      <xdr:row>57</xdr:row>
      <xdr:rowOff>27214</xdr:rowOff>
    </xdr:to>
    <xdr:graphicFrame macro="">
      <xdr:nvGraphicFramePr>
        <xdr:cNvPr id="4" name="Gráfico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340179</xdr:colOff>
      <xdr:row>59</xdr:row>
      <xdr:rowOff>145596</xdr:rowOff>
    </xdr:from>
    <xdr:to>
      <xdr:col>14</xdr:col>
      <xdr:colOff>40821</xdr:colOff>
      <xdr:row>79</xdr:row>
      <xdr:rowOff>40822</xdr:rowOff>
    </xdr:to>
    <xdr:graphicFrame macro="">
      <xdr:nvGraphicFramePr>
        <xdr:cNvPr id="5" name="Gráfico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54429</xdr:colOff>
      <xdr:row>0</xdr:row>
      <xdr:rowOff>853166</xdr:rowOff>
    </xdr:from>
    <xdr:to>
      <xdr:col>32</xdr:col>
      <xdr:colOff>353785</xdr:colOff>
      <xdr:row>29</xdr:row>
      <xdr:rowOff>81643</xdr:rowOff>
    </xdr:to>
    <xdr:graphicFrame macro="">
      <xdr:nvGraphicFramePr>
        <xdr:cNvPr id="6" name="Gráfico 5">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DF310"/>
  <sheetViews>
    <sheetView showGridLines="0" tabSelected="1" zoomScale="70" zoomScaleNormal="70" workbookViewId="0">
      <selection activeCell="C4" sqref="C4:BQ4"/>
    </sheetView>
  </sheetViews>
  <sheetFormatPr baseColWidth="10" defaultColWidth="11.42578125" defaultRowHeight="15" x14ac:dyDescent="0.2"/>
  <cols>
    <col min="1" max="1" width="11.42578125" style="10" customWidth="1"/>
    <col min="2" max="2" width="24.5703125" style="1" customWidth="1"/>
    <col min="3" max="3" width="10.7109375" style="8" customWidth="1"/>
    <col min="4" max="4" width="20.28515625" style="8" customWidth="1"/>
    <col min="5" max="5" width="10.85546875" style="8" customWidth="1"/>
    <col min="6" max="6" width="17.85546875" style="8" customWidth="1"/>
    <col min="7" max="7" width="11.5703125" style="9" customWidth="1"/>
    <col min="8" max="8" width="39" style="10" customWidth="1"/>
    <col min="9" max="9" width="15.42578125" style="10" customWidth="1"/>
    <col min="10" max="10" width="33.85546875" style="10" customWidth="1"/>
    <col min="11" max="11" width="62" style="11" customWidth="1"/>
    <col min="12" max="12" width="12.42578125" style="11" customWidth="1"/>
    <col min="13" max="13" width="23.7109375" style="11" customWidth="1"/>
    <col min="14" max="14" width="13.28515625" style="9" customWidth="1"/>
    <col min="15" max="15" width="23.28515625" style="11" customWidth="1"/>
    <col min="16" max="16" width="20.28515625" style="11" customWidth="1"/>
    <col min="17" max="17" width="24.7109375" style="13" customWidth="1"/>
    <col min="18" max="18" width="12.85546875" style="12" customWidth="1"/>
    <col min="19" max="19" width="27.7109375" style="13" customWidth="1"/>
    <col min="20" max="20" width="22.28515625" style="10" customWidth="1"/>
    <col min="21" max="21" width="19.42578125" style="12" customWidth="1"/>
    <col min="22" max="22" width="16.140625" style="12" customWidth="1"/>
    <col min="23" max="23" width="20.28515625" style="10" customWidth="1"/>
    <col min="24" max="24" width="47.85546875" style="13" customWidth="1"/>
    <col min="25" max="25" width="64.140625" style="13" customWidth="1"/>
    <col min="26" max="26" width="31.7109375" style="1" customWidth="1"/>
    <col min="27" max="28" width="28.85546875" style="1" customWidth="1"/>
    <col min="29" max="31" width="27.7109375" style="1" customWidth="1"/>
    <col min="32" max="34" width="24.42578125" style="1" customWidth="1"/>
    <col min="35" max="37" width="28.28515625" style="1" customWidth="1"/>
    <col min="38" max="40" width="29.140625" style="1" customWidth="1"/>
    <col min="41" max="43" width="30.7109375" style="1" customWidth="1"/>
    <col min="44" max="46" width="31.85546875" style="2" customWidth="1"/>
    <col min="47" max="49" width="30.28515625" style="2" customWidth="1"/>
    <col min="50" max="52" width="29.7109375" style="1" customWidth="1"/>
    <col min="53" max="55" width="27.7109375" style="1" customWidth="1"/>
    <col min="56" max="58" width="29.7109375" style="15" customWidth="1"/>
    <col min="59" max="61" width="28.7109375" style="1" customWidth="1"/>
    <col min="62" max="67" width="28.42578125" style="1" customWidth="1"/>
    <col min="68" max="68" width="24.85546875" style="2" customWidth="1"/>
    <col min="69" max="69" width="25.5703125" style="2" customWidth="1"/>
    <col min="70" max="70" width="31.5703125" style="2" customWidth="1"/>
    <col min="71" max="71" width="43.42578125" style="50" customWidth="1"/>
    <col min="72" max="110" width="11.42578125" style="2"/>
    <col min="111" max="16384" width="11.42578125" style="1"/>
  </cols>
  <sheetData>
    <row r="1" spans="1:110" ht="17.25" customHeight="1" x14ac:dyDescent="0.2">
      <c r="C1" s="512" t="s">
        <v>1650</v>
      </c>
      <c r="D1" s="513"/>
      <c r="E1" s="513"/>
      <c r="F1" s="513"/>
      <c r="G1" s="513"/>
      <c r="H1" s="513"/>
      <c r="I1" s="513"/>
      <c r="J1" s="513"/>
      <c r="K1" s="513"/>
      <c r="L1" s="513"/>
      <c r="M1" s="513"/>
      <c r="N1" s="513"/>
      <c r="O1" s="513"/>
      <c r="P1" s="513"/>
      <c r="Q1" s="513"/>
      <c r="R1" s="513"/>
      <c r="S1" s="513"/>
      <c r="T1" s="513"/>
      <c r="U1" s="513"/>
      <c r="V1" s="513"/>
      <c r="W1" s="513"/>
      <c r="X1" s="513"/>
      <c r="Y1" s="513"/>
      <c r="Z1" s="513"/>
      <c r="AA1" s="513"/>
      <c r="AB1" s="513"/>
      <c r="AC1" s="513"/>
      <c r="AD1" s="513"/>
      <c r="AE1" s="513"/>
      <c r="AF1" s="513"/>
      <c r="AG1" s="513"/>
      <c r="AH1" s="513"/>
      <c r="AI1" s="513"/>
      <c r="AJ1" s="513"/>
      <c r="AK1" s="513"/>
      <c r="AL1" s="513"/>
      <c r="AM1" s="513"/>
      <c r="AN1" s="513"/>
      <c r="AO1" s="513"/>
      <c r="AP1" s="513"/>
      <c r="AQ1" s="513"/>
      <c r="AR1" s="513"/>
      <c r="AS1" s="513"/>
      <c r="AT1" s="513"/>
      <c r="AU1" s="513"/>
      <c r="AV1" s="513"/>
      <c r="AW1" s="513"/>
      <c r="AX1" s="513"/>
      <c r="AY1" s="513"/>
      <c r="AZ1" s="513"/>
      <c r="BA1" s="513"/>
      <c r="BB1" s="513"/>
      <c r="BC1" s="513"/>
      <c r="BD1" s="513"/>
      <c r="BE1" s="513"/>
      <c r="BF1" s="513"/>
      <c r="BG1" s="513"/>
      <c r="BH1" s="513"/>
      <c r="BI1" s="513"/>
      <c r="BJ1" s="513"/>
      <c r="BK1" s="513"/>
      <c r="BL1" s="513"/>
      <c r="BM1" s="513"/>
      <c r="BN1" s="513"/>
      <c r="BO1" s="513"/>
      <c r="BP1" s="513"/>
      <c r="BQ1" s="513"/>
      <c r="BR1" s="356" t="s">
        <v>0</v>
      </c>
      <c r="BS1" s="392" t="s">
        <v>1498</v>
      </c>
    </row>
    <row r="2" spans="1:110" ht="17.25" customHeight="1" x14ac:dyDescent="0.2">
      <c r="C2" s="514" t="s">
        <v>1651</v>
      </c>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c r="AE2" s="516"/>
      <c r="AF2" s="516"/>
      <c r="AG2" s="516"/>
      <c r="AH2" s="516"/>
      <c r="AI2" s="516"/>
      <c r="AJ2" s="516"/>
      <c r="AK2" s="516"/>
      <c r="AL2" s="516"/>
      <c r="AM2" s="516"/>
      <c r="AN2" s="516"/>
      <c r="AO2" s="516"/>
      <c r="AP2" s="516"/>
      <c r="AQ2" s="516"/>
      <c r="AR2" s="516"/>
      <c r="AS2" s="516"/>
      <c r="AT2" s="516"/>
      <c r="AU2" s="516"/>
      <c r="AV2" s="516"/>
      <c r="AW2" s="516"/>
      <c r="AX2" s="516"/>
      <c r="AY2" s="516"/>
      <c r="AZ2" s="516"/>
      <c r="BA2" s="516"/>
      <c r="BB2" s="516"/>
      <c r="BC2" s="516"/>
      <c r="BD2" s="516"/>
      <c r="BE2" s="516"/>
      <c r="BF2" s="516"/>
      <c r="BG2" s="516"/>
      <c r="BH2" s="516"/>
      <c r="BI2" s="516"/>
      <c r="BJ2" s="516"/>
      <c r="BK2" s="516"/>
      <c r="BL2" s="516"/>
      <c r="BM2" s="516"/>
      <c r="BN2" s="516"/>
      <c r="BO2" s="516"/>
      <c r="BP2" s="516"/>
      <c r="BQ2" s="516"/>
      <c r="BR2" s="357" t="s">
        <v>1</v>
      </c>
      <c r="BS2" s="393">
        <v>3</v>
      </c>
    </row>
    <row r="3" spans="1:110" ht="17.25" customHeight="1" x14ac:dyDescent="0.2">
      <c r="C3" s="514" t="s">
        <v>1652</v>
      </c>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5"/>
      <c r="AL3" s="515"/>
      <c r="AM3" s="515"/>
      <c r="AN3" s="515"/>
      <c r="AO3" s="515"/>
      <c r="AP3" s="515"/>
      <c r="AQ3" s="515"/>
      <c r="AR3" s="515"/>
      <c r="AS3" s="515"/>
      <c r="AT3" s="515"/>
      <c r="AU3" s="515"/>
      <c r="AV3" s="515"/>
      <c r="AW3" s="515"/>
      <c r="AX3" s="515"/>
      <c r="AY3" s="515"/>
      <c r="AZ3" s="515"/>
      <c r="BA3" s="515"/>
      <c r="BB3" s="515"/>
      <c r="BC3" s="515"/>
      <c r="BD3" s="515"/>
      <c r="BE3" s="515"/>
      <c r="BF3" s="515"/>
      <c r="BG3" s="515"/>
      <c r="BH3" s="515"/>
      <c r="BI3" s="515"/>
      <c r="BJ3" s="515"/>
      <c r="BK3" s="515"/>
      <c r="BL3" s="515"/>
      <c r="BM3" s="515"/>
      <c r="BN3" s="515"/>
      <c r="BO3" s="515"/>
      <c r="BP3" s="515"/>
      <c r="BQ3" s="515"/>
      <c r="BR3" s="356" t="s">
        <v>2</v>
      </c>
      <c r="BS3" s="394">
        <v>44469</v>
      </c>
    </row>
    <row r="4" spans="1:110" ht="17.25" customHeight="1" x14ac:dyDescent="0.2">
      <c r="C4" s="514" t="s">
        <v>1564</v>
      </c>
      <c r="D4" s="515"/>
      <c r="E4" s="515"/>
      <c r="F4" s="515"/>
      <c r="G4" s="515"/>
      <c r="H4" s="515"/>
      <c r="I4" s="515"/>
      <c r="J4" s="515"/>
      <c r="K4" s="515"/>
      <c r="L4" s="515"/>
      <c r="M4" s="515"/>
      <c r="N4" s="515"/>
      <c r="O4" s="515"/>
      <c r="P4" s="515"/>
      <c r="Q4" s="515"/>
      <c r="R4" s="515"/>
      <c r="S4" s="515"/>
      <c r="T4" s="515"/>
      <c r="U4" s="515"/>
      <c r="V4" s="515"/>
      <c r="W4" s="515"/>
      <c r="X4" s="515"/>
      <c r="Y4" s="515"/>
      <c r="Z4" s="515"/>
      <c r="AA4" s="515"/>
      <c r="AB4" s="515"/>
      <c r="AC4" s="515"/>
      <c r="AD4" s="515"/>
      <c r="AE4" s="515"/>
      <c r="AF4" s="515"/>
      <c r="AG4" s="515"/>
      <c r="AH4" s="515"/>
      <c r="AI4" s="515"/>
      <c r="AJ4" s="515"/>
      <c r="AK4" s="515"/>
      <c r="AL4" s="515"/>
      <c r="AM4" s="515"/>
      <c r="AN4" s="515"/>
      <c r="AO4" s="515"/>
      <c r="AP4" s="515"/>
      <c r="AQ4" s="515"/>
      <c r="AR4" s="515"/>
      <c r="AS4" s="515"/>
      <c r="AT4" s="515"/>
      <c r="AU4" s="515"/>
      <c r="AV4" s="515"/>
      <c r="AW4" s="515"/>
      <c r="AX4" s="515"/>
      <c r="AY4" s="515"/>
      <c r="AZ4" s="515"/>
      <c r="BA4" s="515"/>
      <c r="BB4" s="515"/>
      <c r="BC4" s="515"/>
      <c r="BD4" s="515"/>
      <c r="BE4" s="515"/>
      <c r="BF4" s="515"/>
      <c r="BG4" s="515"/>
      <c r="BH4" s="515"/>
      <c r="BI4" s="515"/>
      <c r="BJ4" s="515"/>
      <c r="BK4" s="515"/>
      <c r="BL4" s="515"/>
      <c r="BM4" s="515"/>
      <c r="BN4" s="515"/>
      <c r="BO4" s="515"/>
      <c r="BP4" s="515"/>
      <c r="BQ4" s="515"/>
      <c r="BR4" s="356" t="s">
        <v>3</v>
      </c>
      <c r="BS4" s="395" t="s">
        <v>1499</v>
      </c>
    </row>
    <row r="5" spans="1:110" s="4" customFormat="1" ht="24.75" customHeight="1" x14ac:dyDescent="0.25">
      <c r="A5" s="534" t="s">
        <v>4</v>
      </c>
      <c r="B5" s="535"/>
      <c r="C5" s="538" t="s">
        <v>5</v>
      </c>
      <c r="D5" s="538"/>
      <c r="E5" s="538" t="s">
        <v>6</v>
      </c>
      <c r="F5" s="538"/>
      <c r="G5" s="528" t="s">
        <v>7</v>
      </c>
      <c r="H5" s="529"/>
      <c r="I5" s="529"/>
      <c r="J5" s="529"/>
      <c r="K5" s="530"/>
      <c r="L5" s="538" t="s">
        <v>9</v>
      </c>
      <c r="M5" s="538"/>
      <c r="N5" s="538"/>
      <c r="O5" s="528"/>
      <c r="P5" s="538" t="s">
        <v>10</v>
      </c>
      <c r="Q5" s="538"/>
      <c r="R5" s="538"/>
      <c r="S5" s="528"/>
      <c r="T5" s="528" t="s">
        <v>1645</v>
      </c>
      <c r="U5" s="529"/>
      <c r="V5" s="530"/>
      <c r="W5" s="538" t="s">
        <v>11</v>
      </c>
      <c r="X5" s="538"/>
      <c r="Y5" s="538"/>
      <c r="Z5" s="531" t="s">
        <v>1647</v>
      </c>
      <c r="AA5" s="532"/>
      <c r="AB5" s="532"/>
      <c r="AC5" s="532"/>
      <c r="AD5" s="532"/>
      <c r="AE5" s="532"/>
      <c r="AF5" s="532"/>
      <c r="AG5" s="532"/>
      <c r="AH5" s="532"/>
      <c r="AI5" s="532"/>
      <c r="AJ5" s="532"/>
      <c r="AK5" s="532"/>
      <c r="AL5" s="532"/>
      <c r="AM5" s="532"/>
      <c r="AN5" s="532"/>
      <c r="AO5" s="532"/>
      <c r="AP5" s="532"/>
      <c r="AQ5" s="532"/>
      <c r="AR5" s="532"/>
      <c r="AS5" s="532"/>
      <c r="AT5" s="532"/>
      <c r="AU5" s="532"/>
      <c r="AV5" s="532"/>
      <c r="AW5" s="532"/>
      <c r="AX5" s="532"/>
      <c r="AY5" s="532"/>
      <c r="AZ5" s="532"/>
      <c r="BA5" s="532"/>
      <c r="BB5" s="532"/>
      <c r="BC5" s="532"/>
      <c r="BD5" s="532"/>
      <c r="BE5" s="532"/>
      <c r="BF5" s="532"/>
      <c r="BG5" s="532"/>
      <c r="BH5" s="532"/>
      <c r="BI5" s="532"/>
      <c r="BJ5" s="532"/>
      <c r="BK5" s="532"/>
      <c r="BL5" s="532"/>
      <c r="BM5" s="532"/>
      <c r="BN5" s="532"/>
      <c r="BO5" s="533"/>
      <c r="BP5" s="353"/>
      <c r="BQ5" s="354"/>
      <c r="BR5" s="355"/>
      <c r="BS5" s="355"/>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row>
    <row r="6" spans="1:110" s="4" customFormat="1" ht="58.5" customHeight="1" x14ac:dyDescent="0.25">
      <c r="A6" s="524" t="s">
        <v>14</v>
      </c>
      <c r="B6" s="524" t="s">
        <v>15</v>
      </c>
      <c r="C6" s="522" t="s">
        <v>14</v>
      </c>
      <c r="D6" s="522" t="s">
        <v>15</v>
      </c>
      <c r="E6" s="536" t="s">
        <v>14</v>
      </c>
      <c r="F6" s="536" t="s">
        <v>15</v>
      </c>
      <c r="G6" s="522" t="s">
        <v>1641</v>
      </c>
      <c r="H6" s="522" t="s">
        <v>1642</v>
      </c>
      <c r="I6" s="522" t="s">
        <v>1643</v>
      </c>
      <c r="J6" s="522" t="s">
        <v>1644</v>
      </c>
      <c r="K6" s="520" t="s">
        <v>8</v>
      </c>
      <c r="L6" s="522" t="s">
        <v>16</v>
      </c>
      <c r="M6" s="522" t="s">
        <v>17</v>
      </c>
      <c r="N6" s="522" t="s">
        <v>18</v>
      </c>
      <c r="O6" s="522" t="s">
        <v>19</v>
      </c>
      <c r="P6" s="520" t="s">
        <v>16</v>
      </c>
      <c r="Q6" s="520" t="s">
        <v>20</v>
      </c>
      <c r="R6" s="520" t="s">
        <v>21</v>
      </c>
      <c r="S6" s="520" t="s">
        <v>22</v>
      </c>
      <c r="T6" s="522" t="s">
        <v>1690</v>
      </c>
      <c r="U6" s="522" t="s">
        <v>1646</v>
      </c>
      <c r="V6" s="522" t="s">
        <v>1694</v>
      </c>
      <c r="W6" s="524" t="s">
        <v>23</v>
      </c>
      <c r="X6" s="525" t="s">
        <v>24</v>
      </c>
      <c r="Y6" s="525" t="s">
        <v>25</v>
      </c>
      <c r="Z6" s="517" t="s">
        <v>1673</v>
      </c>
      <c r="AA6" s="518"/>
      <c r="AB6" s="519"/>
      <c r="AC6" s="517" t="s">
        <v>26</v>
      </c>
      <c r="AD6" s="518"/>
      <c r="AE6" s="519"/>
      <c r="AF6" s="517" t="s">
        <v>27</v>
      </c>
      <c r="AG6" s="518"/>
      <c r="AH6" s="519"/>
      <c r="AI6" s="517" t="s">
        <v>28</v>
      </c>
      <c r="AJ6" s="518"/>
      <c r="AK6" s="519"/>
      <c r="AL6" s="517" t="s">
        <v>29</v>
      </c>
      <c r="AM6" s="518"/>
      <c r="AN6" s="519"/>
      <c r="AO6" s="517" t="s">
        <v>1676</v>
      </c>
      <c r="AP6" s="518"/>
      <c r="AQ6" s="519"/>
      <c r="AR6" s="517" t="s">
        <v>1687</v>
      </c>
      <c r="AS6" s="518"/>
      <c r="AT6" s="519"/>
      <c r="AU6" s="517" t="s">
        <v>30</v>
      </c>
      <c r="AV6" s="518"/>
      <c r="AW6" s="519"/>
      <c r="AX6" s="517" t="s">
        <v>31</v>
      </c>
      <c r="AY6" s="518"/>
      <c r="AZ6" s="519"/>
      <c r="BA6" s="517" t="s">
        <v>32</v>
      </c>
      <c r="BB6" s="518"/>
      <c r="BC6" s="519"/>
      <c r="BD6" s="517" t="s">
        <v>33</v>
      </c>
      <c r="BE6" s="518"/>
      <c r="BF6" s="519"/>
      <c r="BG6" s="517" t="s">
        <v>34</v>
      </c>
      <c r="BH6" s="518"/>
      <c r="BI6" s="519"/>
      <c r="BJ6" s="517" t="s">
        <v>35</v>
      </c>
      <c r="BK6" s="518"/>
      <c r="BL6" s="519"/>
      <c r="BM6" s="517" t="s">
        <v>1560</v>
      </c>
      <c r="BN6" s="518"/>
      <c r="BO6" s="519"/>
      <c r="BP6" s="517" t="s">
        <v>1648</v>
      </c>
      <c r="BQ6" s="518"/>
      <c r="BR6" s="519"/>
      <c r="BS6" s="526" t="s">
        <v>13</v>
      </c>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row>
    <row r="7" spans="1:110" s="104" customFormat="1" ht="24" customHeight="1" x14ac:dyDescent="0.25">
      <c r="A7" s="524"/>
      <c r="B7" s="524"/>
      <c r="C7" s="523"/>
      <c r="D7" s="523"/>
      <c r="E7" s="537"/>
      <c r="F7" s="537"/>
      <c r="G7" s="523"/>
      <c r="H7" s="523"/>
      <c r="I7" s="523"/>
      <c r="J7" s="523"/>
      <c r="K7" s="521"/>
      <c r="L7" s="523"/>
      <c r="M7" s="523"/>
      <c r="N7" s="523"/>
      <c r="O7" s="523"/>
      <c r="P7" s="521"/>
      <c r="Q7" s="521"/>
      <c r="R7" s="521"/>
      <c r="S7" s="521"/>
      <c r="T7" s="523"/>
      <c r="U7" s="523"/>
      <c r="V7" s="523"/>
      <c r="W7" s="524"/>
      <c r="X7" s="525"/>
      <c r="Y7" s="525"/>
      <c r="Z7" s="391" t="s">
        <v>1649</v>
      </c>
      <c r="AA7" s="391" t="s">
        <v>1495</v>
      </c>
      <c r="AB7" s="391" t="s">
        <v>1496</v>
      </c>
      <c r="AC7" s="391" t="s">
        <v>1649</v>
      </c>
      <c r="AD7" s="391" t="s">
        <v>1495</v>
      </c>
      <c r="AE7" s="391" t="s">
        <v>1496</v>
      </c>
      <c r="AF7" s="391" t="s">
        <v>1649</v>
      </c>
      <c r="AG7" s="391" t="s">
        <v>1495</v>
      </c>
      <c r="AH7" s="391" t="s">
        <v>1496</v>
      </c>
      <c r="AI7" s="391" t="s">
        <v>1649</v>
      </c>
      <c r="AJ7" s="391" t="s">
        <v>1500</v>
      </c>
      <c r="AK7" s="391" t="s">
        <v>1501</v>
      </c>
      <c r="AL7" s="391" t="s">
        <v>1649</v>
      </c>
      <c r="AM7" s="391" t="s">
        <v>1500</v>
      </c>
      <c r="AN7" s="391" t="s">
        <v>1501</v>
      </c>
      <c r="AO7" s="391" t="s">
        <v>1649</v>
      </c>
      <c r="AP7" s="391" t="s">
        <v>1500</v>
      </c>
      <c r="AQ7" s="391" t="s">
        <v>1501</v>
      </c>
      <c r="AR7" s="391" t="s">
        <v>1649</v>
      </c>
      <c r="AS7" s="391" t="s">
        <v>1500</v>
      </c>
      <c r="AT7" s="391" t="s">
        <v>1501</v>
      </c>
      <c r="AU7" s="391" t="s">
        <v>1649</v>
      </c>
      <c r="AV7" s="391" t="s">
        <v>1500</v>
      </c>
      <c r="AW7" s="391" t="s">
        <v>1501</v>
      </c>
      <c r="AX7" s="391" t="s">
        <v>1649</v>
      </c>
      <c r="AY7" s="391" t="s">
        <v>1500</v>
      </c>
      <c r="AZ7" s="391" t="s">
        <v>1501</v>
      </c>
      <c r="BA7" s="391" t="s">
        <v>1649</v>
      </c>
      <c r="BB7" s="391" t="s">
        <v>1500</v>
      </c>
      <c r="BC7" s="391" t="s">
        <v>1501</v>
      </c>
      <c r="BD7" s="391" t="s">
        <v>1649</v>
      </c>
      <c r="BE7" s="391" t="s">
        <v>1500</v>
      </c>
      <c r="BF7" s="391" t="s">
        <v>1501</v>
      </c>
      <c r="BG7" s="391" t="s">
        <v>1649</v>
      </c>
      <c r="BH7" s="391" t="s">
        <v>1500</v>
      </c>
      <c r="BI7" s="391" t="s">
        <v>1501</v>
      </c>
      <c r="BJ7" s="391" t="s">
        <v>1649</v>
      </c>
      <c r="BK7" s="391" t="s">
        <v>1500</v>
      </c>
      <c r="BL7" s="391" t="s">
        <v>1501</v>
      </c>
      <c r="BM7" s="391" t="s">
        <v>1649</v>
      </c>
      <c r="BN7" s="391" t="s">
        <v>1500</v>
      </c>
      <c r="BO7" s="391" t="s">
        <v>1501</v>
      </c>
      <c r="BP7" s="391" t="s">
        <v>1649</v>
      </c>
      <c r="BQ7" s="391" t="s">
        <v>1500</v>
      </c>
      <c r="BR7" s="391" t="s">
        <v>1501</v>
      </c>
      <c r="BS7" s="527"/>
    </row>
    <row r="8" spans="1:110" ht="165.75" customHeight="1" x14ac:dyDescent="0.2">
      <c r="A8" s="327">
        <v>304</v>
      </c>
      <c r="B8" s="417" t="s">
        <v>1619</v>
      </c>
      <c r="C8" s="323">
        <v>4</v>
      </c>
      <c r="D8" s="417" t="s">
        <v>1620</v>
      </c>
      <c r="E8" s="323">
        <v>45</v>
      </c>
      <c r="F8" s="326" t="s">
        <v>38</v>
      </c>
      <c r="G8" s="323" t="s">
        <v>41</v>
      </c>
      <c r="H8" s="326" t="s">
        <v>1578</v>
      </c>
      <c r="I8" s="323">
        <v>4599</v>
      </c>
      <c r="J8" s="326" t="s">
        <v>1579</v>
      </c>
      <c r="K8" s="326" t="s">
        <v>40</v>
      </c>
      <c r="L8" s="323" t="s">
        <v>41</v>
      </c>
      <c r="M8" s="326" t="s">
        <v>42</v>
      </c>
      <c r="N8" s="323">
        <v>4599023</v>
      </c>
      <c r="O8" s="326" t="s">
        <v>43</v>
      </c>
      <c r="P8" s="323" t="s">
        <v>41</v>
      </c>
      <c r="Q8" s="326" t="s">
        <v>44</v>
      </c>
      <c r="R8" s="323">
        <v>459902300</v>
      </c>
      <c r="S8" s="326" t="s">
        <v>45</v>
      </c>
      <c r="T8" s="349" t="s">
        <v>1689</v>
      </c>
      <c r="U8" s="418">
        <v>5</v>
      </c>
      <c r="V8" s="418">
        <v>5</v>
      </c>
      <c r="W8" s="349" t="s">
        <v>46</v>
      </c>
      <c r="X8" s="326" t="s">
        <v>47</v>
      </c>
      <c r="Y8" s="326" t="s">
        <v>48</v>
      </c>
      <c r="Z8" s="419"/>
      <c r="AA8" s="419"/>
      <c r="AB8" s="419"/>
      <c r="AC8" s="419"/>
      <c r="AD8" s="419"/>
      <c r="AE8" s="419"/>
      <c r="AF8" s="419"/>
      <c r="AG8" s="419"/>
      <c r="AH8" s="419"/>
      <c r="AI8" s="419"/>
      <c r="AJ8" s="419"/>
      <c r="AK8" s="419"/>
      <c r="AL8" s="419"/>
      <c r="AM8" s="419"/>
      <c r="AN8" s="419"/>
      <c r="AO8" s="419"/>
      <c r="AP8" s="419"/>
      <c r="AQ8" s="419"/>
      <c r="AR8" s="419"/>
      <c r="AS8" s="419"/>
      <c r="AT8" s="419"/>
      <c r="AU8" s="419"/>
      <c r="AV8" s="419"/>
      <c r="AW8" s="419"/>
      <c r="AX8" s="419"/>
      <c r="AY8" s="419"/>
      <c r="AZ8" s="419"/>
      <c r="BA8" s="419"/>
      <c r="BB8" s="419"/>
      <c r="BC8" s="419"/>
      <c r="BD8" s="396">
        <f>36000000+5000000+138885000</f>
        <v>179885000</v>
      </c>
      <c r="BE8" s="420">
        <v>39640000</v>
      </c>
      <c r="BF8" s="420">
        <v>32140000</v>
      </c>
      <c r="BG8" s="419"/>
      <c r="BH8" s="419"/>
      <c r="BI8" s="419"/>
      <c r="BJ8" s="419"/>
      <c r="BK8" s="419"/>
      <c r="BL8" s="419"/>
      <c r="BM8" s="419"/>
      <c r="BN8" s="419"/>
      <c r="BO8" s="419"/>
      <c r="BP8" s="403">
        <f t="shared" ref="BP8:BR10" si="0">+Z8+AC8+AF8+AI8+AL8+AO8+AR8+AU8+AX8+BA8+BD8+BG8+BJ8</f>
        <v>179885000</v>
      </c>
      <c r="BQ8" s="403">
        <f t="shared" si="0"/>
        <v>39640000</v>
      </c>
      <c r="BR8" s="403">
        <f t="shared" si="0"/>
        <v>32140000</v>
      </c>
      <c r="BS8" s="358" t="s">
        <v>1653</v>
      </c>
      <c r="BT8" s="5"/>
    </row>
    <row r="9" spans="1:110" ht="158.25" customHeight="1" x14ac:dyDescent="0.2">
      <c r="A9" s="327">
        <v>304</v>
      </c>
      <c r="B9" s="417" t="s">
        <v>1619</v>
      </c>
      <c r="C9" s="323">
        <v>4</v>
      </c>
      <c r="D9" s="326" t="s">
        <v>1620</v>
      </c>
      <c r="E9" s="323">
        <v>45</v>
      </c>
      <c r="F9" s="326" t="s">
        <v>38</v>
      </c>
      <c r="G9" s="323" t="s">
        <v>41</v>
      </c>
      <c r="H9" s="326" t="s">
        <v>1578</v>
      </c>
      <c r="I9" s="323">
        <v>4599</v>
      </c>
      <c r="J9" s="326" t="s">
        <v>1579</v>
      </c>
      <c r="K9" s="326" t="s">
        <v>40</v>
      </c>
      <c r="L9" s="323" t="s">
        <v>41</v>
      </c>
      <c r="M9" s="326" t="s">
        <v>49</v>
      </c>
      <c r="N9" s="323">
        <v>4599002</v>
      </c>
      <c r="O9" s="326" t="s">
        <v>50</v>
      </c>
      <c r="P9" s="323" t="s">
        <v>41</v>
      </c>
      <c r="Q9" s="326" t="s">
        <v>51</v>
      </c>
      <c r="R9" s="323">
        <v>459900200</v>
      </c>
      <c r="S9" s="326" t="s">
        <v>1475</v>
      </c>
      <c r="T9" s="349" t="s">
        <v>1689</v>
      </c>
      <c r="U9" s="418">
        <v>4</v>
      </c>
      <c r="V9" s="418">
        <v>4</v>
      </c>
      <c r="W9" s="349" t="s">
        <v>52</v>
      </c>
      <c r="X9" s="326" t="s">
        <v>53</v>
      </c>
      <c r="Y9" s="326" t="s">
        <v>54</v>
      </c>
      <c r="Z9" s="419"/>
      <c r="AA9" s="419"/>
      <c r="AB9" s="419"/>
      <c r="AC9" s="419"/>
      <c r="AD9" s="419"/>
      <c r="AE9" s="419"/>
      <c r="AF9" s="419"/>
      <c r="AG9" s="419"/>
      <c r="AH9" s="419"/>
      <c r="AI9" s="419"/>
      <c r="AJ9" s="419"/>
      <c r="AK9" s="419"/>
      <c r="AL9" s="419"/>
      <c r="AM9" s="419"/>
      <c r="AN9" s="419"/>
      <c r="AO9" s="419"/>
      <c r="AP9" s="419"/>
      <c r="AQ9" s="419"/>
      <c r="AR9" s="419"/>
      <c r="AS9" s="419"/>
      <c r="AT9" s="419"/>
      <c r="AU9" s="419"/>
      <c r="AV9" s="419"/>
      <c r="AW9" s="419"/>
      <c r="AX9" s="419"/>
      <c r="AY9" s="419"/>
      <c r="AZ9" s="419"/>
      <c r="BA9" s="419"/>
      <c r="BB9" s="419"/>
      <c r="BC9" s="419"/>
      <c r="BD9" s="396">
        <f>50000000+9000000+104650000</f>
        <v>163650000</v>
      </c>
      <c r="BE9" s="352">
        <v>49100000</v>
      </c>
      <c r="BF9" s="352">
        <v>24060000</v>
      </c>
      <c r="BG9" s="419"/>
      <c r="BH9" s="419"/>
      <c r="BI9" s="419"/>
      <c r="BJ9" s="419"/>
      <c r="BK9" s="419"/>
      <c r="BL9" s="419"/>
      <c r="BM9" s="419"/>
      <c r="BN9" s="419"/>
      <c r="BO9" s="419"/>
      <c r="BP9" s="403">
        <f t="shared" si="0"/>
        <v>163650000</v>
      </c>
      <c r="BQ9" s="403">
        <f t="shared" si="0"/>
        <v>49100000</v>
      </c>
      <c r="BR9" s="403">
        <f t="shared" si="0"/>
        <v>24060000</v>
      </c>
      <c r="BS9" s="358" t="s">
        <v>1653</v>
      </c>
      <c r="BT9" s="5"/>
    </row>
    <row r="10" spans="1:110" ht="196.5" customHeight="1" x14ac:dyDescent="0.2">
      <c r="A10" s="327">
        <v>304</v>
      </c>
      <c r="B10" s="417" t="s">
        <v>1619</v>
      </c>
      <c r="C10" s="323">
        <v>4</v>
      </c>
      <c r="D10" s="326" t="s">
        <v>1620</v>
      </c>
      <c r="E10" s="323">
        <v>45</v>
      </c>
      <c r="F10" s="326" t="s">
        <v>38</v>
      </c>
      <c r="G10" s="323" t="s">
        <v>41</v>
      </c>
      <c r="H10" s="326" t="s">
        <v>1578</v>
      </c>
      <c r="I10" s="323">
        <v>4599</v>
      </c>
      <c r="J10" s="326" t="s">
        <v>1579</v>
      </c>
      <c r="K10" s="326" t="s">
        <v>40</v>
      </c>
      <c r="L10" s="323" t="s">
        <v>41</v>
      </c>
      <c r="M10" s="326" t="s">
        <v>55</v>
      </c>
      <c r="N10" s="323">
        <v>4599023</v>
      </c>
      <c r="O10" s="326" t="s">
        <v>43</v>
      </c>
      <c r="P10" s="323" t="s">
        <v>41</v>
      </c>
      <c r="Q10" s="326" t="s">
        <v>56</v>
      </c>
      <c r="R10" s="323">
        <v>459902301</v>
      </c>
      <c r="S10" s="326" t="s">
        <v>57</v>
      </c>
      <c r="T10" s="349" t="s">
        <v>1689</v>
      </c>
      <c r="U10" s="418">
        <v>1</v>
      </c>
      <c r="V10" s="418">
        <v>0</v>
      </c>
      <c r="W10" s="349" t="s">
        <v>58</v>
      </c>
      <c r="X10" s="324" t="s">
        <v>59</v>
      </c>
      <c r="Y10" s="326" t="s">
        <v>1517</v>
      </c>
      <c r="Z10" s="419"/>
      <c r="AA10" s="419"/>
      <c r="AB10" s="419"/>
      <c r="AC10" s="419"/>
      <c r="AD10" s="419"/>
      <c r="AE10" s="419"/>
      <c r="AF10" s="419"/>
      <c r="AG10" s="419"/>
      <c r="AH10" s="419"/>
      <c r="AI10" s="419"/>
      <c r="AJ10" s="419"/>
      <c r="AK10" s="419"/>
      <c r="AL10" s="419"/>
      <c r="AM10" s="419"/>
      <c r="AN10" s="419"/>
      <c r="AO10" s="419"/>
      <c r="AP10" s="419"/>
      <c r="AQ10" s="419"/>
      <c r="AR10" s="419"/>
      <c r="AS10" s="419"/>
      <c r="AT10" s="419"/>
      <c r="AU10" s="419"/>
      <c r="AV10" s="419"/>
      <c r="AW10" s="419"/>
      <c r="AX10" s="419"/>
      <c r="AY10" s="419"/>
      <c r="AZ10" s="419"/>
      <c r="BA10" s="419"/>
      <c r="BB10" s="419"/>
      <c r="BC10" s="419"/>
      <c r="BD10" s="352">
        <v>50000000</v>
      </c>
      <c r="BE10" s="352">
        <v>36997508</v>
      </c>
      <c r="BF10" s="352">
        <v>0</v>
      </c>
      <c r="BG10" s="419"/>
      <c r="BH10" s="419"/>
      <c r="BI10" s="419"/>
      <c r="BJ10" s="419"/>
      <c r="BK10" s="419"/>
      <c r="BL10" s="419"/>
      <c r="BM10" s="419"/>
      <c r="BN10" s="419"/>
      <c r="BO10" s="419"/>
      <c r="BP10" s="403">
        <f t="shared" si="0"/>
        <v>50000000</v>
      </c>
      <c r="BQ10" s="403">
        <f t="shared" si="0"/>
        <v>36997508</v>
      </c>
      <c r="BR10" s="403">
        <f t="shared" si="0"/>
        <v>0</v>
      </c>
      <c r="BS10" s="358" t="s">
        <v>1653</v>
      </c>
      <c r="BT10" s="5"/>
    </row>
    <row r="11" spans="1:110" ht="121.5" customHeight="1" x14ac:dyDescent="0.2">
      <c r="A11" s="327">
        <v>304</v>
      </c>
      <c r="B11" s="417" t="s">
        <v>1619</v>
      </c>
      <c r="C11" s="323">
        <v>4</v>
      </c>
      <c r="D11" s="326" t="s">
        <v>1620</v>
      </c>
      <c r="E11" s="323">
        <v>45</v>
      </c>
      <c r="F11" s="326" t="s">
        <v>38</v>
      </c>
      <c r="G11" s="323" t="s">
        <v>41</v>
      </c>
      <c r="H11" s="326" t="s">
        <v>1574</v>
      </c>
      <c r="I11" s="323">
        <v>4502</v>
      </c>
      <c r="J11" s="326" t="s">
        <v>1575</v>
      </c>
      <c r="K11" s="326" t="s">
        <v>61</v>
      </c>
      <c r="L11" s="323" t="s">
        <v>41</v>
      </c>
      <c r="M11" s="326" t="s">
        <v>62</v>
      </c>
      <c r="N11" s="323">
        <v>4502033</v>
      </c>
      <c r="O11" s="326" t="s">
        <v>63</v>
      </c>
      <c r="P11" s="323" t="s">
        <v>41</v>
      </c>
      <c r="Q11" s="421" t="s">
        <v>64</v>
      </c>
      <c r="R11" s="422">
        <v>450203300</v>
      </c>
      <c r="S11" s="421" t="s">
        <v>65</v>
      </c>
      <c r="T11" s="349" t="s">
        <v>1689</v>
      </c>
      <c r="U11" s="418">
        <v>1</v>
      </c>
      <c r="V11" s="418">
        <v>1</v>
      </c>
      <c r="W11" s="349" t="s">
        <v>66</v>
      </c>
      <c r="X11" s="324" t="s">
        <v>67</v>
      </c>
      <c r="Y11" s="326" t="s">
        <v>68</v>
      </c>
      <c r="Z11" s="419"/>
      <c r="AA11" s="419"/>
      <c r="AB11" s="419"/>
      <c r="AC11" s="419"/>
      <c r="AD11" s="419"/>
      <c r="AE11" s="419"/>
      <c r="AF11" s="419"/>
      <c r="AG11" s="419"/>
      <c r="AH11" s="419"/>
      <c r="AI11" s="419"/>
      <c r="AJ11" s="419"/>
      <c r="AK11" s="419"/>
      <c r="AL11" s="419"/>
      <c r="AM11" s="419"/>
      <c r="AN11" s="419"/>
      <c r="AO11" s="419"/>
      <c r="AP11" s="419"/>
      <c r="AQ11" s="419"/>
      <c r="AR11" s="419"/>
      <c r="AS11" s="419"/>
      <c r="AT11" s="419"/>
      <c r="AU11" s="419"/>
      <c r="AV11" s="419"/>
      <c r="AW11" s="419"/>
      <c r="AX11" s="419"/>
      <c r="AY11" s="419"/>
      <c r="AZ11" s="419"/>
      <c r="BA11" s="419"/>
      <c r="BB11" s="419"/>
      <c r="BC11" s="419"/>
      <c r="BD11" s="396">
        <f>40000000+42465000</f>
        <v>82465000</v>
      </c>
      <c r="BE11" s="423">
        <v>36062167</v>
      </c>
      <c r="BF11" s="423">
        <v>24907166.329999998</v>
      </c>
      <c r="BG11" s="419"/>
      <c r="BH11" s="419"/>
      <c r="BI11" s="419"/>
      <c r="BJ11" s="419"/>
      <c r="BK11" s="419"/>
      <c r="BL11" s="419"/>
      <c r="BM11" s="419"/>
      <c r="BN11" s="419"/>
      <c r="BO11" s="419"/>
      <c r="BP11" s="403">
        <f>+Z11+AC11+AF11+AI11+AL11+AO11+AR11+AU11+AX11+BA11+BD11+BG11+BJ11</f>
        <v>82465000</v>
      </c>
      <c r="BQ11" s="403">
        <f>+AA11+AD11+AG11+AJ11+AM11+AP11+AS11+AV11+AY11+BB11+BE11+BH11+BK11</f>
        <v>36062167</v>
      </c>
      <c r="BR11" s="403">
        <f>+AB11+AE11+AH11+AK11+AN11+AQ11+AT11+AW11+AZ11+BC11+BF11+BI11+BL11</f>
        <v>24907166.329999998</v>
      </c>
      <c r="BS11" s="358" t="s">
        <v>1653</v>
      </c>
      <c r="BT11" s="5"/>
    </row>
    <row r="12" spans="1:110" ht="165" customHeight="1" x14ac:dyDescent="0.2">
      <c r="A12" s="327">
        <v>305</v>
      </c>
      <c r="B12" s="417" t="s">
        <v>1621</v>
      </c>
      <c r="C12" s="323">
        <v>4</v>
      </c>
      <c r="D12" s="326" t="s">
        <v>1620</v>
      </c>
      <c r="E12" s="323">
        <v>45</v>
      </c>
      <c r="F12" s="326" t="s">
        <v>38</v>
      </c>
      <c r="G12" s="323">
        <v>4502</v>
      </c>
      <c r="H12" s="326" t="s">
        <v>1574</v>
      </c>
      <c r="I12" s="323">
        <v>4502</v>
      </c>
      <c r="J12" s="326" t="s">
        <v>1575</v>
      </c>
      <c r="K12" s="326" t="s">
        <v>70</v>
      </c>
      <c r="L12" s="323" t="s">
        <v>41</v>
      </c>
      <c r="M12" s="326" t="s">
        <v>71</v>
      </c>
      <c r="N12" s="323">
        <v>4502001</v>
      </c>
      <c r="O12" s="326" t="s">
        <v>72</v>
      </c>
      <c r="P12" s="323" t="s">
        <v>41</v>
      </c>
      <c r="Q12" s="421" t="s">
        <v>73</v>
      </c>
      <c r="R12" s="422">
        <v>450200100</v>
      </c>
      <c r="S12" s="421" t="s">
        <v>74</v>
      </c>
      <c r="T12" s="349" t="s">
        <v>1689</v>
      </c>
      <c r="U12" s="418">
        <v>1</v>
      </c>
      <c r="V12" s="418">
        <v>0.5</v>
      </c>
      <c r="W12" s="349" t="s">
        <v>75</v>
      </c>
      <c r="X12" s="326" t="s">
        <v>76</v>
      </c>
      <c r="Y12" s="326" t="s">
        <v>77</v>
      </c>
      <c r="Z12" s="419"/>
      <c r="AA12" s="419"/>
      <c r="AB12" s="419"/>
      <c r="AC12" s="419"/>
      <c r="AD12" s="419"/>
      <c r="AE12" s="419"/>
      <c r="AF12" s="419"/>
      <c r="AG12" s="419"/>
      <c r="AH12" s="419"/>
      <c r="AI12" s="419"/>
      <c r="AJ12" s="419"/>
      <c r="AK12" s="419"/>
      <c r="AL12" s="419"/>
      <c r="AM12" s="419"/>
      <c r="AN12" s="419"/>
      <c r="AO12" s="419"/>
      <c r="AP12" s="419"/>
      <c r="AQ12" s="419"/>
      <c r="AR12" s="419"/>
      <c r="AS12" s="419"/>
      <c r="AT12" s="419"/>
      <c r="AU12" s="419"/>
      <c r="AV12" s="419"/>
      <c r="AW12" s="419"/>
      <c r="AX12" s="419"/>
      <c r="AY12" s="419"/>
      <c r="AZ12" s="419"/>
      <c r="BA12" s="419"/>
      <c r="BB12" s="419"/>
      <c r="BC12" s="419"/>
      <c r="BD12" s="347">
        <f>140000000+3333529</f>
        <v>143333529</v>
      </c>
      <c r="BE12" s="424">
        <v>45000000</v>
      </c>
      <c r="BF12" s="424"/>
      <c r="BG12" s="419"/>
      <c r="BH12" s="419"/>
      <c r="BI12" s="419"/>
      <c r="BJ12" s="419"/>
      <c r="BK12" s="419"/>
      <c r="BL12" s="419"/>
      <c r="BM12" s="419"/>
      <c r="BN12" s="419"/>
      <c r="BO12" s="419"/>
      <c r="BP12" s="403">
        <f>+Z12+AC12+AF12+AI12+AL12+AO12+AR12+AU12+AX12+BA12+BD12+BG12+BJ12</f>
        <v>143333529</v>
      </c>
      <c r="BQ12" s="403">
        <f t="shared" ref="BP12:BR13" si="1">+AA12+AD12+AG12+AJ12+AM12+AP12+AS12+AV12+AY12+BB12+BE12+BH12+BK12</f>
        <v>45000000</v>
      </c>
      <c r="BR12" s="403">
        <f t="shared" si="1"/>
        <v>0</v>
      </c>
      <c r="BS12" s="359" t="s">
        <v>1654</v>
      </c>
      <c r="BT12" s="5"/>
    </row>
    <row r="13" spans="1:110" ht="107.25" customHeight="1" x14ac:dyDescent="0.2">
      <c r="A13" s="327">
        <v>305</v>
      </c>
      <c r="B13" s="417" t="s">
        <v>1621</v>
      </c>
      <c r="C13" s="323">
        <v>4</v>
      </c>
      <c r="D13" s="326" t="s">
        <v>1620</v>
      </c>
      <c r="E13" s="323">
        <v>45</v>
      </c>
      <c r="F13" s="326" t="s">
        <v>38</v>
      </c>
      <c r="G13" s="323">
        <v>4502</v>
      </c>
      <c r="H13" s="326" t="s">
        <v>1574</v>
      </c>
      <c r="I13" s="323">
        <v>4502</v>
      </c>
      <c r="J13" s="326" t="s">
        <v>1575</v>
      </c>
      <c r="K13" s="326" t="s">
        <v>61</v>
      </c>
      <c r="L13" s="323" t="s">
        <v>41</v>
      </c>
      <c r="M13" s="425" t="s">
        <v>78</v>
      </c>
      <c r="N13" s="422">
        <v>4502001</v>
      </c>
      <c r="O13" s="425" t="s">
        <v>72</v>
      </c>
      <c r="P13" s="323" t="s">
        <v>41</v>
      </c>
      <c r="Q13" s="421" t="s">
        <v>79</v>
      </c>
      <c r="R13" s="422">
        <v>450200101</v>
      </c>
      <c r="S13" s="421" t="s">
        <v>1476</v>
      </c>
      <c r="T13" s="349" t="s">
        <v>1689</v>
      </c>
      <c r="U13" s="418">
        <v>12</v>
      </c>
      <c r="V13" s="418">
        <v>12</v>
      </c>
      <c r="W13" s="349" t="s">
        <v>80</v>
      </c>
      <c r="X13" s="326" t="s">
        <v>81</v>
      </c>
      <c r="Y13" s="326" t="s">
        <v>82</v>
      </c>
      <c r="Z13" s="419"/>
      <c r="AA13" s="419"/>
      <c r="AB13" s="419"/>
      <c r="AC13" s="419"/>
      <c r="AD13" s="419"/>
      <c r="AE13" s="419"/>
      <c r="AF13" s="419"/>
      <c r="AG13" s="419"/>
      <c r="AH13" s="419"/>
      <c r="AI13" s="419"/>
      <c r="AJ13" s="419"/>
      <c r="AK13" s="419"/>
      <c r="AL13" s="419"/>
      <c r="AM13" s="419"/>
      <c r="AN13" s="419"/>
      <c r="AO13" s="419"/>
      <c r="AP13" s="419"/>
      <c r="AQ13" s="419"/>
      <c r="AR13" s="419"/>
      <c r="AS13" s="419"/>
      <c r="AT13" s="419"/>
      <c r="AU13" s="419"/>
      <c r="AV13" s="419"/>
      <c r="AW13" s="419"/>
      <c r="AX13" s="419"/>
      <c r="AY13" s="419"/>
      <c r="AZ13" s="419"/>
      <c r="BA13" s="419"/>
      <c r="BB13" s="419"/>
      <c r="BC13" s="419"/>
      <c r="BD13" s="347">
        <v>35000000</v>
      </c>
      <c r="BE13" s="424">
        <v>8655000</v>
      </c>
      <c r="BF13" s="424">
        <v>8655000</v>
      </c>
      <c r="BG13" s="419"/>
      <c r="BH13" s="419"/>
      <c r="BI13" s="419"/>
      <c r="BJ13" s="419"/>
      <c r="BK13" s="419"/>
      <c r="BL13" s="419"/>
      <c r="BM13" s="419"/>
      <c r="BN13" s="419"/>
      <c r="BO13" s="419"/>
      <c r="BP13" s="403">
        <f t="shared" si="1"/>
        <v>35000000</v>
      </c>
      <c r="BQ13" s="403">
        <f t="shared" si="1"/>
        <v>8655000</v>
      </c>
      <c r="BR13" s="403">
        <f t="shared" si="1"/>
        <v>8655000</v>
      </c>
      <c r="BS13" s="359" t="s">
        <v>1654</v>
      </c>
      <c r="BT13" s="5"/>
    </row>
    <row r="14" spans="1:110" ht="198.75" customHeight="1" x14ac:dyDescent="0.2">
      <c r="A14" s="327">
        <v>305</v>
      </c>
      <c r="B14" s="417" t="s">
        <v>1621</v>
      </c>
      <c r="C14" s="323">
        <v>4</v>
      </c>
      <c r="D14" s="326" t="s">
        <v>1620</v>
      </c>
      <c r="E14" s="323">
        <v>45</v>
      </c>
      <c r="F14" s="326" t="s">
        <v>38</v>
      </c>
      <c r="G14" s="323" t="s">
        <v>41</v>
      </c>
      <c r="H14" s="326" t="s">
        <v>1578</v>
      </c>
      <c r="I14" s="323">
        <v>4599</v>
      </c>
      <c r="J14" s="326" t="s">
        <v>1579</v>
      </c>
      <c r="K14" s="326" t="s">
        <v>40</v>
      </c>
      <c r="L14" s="323" t="s">
        <v>41</v>
      </c>
      <c r="M14" s="326" t="s">
        <v>83</v>
      </c>
      <c r="N14" s="323">
        <v>4599018</v>
      </c>
      <c r="O14" s="326" t="s">
        <v>84</v>
      </c>
      <c r="P14" s="323" t="s">
        <v>41</v>
      </c>
      <c r="Q14" s="326" t="s">
        <v>85</v>
      </c>
      <c r="R14" s="323">
        <v>459901800</v>
      </c>
      <c r="S14" s="326" t="s">
        <v>86</v>
      </c>
      <c r="T14" s="349" t="s">
        <v>1689</v>
      </c>
      <c r="U14" s="323">
        <v>5</v>
      </c>
      <c r="V14" s="323">
        <v>2</v>
      </c>
      <c r="W14" s="349" t="s">
        <v>87</v>
      </c>
      <c r="X14" s="326" t="s">
        <v>88</v>
      </c>
      <c r="Y14" s="326" t="s">
        <v>89</v>
      </c>
      <c r="Z14" s="419"/>
      <c r="AA14" s="419"/>
      <c r="AB14" s="419"/>
      <c r="AC14" s="419"/>
      <c r="AD14" s="419"/>
      <c r="AE14" s="419"/>
      <c r="AF14" s="419"/>
      <c r="AG14" s="419"/>
      <c r="AH14" s="419"/>
      <c r="AI14" s="419"/>
      <c r="AJ14" s="419"/>
      <c r="AK14" s="419"/>
      <c r="AL14" s="419"/>
      <c r="AM14" s="419"/>
      <c r="AN14" s="419"/>
      <c r="AO14" s="419"/>
      <c r="AP14" s="419"/>
      <c r="AQ14" s="419"/>
      <c r="AR14" s="419"/>
      <c r="AS14" s="419"/>
      <c r="AT14" s="419"/>
      <c r="AU14" s="419"/>
      <c r="AV14" s="419"/>
      <c r="AW14" s="419"/>
      <c r="AX14" s="419"/>
      <c r="AY14" s="419"/>
      <c r="AZ14" s="419"/>
      <c r="BA14" s="419"/>
      <c r="BB14" s="419"/>
      <c r="BC14" s="419"/>
      <c r="BD14" s="396">
        <f>4*3600000*10+78682500</f>
        <v>222682500</v>
      </c>
      <c r="BE14" s="424">
        <v>161964185</v>
      </c>
      <c r="BF14" s="403">
        <v>64075000</v>
      </c>
      <c r="BG14" s="419"/>
      <c r="BH14" s="419"/>
      <c r="BI14" s="419"/>
      <c r="BJ14" s="419"/>
      <c r="BK14" s="419"/>
      <c r="BL14" s="419"/>
      <c r="BM14" s="419"/>
      <c r="BN14" s="419"/>
      <c r="BO14" s="419"/>
      <c r="BP14" s="403">
        <f t="shared" ref="BP14:BP23" si="2">+Z14+AC14+AF14+AI14+AL14+AO14+AR14+AU14+AX14+BA14+BD14+BG14+BJ14</f>
        <v>222682500</v>
      </c>
      <c r="BQ14" s="403">
        <f t="shared" ref="BQ14:BQ23" si="3">+AA14+AD14+AG14+AJ14+AM14+AP14+AS14+AV14+AY14+BB14+BE14+BH14+BK14</f>
        <v>161964185</v>
      </c>
      <c r="BR14" s="403">
        <f t="shared" ref="BR14:BR23" si="4">+AB14+AE14+AH14+AK14+AN14+AQ14+AT14+AW14+AZ14+BC14+BF14+BI14+BL14</f>
        <v>64075000</v>
      </c>
      <c r="BS14" s="359" t="s">
        <v>1654</v>
      </c>
      <c r="BT14" s="5"/>
    </row>
    <row r="15" spans="1:110" ht="143.25" customHeight="1" x14ac:dyDescent="0.2">
      <c r="A15" s="327">
        <v>305</v>
      </c>
      <c r="B15" s="417" t="s">
        <v>1621</v>
      </c>
      <c r="C15" s="323">
        <v>4</v>
      </c>
      <c r="D15" s="326" t="s">
        <v>1620</v>
      </c>
      <c r="E15" s="323">
        <v>45</v>
      </c>
      <c r="F15" s="326" t="s">
        <v>38</v>
      </c>
      <c r="G15" s="323" t="s">
        <v>41</v>
      </c>
      <c r="H15" s="326" t="s">
        <v>1578</v>
      </c>
      <c r="I15" s="323">
        <v>4599</v>
      </c>
      <c r="J15" s="326" t="s">
        <v>1579</v>
      </c>
      <c r="K15" s="326" t="s">
        <v>40</v>
      </c>
      <c r="L15" s="323" t="s">
        <v>41</v>
      </c>
      <c r="M15" s="326" t="s">
        <v>90</v>
      </c>
      <c r="N15" s="323">
        <v>4599025</v>
      </c>
      <c r="O15" s="326" t="s">
        <v>91</v>
      </c>
      <c r="P15" s="323" t="s">
        <v>41</v>
      </c>
      <c r="Q15" s="326" t="s">
        <v>92</v>
      </c>
      <c r="R15" s="323">
        <v>459902500</v>
      </c>
      <c r="S15" s="326" t="s">
        <v>93</v>
      </c>
      <c r="T15" s="349" t="s">
        <v>1689</v>
      </c>
      <c r="U15" s="323">
        <v>1</v>
      </c>
      <c r="V15" s="323">
        <v>0.7</v>
      </c>
      <c r="W15" s="349" t="s">
        <v>94</v>
      </c>
      <c r="X15" s="326" t="s">
        <v>95</v>
      </c>
      <c r="Y15" s="326" t="s">
        <v>96</v>
      </c>
      <c r="Z15" s="419"/>
      <c r="AA15" s="419"/>
      <c r="AB15" s="419"/>
      <c r="AC15" s="419"/>
      <c r="AD15" s="419"/>
      <c r="AE15" s="419"/>
      <c r="AF15" s="419"/>
      <c r="AG15" s="419"/>
      <c r="AH15" s="419"/>
      <c r="AI15" s="419"/>
      <c r="AJ15" s="419"/>
      <c r="AK15" s="419"/>
      <c r="AL15" s="419"/>
      <c r="AM15" s="419"/>
      <c r="AN15" s="419"/>
      <c r="AO15" s="419"/>
      <c r="AP15" s="419"/>
      <c r="AQ15" s="419"/>
      <c r="AR15" s="419"/>
      <c r="AS15" s="419"/>
      <c r="AT15" s="419"/>
      <c r="AU15" s="419"/>
      <c r="AV15" s="419"/>
      <c r="AW15" s="419"/>
      <c r="AX15" s="419"/>
      <c r="AY15" s="419"/>
      <c r="AZ15" s="419"/>
      <c r="BA15" s="419"/>
      <c r="BB15" s="419"/>
      <c r="BC15" s="419"/>
      <c r="BD15" s="396">
        <f>72000000-20000000</f>
        <v>52000000</v>
      </c>
      <c r="BE15" s="426">
        <v>40390000</v>
      </c>
      <c r="BF15" s="403">
        <v>34620000</v>
      </c>
      <c r="BG15" s="419"/>
      <c r="BH15" s="419"/>
      <c r="BI15" s="419"/>
      <c r="BJ15" s="419"/>
      <c r="BK15" s="419"/>
      <c r="BL15" s="419"/>
      <c r="BM15" s="419"/>
      <c r="BN15" s="419"/>
      <c r="BO15" s="419"/>
      <c r="BP15" s="403">
        <f>+Z15+AC15+AF15+AI15+AL15+AO15+AR15+AU15+AX15+BA15+BD15+BG15+BJ15</f>
        <v>52000000</v>
      </c>
      <c r="BQ15" s="403">
        <f t="shared" si="3"/>
        <v>40390000</v>
      </c>
      <c r="BR15" s="403">
        <f t="shared" si="4"/>
        <v>34620000</v>
      </c>
      <c r="BS15" s="359" t="s">
        <v>1654</v>
      </c>
      <c r="BT15" s="5"/>
    </row>
    <row r="16" spans="1:110" ht="178.5" customHeight="1" x14ac:dyDescent="0.2">
      <c r="A16" s="327">
        <v>305</v>
      </c>
      <c r="B16" s="417" t="s">
        <v>1621</v>
      </c>
      <c r="C16" s="323">
        <v>4</v>
      </c>
      <c r="D16" s="326" t="s">
        <v>1620</v>
      </c>
      <c r="E16" s="323">
        <v>45</v>
      </c>
      <c r="F16" s="326" t="s">
        <v>38</v>
      </c>
      <c r="G16" s="323" t="s">
        <v>41</v>
      </c>
      <c r="H16" s="326" t="s">
        <v>1578</v>
      </c>
      <c r="I16" s="323">
        <v>4599</v>
      </c>
      <c r="J16" s="326" t="s">
        <v>1579</v>
      </c>
      <c r="K16" s="326" t="s">
        <v>40</v>
      </c>
      <c r="L16" s="323" t="s">
        <v>41</v>
      </c>
      <c r="M16" s="326" t="s">
        <v>1502</v>
      </c>
      <c r="N16" s="323">
        <v>4599025</v>
      </c>
      <c r="O16" s="326" t="s">
        <v>91</v>
      </c>
      <c r="P16" s="323" t="s">
        <v>41</v>
      </c>
      <c r="Q16" s="326" t="s">
        <v>97</v>
      </c>
      <c r="R16" s="323">
        <v>459902500</v>
      </c>
      <c r="S16" s="326" t="s">
        <v>93</v>
      </c>
      <c r="T16" s="349" t="s">
        <v>1689</v>
      </c>
      <c r="U16" s="323">
        <v>1</v>
      </c>
      <c r="V16" s="323">
        <v>0.75</v>
      </c>
      <c r="W16" s="349" t="s">
        <v>98</v>
      </c>
      <c r="X16" s="326" t="s">
        <v>99</v>
      </c>
      <c r="Y16" s="326" t="s">
        <v>100</v>
      </c>
      <c r="Z16" s="419"/>
      <c r="AA16" s="419"/>
      <c r="AB16" s="419"/>
      <c r="AC16" s="419"/>
      <c r="AD16" s="419"/>
      <c r="AE16" s="419"/>
      <c r="AF16" s="419"/>
      <c r="AG16" s="419"/>
      <c r="AH16" s="419"/>
      <c r="AI16" s="419"/>
      <c r="AJ16" s="419"/>
      <c r="AK16" s="419"/>
      <c r="AL16" s="419"/>
      <c r="AM16" s="419"/>
      <c r="AN16" s="419"/>
      <c r="AO16" s="419"/>
      <c r="AP16" s="419"/>
      <c r="AQ16" s="419"/>
      <c r="AR16" s="419"/>
      <c r="AS16" s="419"/>
      <c r="AT16" s="419"/>
      <c r="AU16" s="419"/>
      <c r="AV16" s="419"/>
      <c r="AW16" s="419"/>
      <c r="AX16" s="419"/>
      <c r="AY16" s="419"/>
      <c r="AZ16" s="419"/>
      <c r="BA16" s="419"/>
      <c r="BB16" s="419"/>
      <c r="BC16" s="419"/>
      <c r="BD16" s="396">
        <f>(6*3600000*10)+64000000+15900000</f>
        <v>295900000</v>
      </c>
      <c r="BE16" s="426">
        <v>250708500</v>
      </c>
      <c r="BF16" s="403">
        <v>183630000</v>
      </c>
      <c r="BG16" s="419"/>
      <c r="BH16" s="419"/>
      <c r="BI16" s="419"/>
      <c r="BJ16" s="419"/>
      <c r="BK16" s="419"/>
      <c r="BL16" s="419"/>
      <c r="BM16" s="419"/>
      <c r="BN16" s="419"/>
      <c r="BO16" s="419"/>
      <c r="BP16" s="403">
        <f>+Z16+AC16+AF16+AI16+AL16+AO16+AR16+AU16+AX16+BA16+BD16+BG16+BJ16</f>
        <v>295900000</v>
      </c>
      <c r="BQ16" s="403">
        <f t="shared" si="3"/>
        <v>250708500</v>
      </c>
      <c r="BR16" s="403">
        <f t="shared" si="4"/>
        <v>183630000</v>
      </c>
      <c r="BS16" s="359" t="s">
        <v>1654</v>
      </c>
      <c r="BT16" s="5"/>
    </row>
    <row r="17" spans="1:72" ht="153.75" customHeight="1" x14ac:dyDescent="0.2">
      <c r="A17" s="327">
        <v>305</v>
      </c>
      <c r="B17" s="417" t="s">
        <v>1621</v>
      </c>
      <c r="C17" s="323">
        <v>4</v>
      </c>
      <c r="D17" s="326" t="s">
        <v>1620</v>
      </c>
      <c r="E17" s="323">
        <v>45</v>
      </c>
      <c r="F17" s="326" t="s">
        <v>38</v>
      </c>
      <c r="G17" s="323" t="s">
        <v>41</v>
      </c>
      <c r="H17" s="326" t="s">
        <v>1578</v>
      </c>
      <c r="I17" s="323">
        <v>4599</v>
      </c>
      <c r="J17" s="326" t="s">
        <v>1579</v>
      </c>
      <c r="K17" s="326" t="s">
        <v>101</v>
      </c>
      <c r="L17" s="323" t="s">
        <v>41</v>
      </c>
      <c r="M17" s="326" t="s">
        <v>102</v>
      </c>
      <c r="N17" s="323">
        <v>4599031</v>
      </c>
      <c r="O17" s="326" t="s">
        <v>103</v>
      </c>
      <c r="P17" s="323" t="s">
        <v>41</v>
      </c>
      <c r="Q17" s="326" t="s">
        <v>104</v>
      </c>
      <c r="R17" s="323">
        <v>459903101</v>
      </c>
      <c r="S17" s="326" t="s">
        <v>105</v>
      </c>
      <c r="T17" s="349" t="s">
        <v>1689</v>
      </c>
      <c r="U17" s="323">
        <v>12</v>
      </c>
      <c r="V17" s="323">
        <v>12</v>
      </c>
      <c r="W17" s="427" t="s">
        <v>106</v>
      </c>
      <c r="X17" s="326" t="s">
        <v>107</v>
      </c>
      <c r="Y17" s="326" t="s">
        <v>108</v>
      </c>
      <c r="Z17" s="419"/>
      <c r="AA17" s="419"/>
      <c r="AB17" s="419"/>
      <c r="AC17" s="419"/>
      <c r="AD17" s="419"/>
      <c r="AE17" s="419"/>
      <c r="AF17" s="419"/>
      <c r="AG17" s="419"/>
      <c r="AH17" s="419"/>
      <c r="AI17" s="419"/>
      <c r="AJ17" s="419"/>
      <c r="AK17" s="419"/>
      <c r="AL17" s="419"/>
      <c r="AM17" s="419"/>
      <c r="AN17" s="419"/>
      <c r="AO17" s="419"/>
      <c r="AP17" s="419"/>
      <c r="AQ17" s="419"/>
      <c r="AR17" s="419"/>
      <c r="AS17" s="419"/>
      <c r="AT17" s="419"/>
      <c r="AU17" s="419"/>
      <c r="AV17" s="419"/>
      <c r="AW17" s="419"/>
      <c r="AX17" s="419"/>
      <c r="AY17" s="419"/>
      <c r="AZ17" s="419"/>
      <c r="BA17" s="419"/>
      <c r="BB17" s="419"/>
      <c r="BC17" s="419"/>
      <c r="BD17" s="347">
        <f>10*3600000*1</f>
        <v>36000000</v>
      </c>
      <c r="BE17" s="424">
        <v>23540000</v>
      </c>
      <c r="BF17" s="403">
        <v>11540000</v>
      </c>
      <c r="BG17" s="419"/>
      <c r="BH17" s="419"/>
      <c r="BI17" s="419"/>
      <c r="BJ17" s="419"/>
      <c r="BK17" s="419"/>
      <c r="BL17" s="419"/>
      <c r="BM17" s="419"/>
      <c r="BN17" s="419"/>
      <c r="BO17" s="419"/>
      <c r="BP17" s="403">
        <f t="shared" si="2"/>
        <v>36000000</v>
      </c>
      <c r="BQ17" s="403">
        <f t="shared" si="3"/>
        <v>23540000</v>
      </c>
      <c r="BR17" s="403">
        <f t="shared" si="4"/>
        <v>11540000</v>
      </c>
      <c r="BS17" s="359" t="s">
        <v>1654</v>
      </c>
      <c r="BT17" s="5"/>
    </row>
    <row r="18" spans="1:72" s="33" customFormat="1" ht="106.5" customHeight="1" x14ac:dyDescent="0.2">
      <c r="A18" s="327">
        <v>305</v>
      </c>
      <c r="B18" s="417" t="s">
        <v>1621</v>
      </c>
      <c r="C18" s="323">
        <v>4</v>
      </c>
      <c r="D18" s="326" t="s">
        <v>1620</v>
      </c>
      <c r="E18" s="323">
        <v>45</v>
      </c>
      <c r="F18" s="326" t="s">
        <v>38</v>
      </c>
      <c r="G18" s="323" t="s">
        <v>41</v>
      </c>
      <c r="H18" s="326" t="s">
        <v>1578</v>
      </c>
      <c r="I18" s="323">
        <v>4599</v>
      </c>
      <c r="J18" s="326" t="s">
        <v>1579</v>
      </c>
      <c r="K18" s="326" t="s">
        <v>101</v>
      </c>
      <c r="L18" s="323" t="s">
        <v>41</v>
      </c>
      <c r="M18" s="326" t="s">
        <v>109</v>
      </c>
      <c r="N18" s="323">
        <v>4599031</v>
      </c>
      <c r="O18" s="326" t="s">
        <v>103</v>
      </c>
      <c r="P18" s="323" t="s">
        <v>41</v>
      </c>
      <c r="Q18" s="326" t="s">
        <v>110</v>
      </c>
      <c r="R18" s="323">
        <v>459903101</v>
      </c>
      <c r="S18" s="326" t="s">
        <v>105</v>
      </c>
      <c r="T18" s="349" t="s">
        <v>1689</v>
      </c>
      <c r="U18" s="323">
        <v>12</v>
      </c>
      <c r="V18" s="323">
        <v>12</v>
      </c>
      <c r="W18" s="427" t="s">
        <v>106</v>
      </c>
      <c r="X18" s="326" t="s">
        <v>107</v>
      </c>
      <c r="Y18" s="326" t="s">
        <v>108</v>
      </c>
      <c r="Z18" s="419"/>
      <c r="AA18" s="419"/>
      <c r="AB18" s="419"/>
      <c r="AC18" s="419"/>
      <c r="AD18" s="419"/>
      <c r="AE18" s="419"/>
      <c r="AF18" s="419"/>
      <c r="AG18" s="419"/>
      <c r="AH18" s="419"/>
      <c r="AI18" s="419"/>
      <c r="AJ18" s="419"/>
      <c r="AK18" s="419"/>
      <c r="AL18" s="419"/>
      <c r="AM18" s="419"/>
      <c r="AN18" s="419"/>
      <c r="AO18" s="419"/>
      <c r="AP18" s="419"/>
      <c r="AQ18" s="419"/>
      <c r="AR18" s="419"/>
      <c r="AS18" s="419"/>
      <c r="AT18" s="419"/>
      <c r="AU18" s="419"/>
      <c r="AV18" s="419"/>
      <c r="AW18" s="419"/>
      <c r="AX18" s="419"/>
      <c r="AY18" s="419"/>
      <c r="AZ18" s="419"/>
      <c r="BA18" s="419"/>
      <c r="BB18" s="419"/>
      <c r="BC18" s="419"/>
      <c r="BD18" s="396">
        <f>10*3600000*1-10035000</f>
        <v>25965000</v>
      </c>
      <c r="BE18" s="424">
        <v>20195000</v>
      </c>
      <c r="BF18" s="424">
        <v>17310000</v>
      </c>
      <c r="BG18" s="419"/>
      <c r="BH18" s="419"/>
      <c r="BI18" s="419"/>
      <c r="BJ18" s="419"/>
      <c r="BK18" s="419"/>
      <c r="BL18" s="419"/>
      <c r="BM18" s="419"/>
      <c r="BN18" s="419"/>
      <c r="BO18" s="419"/>
      <c r="BP18" s="403">
        <f t="shared" si="2"/>
        <v>25965000</v>
      </c>
      <c r="BQ18" s="403">
        <f t="shared" si="3"/>
        <v>20195000</v>
      </c>
      <c r="BR18" s="403">
        <f t="shared" si="4"/>
        <v>17310000</v>
      </c>
      <c r="BS18" s="359" t="s">
        <v>1654</v>
      </c>
      <c r="BT18" s="5"/>
    </row>
    <row r="19" spans="1:72" s="33" customFormat="1" ht="111" customHeight="1" x14ac:dyDescent="0.2">
      <c r="A19" s="327">
        <v>305</v>
      </c>
      <c r="B19" s="417" t="s">
        <v>1621</v>
      </c>
      <c r="C19" s="323">
        <v>4</v>
      </c>
      <c r="D19" s="326" t="s">
        <v>1620</v>
      </c>
      <c r="E19" s="323">
        <v>45</v>
      </c>
      <c r="F19" s="326" t="s">
        <v>38</v>
      </c>
      <c r="G19" s="323" t="s">
        <v>41</v>
      </c>
      <c r="H19" s="326" t="s">
        <v>1578</v>
      </c>
      <c r="I19" s="323">
        <v>4599</v>
      </c>
      <c r="J19" s="326" t="s">
        <v>1579</v>
      </c>
      <c r="K19" s="326" t="s">
        <v>101</v>
      </c>
      <c r="L19" s="323" t="s">
        <v>41</v>
      </c>
      <c r="M19" s="326" t="s">
        <v>111</v>
      </c>
      <c r="N19" s="323">
        <v>4599031</v>
      </c>
      <c r="O19" s="326" t="s">
        <v>103</v>
      </c>
      <c r="P19" s="323" t="s">
        <v>41</v>
      </c>
      <c r="Q19" s="324" t="s">
        <v>112</v>
      </c>
      <c r="R19" s="323">
        <v>459903101</v>
      </c>
      <c r="S19" s="324" t="s">
        <v>105</v>
      </c>
      <c r="T19" s="349" t="s">
        <v>1689</v>
      </c>
      <c r="U19" s="323">
        <v>12</v>
      </c>
      <c r="V19" s="323">
        <v>12</v>
      </c>
      <c r="W19" s="427" t="s">
        <v>106</v>
      </c>
      <c r="X19" s="326" t="s">
        <v>107</v>
      </c>
      <c r="Y19" s="326" t="s">
        <v>108</v>
      </c>
      <c r="Z19" s="419"/>
      <c r="AA19" s="419"/>
      <c r="AB19" s="419"/>
      <c r="AC19" s="419"/>
      <c r="AD19" s="419"/>
      <c r="AE19" s="419"/>
      <c r="AF19" s="419"/>
      <c r="AG19" s="419"/>
      <c r="AH19" s="419"/>
      <c r="AI19" s="419"/>
      <c r="AJ19" s="419"/>
      <c r="AK19" s="419"/>
      <c r="AL19" s="419"/>
      <c r="AM19" s="419"/>
      <c r="AN19" s="419"/>
      <c r="AO19" s="419"/>
      <c r="AP19" s="419"/>
      <c r="AQ19" s="419"/>
      <c r="AR19" s="419"/>
      <c r="AS19" s="419"/>
      <c r="AT19" s="419"/>
      <c r="AU19" s="419"/>
      <c r="AV19" s="419"/>
      <c r="AW19" s="419"/>
      <c r="AX19" s="419"/>
      <c r="AY19" s="419"/>
      <c r="AZ19" s="419"/>
      <c r="BA19" s="419"/>
      <c r="BB19" s="419"/>
      <c r="BC19" s="419"/>
      <c r="BD19" s="396">
        <f>10*3600000*1-10035000</f>
        <v>25965000</v>
      </c>
      <c r="BE19" s="424">
        <v>20195000</v>
      </c>
      <c r="BF19" s="424">
        <v>17310000</v>
      </c>
      <c r="BG19" s="419"/>
      <c r="BH19" s="419"/>
      <c r="BI19" s="419"/>
      <c r="BJ19" s="419"/>
      <c r="BK19" s="419"/>
      <c r="BL19" s="419"/>
      <c r="BM19" s="419"/>
      <c r="BN19" s="419"/>
      <c r="BO19" s="419"/>
      <c r="BP19" s="403">
        <f t="shared" si="2"/>
        <v>25965000</v>
      </c>
      <c r="BQ19" s="403">
        <f t="shared" si="3"/>
        <v>20195000</v>
      </c>
      <c r="BR19" s="403">
        <f t="shared" si="4"/>
        <v>17310000</v>
      </c>
      <c r="BS19" s="359" t="s">
        <v>1654</v>
      </c>
      <c r="BT19" s="5"/>
    </row>
    <row r="20" spans="1:72" s="33" customFormat="1" ht="136.5" customHeight="1" x14ac:dyDescent="0.2">
      <c r="A20" s="327">
        <v>305</v>
      </c>
      <c r="B20" s="417" t="s">
        <v>1621</v>
      </c>
      <c r="C20" s="323">
        <v>4</v>
      </c>
      <c r="D20" s="326" t="s">
        <v>1620</v>
      </c>
      <c r="E20" s="323">
        <v>45</v>
      </c>
      <c r="F20" s="326" t="s">
        <v>38</v>
      </c>
      <c r="G20" s="323" t="s">
        <v>41</v>
      </c>
      <c r="H20" s="326" t="s">
        <v>1578</v>
      </c>
      <c r="I20" s="323">
        <v>4599</v>
      </c>
      <c r="J20" s="326" t="s">
        <v>1579</v>
      </c>
      <c r="K20" s="326" t="s">
        <v>101</v>
      </c>
      <c r="L20" s="323" t="s">
        <v>41</v>
      </c>
      <c r="M20" s="326" t="s">
        <v>113</v>
      </c>
      <c r="N20" s="323">
        <v>4599031</v>
      </c>
      <c r="O20" s="326" t="s">
        <v>103</v>
      </c>
      <c r="P20" s="323" t="s">
        <v>41</v>
      </c>
      <c r="Q20" s="421" t="s">
        <v>112</v>
      </c>
      <c r="R20" s="323">
        <v>459903101</v>
      </c>
      <c r="S20" s="324" t="s">
        <v>105</v>
      </c>
      <c r="T20" s="349" t="s">
        <v>1689</v>
      </c>
      <c r="U20" s="323">
        <v>12</v>
      </c>
      <c r="V20" s="323">
        <v>12</v>
      </c>
      <c r="W20" s="427" t="s">
        <v>106</v>
      </c>
      <c r="X20" s="326" t="s">
        <v>107</v>
      </c>
      <c r="Y20" s="326" t="s">
        <v>108</v>
      </c>
      <c r="Z20" s="419"/>
      <c r="AA20" s="419"/>
      <c r="AB20" s="419"/>
      <c r="AC20" s="419"/>
      <c r="AD20" s="419"/>
      <c r="AE20" s="419"/>
      <c r="AF20" s="419"/>
      <c r="AG20" s="419"/>
      <c r="AH20" s="419"/>
      <c r="AI20" s="419"/>
      <c r="AJ20" s="419"/>
      <c r="AK20" s="419"/>
      <c r="AL20" s="419"/>
      <c r="AM20" s="419"/>
      <c r="AN20" s="419"/>
      <c r="AO20" s="419"/>
      <c r="AP20" s="419"/>
      <c r="AQ20" s="419"/>
      <c r="AR20" s="419"/>
      <c r="AS20" s="419"/>
      <c r="AT20" s="419"/>
      <c r="AU20" s="419"/>
      <c r="AV20" s="419"/>
      <c r="AW20" s="419"/>
      <c r="AX20" s="419"/>
      <c r="AY20" s="419"/>
      <c r="AZ20" s="419"/>
      <c r="BA20" s="419"/>
      <c r="BB20" s="419"/>
      <c r="BC20" s="419"/>
      <c r="BD20" s="396">
        <f>10*3600000*1+24000000-24000000-11477500</f>
        <v>24522500</v>
      </c>
      <c r="BE20" s="424">
        <v>20195000</v>
      </c>
      <c r="BF20" s="403">
        <v>14425000</v>
      </c>
      <c r="BG20" s="419"/>
      <c r="BH20" s="419"/>
      <c r="BI20" s="419"/>
      <c r="BJ20" s="419"/>
      <c r="BK20" s="419"/>
      <c r="BL20" s="419"/>
      <c r="BM20" s="419"/>
      <c r="BN20" s="419"/>
      <c r="BO20" s="419"/>
      <c r="BP20" s="403">
        <f t="shared" si="2"/>
        <v>24522500</v>
      </c>
      <c r="BQ20" s="403">
        <f t="shared" si="3"/>
        <v>20195000</v>
      </c>
      <c r="BR20" s="403">
        <f t="shared" si="4"/>
        <v>14425000</v>
      </c>
      <c r="BS20" s="359" t="s">
        <v>1654</v>
      </c>
      <c r="BT20" s="5"/>
    </row>
    <row r="21" spans="1:72" s="33" customFormat="1" ht="144" customHeight="1" x14ac:dyDescent="0.2">
      <c r="A21" s="327">
        <v>305</v>
      </c>
      <c r="B21" s="417" t="s">
        <v>1621</v>
      </c>
      <c r="C21" s="323">
        <v>4</v>
      </c>
      <c r="D21" s="326" t="s">
        <v>1620</v>
      </c>
      <c r="E21" s="323">
        <v>45</v>
      </c>
      <c r="F21" s="326" t="s">
        <v>38</v>
      </c>
      <c r="G21" s="323" t="s">
        <v>41</v>
      </c>
      <c r="H21" s="326" t="s">
        <v>1578</v>
      </c>
      <c r="I21" s="323">
        <v>4599</v>
      </c>
      <c r="J21" s="326" t="s">
        <v>1579</v>
      </c>
      <c r="K21" s="326" t="s">
        <v>101</v>
      </c>
      <c r="L21" s="323" t="s">
        <v>41</v>
      </c>
      <c r="M21" s="326" t="s">
        <v>114</v>
      </c>
      <c r="N21" s="323">
        <v>4599031</v>
      </c>
      <c r="O21" s="326" t="s">
        <v>103</v>
      </c>
      <c r="P21" s="323" t="s">
        <v>41</v>
      </c>
      <c r="Q21" s="326" t="s">
        <v>112</v>
      </c>
      <c r="R21" s="323">
        <v>459903101</v>
      </c>
      <c r="S21" s="326" t="s">
        <v>105</v>
      </c>
      <c r="T21" s="349" t="s">
        <v>1689</v>
      </c>
      <c r="U21" s="323">
        <v>12</v>
      </c>
      <c r="V21" s="323">
        <v>12</v>
      </c>
      <c r="W21" s="427" t="s">
        <v>106</v>
      </c>
      <c r="X21" s="326" t="s">
        <v>107</v>
      </c>
      <c r="Y21" s="326" t="s">
        <v>108</v>
      </c>
      <c r="Z21" s="419"/>
      <c r="AA21" s="419"/>
      <c r="AB21" s="419"/>
      <c r="AC21" s="419"/>
      <c r="AD21" s="419"/>
      <c r="AE21" s="419"/>
      <c r="AF21" s="419"/>
      <c r="AG21" s="419"/>
      <c r="AH21" s="419"/>
      <c r="AI21" s="419"/>
      <c r="AJ21" s="419"/>
      <c r="AK21" s="419"/>
      <c r="AL21" s="419"/>
      <c r="AM21" s="419"/>
      <c r="AN21" s="419"/>
      <c r="AO21" s="419"/>
      <c r="AP21" s="419"/>
      <c r="AQ21" s="419"/>
      <c r="AR21" s="419"/>
      <c r="AS21" s="419"/>
      <c r="AT21" s="419"/>
      <c r="AU21" s="419"/>
      <c r="AV21" s="419"/>
      <c r="AW21" s="419"/>
      <c r="AX21" s="419"/>
      <c r="AY21" s="419"/>
      <c r="AZ21" s="419"/>
      <c r="BA21" s="419"/>
      <c r="BB21" s="419"/>
      <c r="BC21" s="419"/>
      <c r="BD21" s="396">
        <f>10*3600000*1+24000000-33000000</f>
        <v>27000000</v>
      </c>
      <c r="BE21" s="424">
        <v>21000000</v>
      </c>
      <c r="BF21" s="424">
        <v>18000000</v>
      </c>
      <c r="BG21" s="419"/>
      <c r="BH21" s="419"/>
      <c r="BI21" s="419"/>
      <c r="BJ21" s="419"/>
      <c r="BK21" s="419"/>
      <c r="BL21" s="419"/>
      <c r="BM21" s="419"/>
      <c r="BN21" s="419"/>
      <c r="BO21" s="419"/>
      <c r="BP21" s="403">
        <f t="shared" si="2"/>
        <v>27000000</v>
      </c>
      <c r="BQ21" s="403">
        <f t="shared" si="3"/>
        <v>21000000</v>
      </c>
      <c r="BR21" s="403">
        <f t="shared" si="4"/>
        <v>18000000</v>
      </c>
      <c r="BS21" s="359" t="s">
        <v>1654</v>
      </c>
      <c r="BT21" s="5"/>
    </row>
    <row r="22" spans="1:72" s="33" customFormat="1" ht="135" customHeight="1" x14ac:dyDescent="0.2">
      <c r="A22" s="327">
        <v>305</v>
      </c>
      <c r="B22" s="417" t="s">
        <v>1621</v>
      </c>
      <c r="C22" s="323">
        <v>4</v>
      </c>
      <c r="D22" s="326" t="s">
        <v>1620</v>
      </c>
      <c r="E22" s="323">
        <v>45</v>
      </c>
      <c r="F22" s="326" t="s">
        <v>38</v>
      </c>
      <c r="G22" s="323" t="s">
        <v>41</v>
      </c>
      <c r="H22" s="326" t="s">
        <v>1578</v>
      </c>
      <c r="I22" s="323">
        <v>4599</v>
      </c>
      <c r="J22" s="326" t="s">
        <v>1579</v>
      </c>
      <c r="K22" s="326" t="s">
        <v>101</v>
      </c>
      <c r="L22" s="323" t="s">
        <v>41</v>
      </c>
      <c r="M22" s="326" t="s">
        <v>115</v>
      </c>
      <c r="N22" s="323">
        <v>4599031</v>
      </c>
      <c r="O22" s="326" t="s">
        <v>103</v>
      </c>
      <c r="P22" s="323" t="s">
        <v>41</v>
      </c>
      <c r="Q22" s="326" t="s">
        <v>112</v>
      </c>
      <c r="R22" s="323">
        <v>459903101</v>
      </c>
      <c r="S22" s="326" t="s">
        <v>105</v>
      </c>
      <c r="T22" s="349" t="s">
        <v>1689</v>
      </c>
      <c r="U22" s="323">
        <v>12</v>
      </c>
      <c r="V22" s="323">
        <v>12</v>
      </c>
      <c r="W22" s="427" t="s">
        <v>106</v>
      </c>
      <c r="X22" s="326" t="s">
        <v>107</v>
      </c>
      <c r="Y22" s="326" t="s">
        <v>108</v>
      </c>
      <c r="Z22" s="419"/>
      <c r="AA22" s="419"/>
      <c r="AB22" s="419"/>
      <c r="AC22" s="419"/>
      <c r="AD22" s="419"/>
      <c r="AE22" s="419"/>
      <c r="AF22" s="419"/>
      <c r="AG22" s="419"/>
      <c r="AH22" s="419"/>
      <c r="AI22" s="419"/>
      <c r="AJ22" s="419"/>
      <c r="AK22" s="419"/>
      <c r="AL22" s="419"/>
      <c r="AM22" s="419"/>
      <c r="AN22" s="419"/>
      <c r="AO22" s="419"/>
      <c r="AP22" s="419"/>
      <c r="AQ22" s="419"/>
      <c r="AR22" s="419"/>
      <c r="AS22" s="419"/>
      <c r="AT22" s="419"/>
      <c r="AU22" s="419"/>
      <c r="AV22" s="419"/>
      <c r="AW22" s="419"/>
      <c r="AX22" s="419"/>
      <c r="AY22" s="419"/>
      <c r="AZ22" s="419"/>
      <c r="BA22" s="419"/>
      <c r="BB22" s="419"/>
      <c r="BC22" s="419"/>
      <c r="BD22" s="347">
        <v>25965000</v>
      </c>
      <c r="BE22" s="424">
        <v>11540000</v>
      </c>
      <c r="BF22" s="403">
        <v>11540000</v>
      </c>
      <c r="BG22" s="419"/>
      <c r="BH22" s="419"/>
      <c r="BI22" s="419"/>
      <c r="BJ22" s="419"/>
      <c r="BK22" s="419"/>
      <c r="BL22" s="419"/>
      <c r="BM22" s="419"/>
      <c r="BN22" s="419"/>
      <c r="BO22" s="419"/>
      <c r="BP22" s="403">
        <f t="shared" si="2"/>
        <v>25965000</v>
      </c>
      <c r="BQ22" s="403">
        <f t="shared" si="3"/>
        <v>11540000</v>
      </c>
      <c r="BR22" s="403">
        <f t="shared" si="4"/>
        <v>11540000</v>
      </c>
      <c r="BS22" s="359" t="s">
        <v>1654</v>
      </c>
      <c r="BT22" s="5"/>
    </row>
    <row r="23" spans="1:72" ht="138" customHeight="1" x14ac:dyDescent="0.2">
      <c r="A23" s="327">
        <v>305</v>
      </c>
      <c r="B23" s="417" t="s">
        <v>1621</v>
      </c>
      <c r="C23" s="323">
        <v>4</v>
      </c>
      <c r="D23" s="326" t="s">
        <v>1620</v>
      </c>
      <c r="E23" s="323">
        <v>45</v>
      </c>
      <c r="F23" s="326" t="s">
        <v>38</v>
      </c>
      <c r="G23" s="323" t="s">
        <v>41</v>
      </c>
      <c r="H23" s="326" t="s">
        <v>1578</v>
      </c>
      <c r="I23" s="323">
        <v>4599</v>
      </c>
      <c r="J23" s="326" t="s">
        <v>1579</v>
      </c>
      <c r="K23" s="326" t="s">
        <v>40</v>
      </c>
      <c r="L23" s="323" t="s">
        <v>41</v>
      </c>
      <c r="M23" s="326" t="s">
        <v>42</v>
      </c>
      <c r="N23" s="323">
        <v>4599023</v>
      </c>
      <c r="O23" s="326" t="s">
        <v>116</v>
      </c>
      <c r="P23" s="323" t="s">
        <v>41</v>
      </c>
      <c r="Q23" s="324" t="s">
        <v>117</v>
      </c>
      <c r="R23" s="323">
        <v>459902300</v>
      </c>
      <c r="S23" s="324" t="s">
        <v>45</v>
      </c>
      <c r="T23" s="349" t="s">
        <v>1689</v>
      </c>
      <c r="U23" s="323">
        <v>18</v>
      </c>
      <c r="V23" s="323">
        <v>18</v>
      </c>
      <c r="W23" s="349" t="s">
        <v>118</v>
      </c>
      <c r="X23" s="324" t="s">
        <v>119</v>
      </c>
      <c r="Y23" s="324" t="s">
        <v>120</v>
      </c>
      <c r="Z23" s="428"/>
      <c r="AA23" s="428"/>
      <c r="AB23" s="428"/>
      <c r="AC23" s="428"/>
      <c r="AD23" s="428"/>
      <c r="AE23" s="428"/>
      <c r="AF23" s="428"/>
      <c r="AG23" s="428"/>
      <c r="AH23" s="428"/>
      <c r="AI23" s="428"/>
      <c r="AJ23" s="428"/>
      <c r="AK23" s="428"/>
      <c r="AL23" s="428"/>
      <c r="AM23" s="428"/>
      <c r="AN23" s="428"/>
      <c r="AO23" s="428"/>
      <c r="AP23" s="428"/>
      <c r="AQ23" s="428"/>
      <c r="AR23" s="428"/>
      <c r="AS23" s="428"/>
      <c r="AT23" s="428"/>
      <c r="AU23" s="428"/>
      <c r="AV23" s="428"/>
      <c r="AW23" s="428"/>
      <c r="AX23" s="428"/>
      <c r="AY23" s="428"/>
      <c r="AZ23" s="428"/>
      <c r="BA23" s="428"/>
      <c r="BB23" s="428"/>
      <c r="BC23" s="428"/>
      <c r="BD23" s="347">
        <v>72000000</v>
      </c>
      <c r="BE23" s="424">
        <v>64460000</v>
      </c>
      <c r="BF23" s="424">
        <v>42900000</v>
      </c>
      <c r="BG23" s="428"/>
      <c r="BH23" s="428"/>
      <c r="BI23" s="428"/>
      <c r="BJ23" s="428"/>
      <c r="BK23" s="428"/>
      <c r="BL23" s="428"/>
      <c r="BM23" s="428"/>
      <c r="BN23" s="428"/>
      <c r="BO23" s="428"/>
      <c r="BP23" s="403">
        <f t="shared" si="2"/>
        <v>72000000</v>
      </c>
      <c r="BQ23" s="403">
        <f t="shared" si="3"/>
        <v>64460000</v>
      </c>
      <c r="BR23" s="403">
        <f t="shared" si="4"/>
        <v>42900000</v>
      </c>
      <c r="BS23" s="359" t="s">
        <v>1654</v>
      </c>
      <c r="BT23" s="5"/>
    </row>
    <row r="24" spans="1:72" ht="171" customHeight="1" x14ac:dyDescent="0.2">
      <c r="A24" s="327">
        <v>307</v>
      </c>
      <c r="B24" s="417" t="s">
        <v>1623</v>
      </c>
      <c r="C24" s="323">
        <v>4</v>
      </c>
      <c r="D24" s="417" t="s">
        <v>1620</v>
      </c>
      <c r="E24" s="323">
        <v>45</v>
      </c>
      <c r="F24" s="326" t="s">
        <v>38</v>
      </c>
      <c r="G24" s="323" t="s">
        <v>41</v>
      </c>
      <c r="H24" s="326" t="s">
        <v>1578</v>
      </c>
      <c r="I24" s="323">
        <v>4599</v>
      </c>
      <c r="J24" s="326" t="s">
        <v>1579</v>
      </c>
      <c r="K24" s="326" t="s">
        <v>122</v>
      </c>
      <c r="L24" s="323" t="s">
        <v>41</v>
      </c>
      <c r="M24" s="429" t="s">
        <v>123</v>
      </c>
      <c r="N24" s="323">
        <v>4599002</v>
      </c>
      <c r="O24" s="429" t="s">
        <v>50</v>
      </c>
      <c r="P24" s="323" t="s">
        <v>41</v>
      </c>
      <c r="Q24" s="421" t="s">
        <v>124</v>
      </c>
      <c r="R24" s="323">
        <v>459900201</v>
      </c>
      <c r="S24" s="421" t="s">
        <v>125</v>
      </c>
      <c r="T24" s="349" t="s">
        <v>1689</v>
      </c>
      <c r="U24" s="430">
        <v>1</v>
      </c>
      <c r="V24" s="430">
        <v>0.82</v>
      </c>
      <c r="W24" s="349" t="s">
        <v>126</v>
      </c>
      <c r="X24" s="324" t="s">
        <v>127</v>
      </c>
      <c r="Y24" s="326" t="s">
        <v>128</v>
      </c>
      <c r="Z24" s="431"/>
      <c r="AA24" s="431"/>
      <c r="AB24" s="431"/>
      <c r="AC24" s="431"/>
      <c r="AD24" s="431"/>
      <c r="AE24" s="431"/>
      <c r="AF24" s="419"/>
      <c r="AG24" s="419"/>
      <c r="AH24" s="419"/>
      <c r="AI24" s="431"/>
      <c r="AJ24" s="431"/>
      <c r="AK24" s="431"/>
      <c r="AL24" s="431"/>
      <c r="AM24" s="431"/>
      <c r="AN24" s="431"/>
      <c r="AO24" s="431"/>
      <c r="AP24" s="431"/>
      <c r="AQ24" s="431"/>
      <c r="AR24" s="431"/>
      <c r="AS24" s="431"/>
      <c r="AT24" s="431"/>
      <c r="AU24" s="431"/>
      <c r="AV24" s="431"/>
      <c r="AW24" s="431"/>
      <c r="AX24" s="431"/>
      <c r="AY24" s="431"/>
      <c r="AZ24" s="431"/>
      <c r="BA24" s="431"/>
      <c r="BB24" s="431"/>
      <c r="BC24" s="431"/>
      <c r="BD24" s="347">
        <v>2065395879</v>
      </c>
      <c r="BE24" s="424">
        <v>1539570415</v>
      </c>
      <c r="BF24" s="424">
        <v>790660625</v>
      </c>
      <c r="BG24" s="431"/>
      <c r="BH24" s="431"/>
      <c r="BI24" s="431"/>
      <c r="BJ24" s="432">
        <f>250000000+179440187.84+74789276</f>
        <v>504229463.84000003</v>
      </c>
      <c r="BK24" s="432">
        <v>286363088</v>
      </c>
      <c r="BL24" s="432">
        <v>197256922.09</v>
      </c>
      <c r="BM24" s="432"/>
      <c r="BN24" s="432"/>
      <c r="BO24" s="432"/>
      <c r="BP24" s="403">
        <f t="shared" ref="BP24:BR25" si="5">+Z24+AC24+AF24+AI24+AL24+AO24+AR24+AU24+AX24+BA24+BD24+BG24+BJ24</f>
        <v>2569625342.8400002</v>
      </c>
      <c r="BQ24" s="403">
        <f t="shared" si="5"/>
        <v>1825933503</v>
      </c>
      <c r="BR24" s="403">
        <f t="shared" si="5"/>
        <v>987917547.09000003</v>
      </c>
      <c r="BS24" s="349" t="s">
        <v>1655</v>
      </c>
      <c r="BT24" s="5"/>
    </row>
    <row r="25" spans="1:72" ht="145.5" customHeight="1" x14ac:dyDescent="0.2">
      <c r="A25" s="327">
        <v>307</v>
      </c>
      <c r="B25" s="417" t="s">
        <v>1623</v>
      </c>
      <c r="C25" s="323">
        <v>4</v>
      </c>
      <c r="D25" s="417" t="s">
        <v>1620</v>
      </c>
      <c r="E25" s="323">
        <v>45</v>
      </c>
      <c r="F25" s="326" t="s">
        <v>38</v>
      </c>
      <c r="G25" s="323" t="s">
        <v>41</v>
      </c>
      <c r="H25" s="326" t="s">
        <v>1578</v>
      </c>
      <c r="I25" s="323">
        <v>4599</v>
      </c>
      <c r="J25" s="326" t="s">
        <v>1579</v>
      </c>
      <c r="K25" s="326" t="s">
        <v>122</v>
      </c>
      <c r="L25" s="323" t="s">
        <v>41</v>
      </c>
      <c r="M25" s="429" t="s">
        <v>129</v>
      </c>
      <c r="N25" s="323">
        <v>4599002</v>
      </c>
      <c r="O25" s="429" t="s">
        <v>130</v>
      </c>
      <c r="P25" s="323" t="s">
        <v>41</v>
      </c>
      <c r="Q25" s="421" t="s">
        <v>131</v>
      </c>
      <c r="R25" s="323">
        <v>459900200</v>
      </c>
      <c r="S25" s="421" t="s">
        <v>1477</v>
      </c>
      <c r="T25" s="349" t="s">
        <v>1689</v>
      </c>
      <c r="U25" s="430">
        <v>1</v>
      </c>
      <c r="V25" s="430">
        <v>0.75</v>
      </c>
      <c r="W25" s="349" t="s">
        <v>132</v>
      </c>
      <c r="X25" s="324" t="s">
        <v>133</v>
      </c>
      <c r="Y25" s="326" t="s">
        <v>134</v>
      </c>
      <c r="Z25" s="419"/>
      <c r="AA25" s="419"/>
      <c r="AB25" s="419"/>
      <c r="AC25" s="419"/>
      <c r="AD25" s="419"/>
      <c r="AE25" s="419"/>
      <c r="AF25" s="419"/>
      <c r="AG25" s="419"/>
      <c r="AH25" s="419"/>
      <c r="AI25" s="419"/>
      <c r="AJ25" s="419"/>
      <c r="AK25" s="419"/>
      <c r="AL25" s="419"/>
      <c r="AM25" s="419"/>
      <c r="AN25" s="419"/>
      <c r="AO25" s="419"/>
      <c r="AP25" s="419"/>
      <c r="AQ25" s="419"/>
      <c r="AR25" s="419"/>
      <c r="AS25" s="419"/>
      <c r="AT25" s="419"/>
      <c r="AU25" s="419"/>
      <c r="AV25" s="419"/>
      <c r="AW25" s="419"/>
      <c r="AX25" s="419"/>
      <c r="AY25" s="419"/>
      <c r="AZ25" s="419"/>
      <c r="BA25" s="419"/>
      <c r="BB25" s="419"/>
      <c r="BC25" s="419"/>
      <c r="BD25" s="347">
        <v>358000000</v>
      </c>
      <c r="BE25" s="433">
        <v>257871999</v>
      </c>
      <c r="BF25" s="433">
        <v>176710000</v>
      </c>
      <c r="BG25" s="419"/>
      <c r="BH25" s="419"/>
      <c r="BI25" s="419"/>
      <c r="BJ25" s="432"/>
      <c r="BK25" s="419"/>
      <c r="BL25" s="419"/>
      <c r="BM25" s="419"/>
      <c r="BN25" s="419"/>
      <c r="BO25" s="419"/>
      <c r="BP25" s="403">
        <f t="shared" si="5"/>
        <v>358000000</v>
      </c>
      <c r="BQ25" s="403">
        <f t="shared" si="5"/>
        <v>257871999</v>
      </c>
      <c r="BR25" s="403">
        <f t="shared" si="5"/>
        <v>176710000</v>
      </c>
      <c r="BS25" s="349" t="s">
        <v>1655</v>
      </c>
      <c r="BT25" s="5"/>
    </row>
    <row r="26" spans="1:72" s="33" customFormat="1" ht="217.5" customHeight="1" x14ac:dyDescent="0.2">
      <c r="A26" s="327">
        <v>308</v>
      </c>
      <c r="B26" s="326" t="s">
        <v>1626</v>
      </c>
      <c r="C26" s="323">
        <v>1</v>
      </c>
      <c r="D26" s="326" t="s">
        <v>1622</v>
      </c>
      <c r="E26" s="323">
        <v>12</v>
      </c>
      <c r="F26" s="326" t="s">
        <v>137</v>
      </c>
      <c r="G26" s="323">
        <v>1202</v>
      </c>
      <c r="H26" s="326" t="s">
        <v>1581</v>
      </c>
      <c r="I26" s="323">
        <v>1202</v>
      </c>
      <c r="J26" s="326" t="s">
        <v>1580</v>
      </c>
      <c r="K26" s="326" t="s">
        <v>139</v>
      </c>
      <c r="L26" s="323" t="s">
        <v>41</v>
      </c>
      <c r="M26" s="434" t="s">
        <v>140</v>
      </c>
      <c r="N26" s="323">
        <v>1202019</v>
      </c>
      <c r="O26" s="434" t="s">
        <v>141</v>
      </c>
      <c r="P26" s="323" t="s">
        <v>41</v>
      </c>
      <c r="Q26" s="434" t="s">
        <v>142</v>
      </c>
      <c r="R26" s="435">
        <v>120201900</v>
      </c>
      <c r="S26" s="434" t="s">
        <v>143</v>
      </c>
      <c r="T26" s="349" t="s">
        <v>1691</v>
      </c>
      <c r="U26" s="103">
        <v>3</v>
      </c>
      <c r="V26" s="103">
        <v>1</v>
      </c>
      <c r="W26" s="349" t="s">
        <v>144</v>
      </c>
      <c r="X26" s="324" t="s">
        <v>145</v>
      </c>
      <c r="Y26" s="324" t="s">
        <v>146</v>
      </c>
      <c r="Z26" s="436"/>
      <c r="AA26" s="436"/>
      <c r="AB26" s="436"/>
      <c r="AC26" s="419"/>
      <c r="AD26" s="419"/>
      <c r="AE26" s="419"/>
      <c r="AF26" s="419"/>
      <c r="AG26" s="419"/>
      <c r="AH26" s="419"/>
      <c r="AI26" s="419"/>
      <c r="AJ26" s="419"/>
      <c r="AK26" s="419"/>
      <c r="AL26" s="419"/>
      <c r="AM26" s="419"/>
      <c r="AN26" s="419"/>
      <c r="AO26" s="419"/>
      <c r="AP26" s="419"/>
      <c r="AQ26" s="419"/>
      <c r="AR26" s="419"/>
      <c r="AS26" s="419"/>
      <c r="AT26" s="419"/>
      <c r="AU26" s="419"/>
      <c r="AV26" s="419"/>
      <c r="AW26" s="419"/>
      <c r="AX26" s="419"/>
      <c r="AY26" s="419"/>
      <c r="AZ26" s="419"/>
      <c r="BA26" s="419"/>
      <c r="BB26" s="419"/>
      <c r="BC26" s="419"/>
      <c r="BD26" s="424">
        <f>23750000+1000000</f>
        <v>24750000</v>
      </c>
      <c r="BE26" s="424">
        <v>3932000</v>
      </c>
      <c r="BF26" s="424">
        <v>3932000</v>
      </c>
      <c r="BG26" s="419"/>
      <c r="BH26" s="419"/>
      <c r="BI26" s="419"/>
      <c r="BJ26" s="419"/>
      <c r="BK26" s="437"/>
      <c r="BL26" s="437"/>
      <c r="BM26" s="437"/>
      <c r="BN26" s="437"/>
      <c r="BO26" s="437"/>
      <c r="BP26" s="403">
        <f t="shared" ref="BP26:BR30" si="6">+Z26+AC26+AF26+AI26+AL26+AO26+AR26+AU26+AX26+BA26+BD26+BG26+BJ26</f>
        <v>24750000</v>
      </c>
      <c r="BQ26" s="403">
        <f t="shared" si="6"/>
        <v>3932000</v>
      </c>
      <c r="BR26" s="403">
        <f t="shared" si="6"/>
        <v>3932000</v>
      </c>
      <c r="BS26" s="349" t="s">
        <v>1656</v>
      </c>
      <c r="BT26" s="5"/>
    </row>
    <row r="27" spans="1:72" s="33" customFormat="1" ht="156.75" customHeight="1" x14ac:dyDescent="0.2">
      <c r="A27" s="327">
        <v>308</v>
      </c>
      <c r="B27" s="326" t="s">
        <v>1626</v>
      </c>
      <c r="C27" s="323">
        <v>1</v>
      </c>
      <c r="D27" s="326" t="s">
        <v>1622</v>
      </c>
      <c r="E27" s="323">
        <v>19</v>
      </c>
      <c r="F27" s="326" t="s">
        <v>147</v>
      </c>
      <c r="G27" s="323">
        <v>1906</v>
      </c>
      <c r="H27" s="326" t="s">
        <v>1565</v>
      </c>
      <c r="I27" s="323">
        <v>1906</v>
      </c>
      <c r="J27" s="349" t="s">
        <v>1566</v>
      </c>
      <c r="K27" s="326" t="s">
        <v>149</v>
      </c>
      <c r="L27" s="323" t="s">
        <v>41</v>
      </c>
      <c r="M27" s="434" t="s">
        <v>150</v>
      </c>
      <c r="N27" s="323">
        <v>1906015</v>
      </c>
      <c r="O27" s="434" t="s">
        <v>151</v>
      </c>
      <c r="P27" s="323" t="s">
        <v>41</v>
      </c>
      <c r="Q27" s="441" t="s">
        <v>152</v>
      </c>
      <c r="R27" s="99">
        <v>190601500</v>
      </c>
      <c r="S27" s="441" t="s">
        <v>151</v>
      </c>
      <c r="T27" s="349" t="s">
        <v>1691</v>
      </c>
      <c r="U27" s="418">
        <v>1</v>
      </c>
      <c r="V27" s="418">
        <v>0</v>
      </c>
      <c r="W27" s="349" t="s">
        <v>153</v>
      </c>
      <c r="X27" s="324" t="s">
        <v>154</v>
      </c>
      <c r="Y27" s="324" t="s">
        <v>155</v>
      </c>
      <c r="Z27" s="436"/>
      <c r="AA27" s="436"/>
      <c r="AB27" s="436"/>
      <c r="AC27" s="419"/>
      <c r="AD27" s="419"/>
      <c r="AE27" s="419"/>
      <c r="AF27" s="419"/>
      <c r="AG27" s="419"/>
      <c r="AH27" s="419"/>
      <c r="AI27" s="419"/>
      <c r="AJ27" s="419"/>
      <c r="AK27" s="419"/>
      <c r="AL27" s="419"/>
      <c r="AM27" s="419"/>
      <c r="AN27" s="419"/>
      <c r="AO27" s="419"/>
      <c r="AP27" s="419"/>
      <c r="AQ27" s="419"/>
      <c r="AR27" s="419"/>
      <c r="AS27" s="419"/>
      <c r="AT27" s="419"/>
      <c r="AU27" s="419"/>
      <c r="AV27" s="419"/>
      <c r="AW27" s="419"/>
      <c r="AX27" s="419"/>
      <c r="AY27" s="419"/>
      <c r="AZ27" s="419"/>
      <c r="BA27" s="419"/>
      <c r="BB27" s="419"/>
      <c r="BC27" s="419"/>
      <c r="BD27" s="424">
        <f>38000000+58746979</f>
        <v>96746979</v>
      </c>
      <c r="BE27" s="424">
        <v>3100000</v>
      </c>
      <c r="BF27" s="424">
        <v>2100000</v>
      </c>
      <c r="BG27" s="419"/>
      <c r="BH27" s="419"/>
      <c r="BI27" s="419"/>
      <c r="BJ27" s="437"/>
      <c r="BK27" s="437"/>
      <c r="BL27" s="437"/>
      <c r="BM27" s="437"/>
      <c r="BN27" s="437"/>
      <c r="BO27" s="437"/>
      <c r="BP27" s="403">
        <f t="shared" si="6"/>
        <v>96746979</v>
      </c>
      <c r="BQ27" s="403">
        <f t="shared" si="6"/>
        <v>3100000</v>
      </c>
      <c r="BR27" s="403">
        <f t="shared" si="6"/>
        <v>2100000</v>
      </c>
      <c r="BS27" s="349" t="s">
        <v>1656</v>
      </c>
      <c r="BT27" s="5"/>
    </row>
    <row r="28" spans="1:72" ht="173.25" customHeight="1" x14ac:dyDescent="0.2">
      <c r="A28" s="327">
        <v>308</v>
      </c>
      <c r="B28" s="326" t="s">
        <v>1626</v>
      </c>
      <c r="C28" s="323">
        <v>1</v>
      </c>
      <c r="D28" s="326" t="s">
        <v>1622</v>
      </c>
      <c r="E28" s="323">
        <v>22</v>
      </c>
      <c r="F28" s="442" t="s">
        <v>156</v>
      </c>
      <c r="G28" s="323">
        <v>2201</v>
      </c>
      <c r="H28" s="326" t="s">
        <v>277</v>
      </c>
      <c r="I28" s="323">
        <v>2201</v>
      </c>
      <c r="J28" s="326" t="s">
        <v>1595</v>
      </c>
      <c r="K28" s="326" t="s">
        <v>158</v>
      </c>
      <c r="L28" s="323" t="s">
        <v>41</v>
      </c>
      <c r="M28" s="326" t="s">
        <v>159</v>
      </c>
      <c r="N28" s="323">
        <v>2201062</v>
      </c>
      <c r="O28" s="326" t="s">
        <v>160</v>
      </c>
      <c r="P28" s="323" t="s">
        <v>41</v>
      </c>
      <c r="Q28" s="326" t="s">
        <v>161</v>
      </c>
      <c r="R28" s="323">
        <v>220106200</v>
      </c>
      <c r="S28" s="324" t="s">
        <v>162</v>
      </c>
      <c r="T28" s="349" t="s">
        <v>1691</v>
      </c>
      <c r="U28" s="103">
        <v>15</v>
      </c>
      <c r="V28" s="103">
        <v>1</v>
      </c>
      <c r="W28" s="349" t="s">
        <v>163</v>
      </c>
      <c r="X28" s="324" t="s">
        <v>164</v>
      </c>
      <c r="Y28" s="324" t="s">
        <v>165</v>
      </c>
      <c r="Z28" s="436">
        <v>2083257220</v>
      </c>
      <c r="AA28" s="436">
        <v>260026500</v>
      </c>
      <c r="AB28" s="436">
        <v>239901500</v>
      </c>
      <c r="AC28" s="419"/>
      <c r="AD28" s="419"/>
      <c r="AE28" s="419"/>
      <c r="AF28" s="419"/>
      <c r="AG28" s="419"/>
      <c r="AH28" s="419"/>
      <c r="AI28" s="419"/>
      <c r="AJ28" s="419"/>
      <c r="AK28" s="419"/>
      <c r="AL28" s="419"/>
      <c r="AM28" s="419"/>
      <c r="AN28" s="419"/>
      <c r="AO28" s="419"/>
      <c r="AP28" s="419"/>
      <c r="AQ28" s="419"/>
      <c r="AR28" s="419"/>
      <c r="AS28" s="419"/>
      <c r="AT28" s="419"/>
      <c r="AU28" s="419"/>
      <c r="AV28" s="419"/>
      <c r="AW28" s="419"/>
      <c r="AX28" s="419"/>
      <c r="AY28" s="419"/>
      <c r="AZ28" s="419"/>
      <c r="BA28" s="419"/>
      <c r="BB28" s="419"/>
      <c r="BC28" s="419"/>
      <c r="BD28" s="424"/>
      <c r="BE28" s="424"/>
      <c r="BF28" s="424"/>
      <c r="BG28" s="419"/>
      <c r="BH28" s="419"/>
      <c r="BI28" s="419"/>
      <c r="BJ28" s="437"/>
      <c r="BK28" s="437"/>
      <c r="BL28" s="437"/>
      <c r="BM28" s="437"/>
      <c r="BN28" s="437"/>
      <c r="BO28" s="437"/>
      <c r="BP28" s="403">
        <f t="shared" si="6"/>
        <v>2083257220</v>
      </c>
      <c r="BQ28" s="403">
        <f t="shared" si="6"/>
        <v>260026500</v>
      </c>
      <c r="BR28" s="403">
        <f t="shared" si="6"/>
        <v>239901500</v>
      </c>
      <c r="BS28" s="349" t="s">
        <v>1656</v>
      </c>
      <c r="BT28" s="5"/>
    </row>
    <row r="29" spans="1:72" ht="96" customHeight="1" x14ac:dyDescent="0.2">
      <c r="A29" s="327">
        <v>308</v>
      </c>
      <c r="B29" s="326" t="s">
        <v>1626</v>
      </c>
      <c r="C29" s="323">
        <v>1</v>
      </c>
      <c r="D29" s="326" t="s">
        <v>1622</v>
      </c>
      <c r="E29" s="323">
        <v>33</v>
      </c>
      <c r="F29" s="442" t="s">
        <v>166</v>
      </c>
      <c r="G29" s="323">
        <v>3301</v>
      </c>
      <c r="H29" s="326" t="s">
        <v>167</v>
      </c>
      <c r="I29" s="323">
        <v>3301</v>
      </c>
      <c r="J29" s="326" t="s">
        <v>1606</v>
      </c>
      <c r="K29" s="326" t="s">
        <v>168</v>
      </c>
      <c r="L29" s="323" t="s">
        <v>169</v>
      </c>
      <c r="M29" s="326" t="s">
        <v>170</v>
      </c>
      <c r="N29" s="323" t="s">
        <v>169</v>
      </c>
      <c r="O29" s="326" t="s">
        <v>170</v>
      </c>
      <c r="P29" s="435" t="s">
        <v>171</v>
      </c>
      <c r="Q29" s="434" t="s">
        <v>172</v>
      </c>
      <c r="R29" s="435" t="s">
        <v>171</v>
      </c>
      <c r="S29" s="434" t="s">
        <v>172</v>
      </c>
      <c r="T29" s="349" t="s">
        <v>1691</v>
      </c>
      <c r="U29" s="103">
        <v>2</v>
      </c>
      <c r="V29" s="103">
        <v>0</v>
      </c>
      <c r="W29" s="349" t="s">
        <v>173</v>
      </c>
      <c r="X29" s="324" t="s">
        <v>174</v>
      </c>
      <c r="Y29" s="324" t="s">
        <v>175</v>
      </c>
      <c r="Z29" s="419"/>
      <c r="AA29" s="419"/>
      <c r="AB29" s="419"/>
      <c r="AC29" s="419"/>
      <c r="AD29" s="419"/>
      <c r="AE29" s="419"/>
      <c r="AF29" s="419"/>
      <c r="AG29" s="419"/>
      <c r="AH29" s="419"/>
      <c r="AI29" s="419"/>
      <c r="AJ29" s="419"/>
      <c r="AK29" s="419"/>
      <c r="AL29" s="419"/>
      <c r="AM29" s="419"/>
      <c r="AN29" s="419"/>
      <c r="AO29" s="419"/>
      <c r="AP29" s="419"/>
      <c r="AQ29" s="419"/>
      <c r="AR29" s="419"/>
      <c r="AS29" s="419"/>
      <c r="AT29" s="419"/>
      <c r="AU29" s="419"/>
      <c r="AV29" s="419"/>
      <c r="AW29" s="419"/>
      <c r="AX29" s="419"/>
      <c r="AY29" s="419"/>
      <c r="AZ29" s="419"/>
      <c r="BA29" s="419"/>
      <c r="BB29" s="419"/>
      <c r="BC29" s="419"/>
      <c r="BD29" s="348">
        <f>30000000+60000000</f>
        <v>90000000</v>
      </c>
      <c r="BE29" s="348">
        <v>9800000</v>
      </c>
      <c r="BF29" s="348">
        <v>9700000</v>
      </c>
      <c r="BG29" s="419"/>
      <c r="BH29" s="419"/>
      <c r="BI29" s="419"/>
      <c r="BJ29" s="419"/>
      <c r="BK29" s="419"/>
      <c r="BL29" s="419"/>
      <c r="BM29" s="419"/>
      <c r="BN29" s="419"/>
      <c r="BO29" s="419"/>
      <c r="BP29" s="403">
        <f t="shared" si="6"/>
        <v>90000000</v>
      </c>
      <c r="BQ29" s="403">
        <f t="shared" si="6"/>
        <v>9800000</v>
      </c>
      <c r="BR29" s="403">
        <f t="shared" si="6"/>
        <v>9700000</v>
      </c>
      <c r="BS29" s="349" t="s">
        <v>1656</v>
      </c>
      <c r="BT29" s="5"/>
    </row>
    <row r="30" spans="1:72" ht="161.25" customHeight="1" x14ac:dyDescent="0.2">
      <c r="A30" s="327">
        <v>308</v>
      </c>
      <c r="B30" s="326" t="s">
        <v>1626</v>
      </c>
      <c r="C30" s="323">
        <v>1</v>
      </c>
      <c r="D30" s="326" t="s">
        <v>1622</v>
      </c>
      <c r="E30" s="323">
        <v>43</v>
      </c>
      <c r="F30" s="443" t="s">
        <v>176</v>
      </c>
      <c r="G30" s="323">
        <v>4301</v>
      </c>
      <c r="H30" s="443" t="s">
        <v>1572</v>
      </c>
      <c r="I30" s="323">
        <v>4301</v>
      </c>
      <c r="J30" s="443" t="s">
        <v>1573</v>
      </c>
      <c r="K30" s="326" t="s">
        <v>178</v>
      </c>
      <c r="L30" s="323" t="s">
        <v>41</v>
      </c>
      <c r="M30" s="434" t="s">
        <v>179</v>
      </c>
      <c r="N30" s="323">
        <v>4301004</v>
      </c>
      <c r="O30" s="434" t="s">
        <v>180</v>
      </c>
      <c r="P30" s="323" t="s">
        <v>41</v>
      </c>
      <c r="Q30" s="434" t="s">
        <v>181</v>
      </c>
      <c r="R30" s="323">
        <v>430100401</v>
      </c>
      <c r="S30" s="434" t="s">
        <v>182</v>
      </c>
      <c r="T30" s="349" t="s">
        <v>1691</v>
      </c>
      <c r="U30" s="103">
        <v>3</v>
      </c>
      <c r="V30" s="103">
        <v>0</v>
      </c>
      <c r="W30" s="349" t="s">
        <v>183</v>
      </c>
      <c r="X30" s="324" t="s">
        <v>184</v>
      </c>
      <c r="Y30" s="324" t="s">
        <v>185</v>
      </c>
      <c r="Z30" s="352">
        <v>2885783074.3600001</v>
      </c>
      <c r="AA30" s="444">
        <v>553075216.24000001</v>
      </c>
      <c r="AB30" s="444">
        <v>262794700</v>
      </c>
      <c r="AC30" s="419"/>
      <c r="AD30" s="419"/>
      <c r="AE30" s="419"/>
      <c r="AF30" s="419"/>
      <c r="AG30" s="419"/>
      <c r="AH30" s="419"/>
      <c r="AI30" s="419"/>
      <c r="AJ30" s="419"/>
      <c r="AK30" s="419"/>
      <c r="AL30" s="419"/>
      <c r="AM30" s="419"/>
      <c r="AN30" s="419"/>
      <c r="AO30" s="419"/>
      <c r="AP30" s="419"/>
      <c r="AQ30" s="419"/>
      <c r="AR30" s="419"/>
      <c r="AS30" s="419"/>
      <c r="AT30" s="419"/>
      <c r="AU30" s="419"/>
      <c r="AV30" s="419"/>
      <c r="AW30" s="419"/>
      <c r="AX30" s="419"/>
      <c r="AY30" s="419"/>
      <c r="AZ30" s="419"/>
      <c r="BA30" s="419"/>
      <c r="BB30" s="419"/>
      <c r="BC30" s="419"/>
      <c r="BD30" s="424"/>
      <c r="BE30" s="424"/>
      <c r="BF30" s="424"/>
      <c r="BG30" s="419"/>
      <c r="BH30" s="419"/>
      <c r="BI30" s="419"/>
      <c r="BJ30" s="419"/>
      <c r="BK30" s="419"/>
      <c r="BL30" s="419"/>
      <c r="BM30" s="419"/>
      <c r="BN30" s="419"/>
      <c r="BO30" s="419"/>
      <c r="BP30" s="403">
        <f t="shared" si="6"/>
        <v>2885783074.3600001</v>
      </c>
      <c r="BQ30" s="403">
        <f t="shared" si="6"/>
        <v>553075216.24000001</v>
      </c>
      <c r="BR30" s="403">
        <f t="shared" si="6"/>
        <v>262794700</v>
      </c>
      <c r="BS30" s="349" t="s">
        <v>1656</v>
      </c>
      <c r="BT30" s="5"/>
    </row>
    <row r="31" spans="1:72" ht="162" customHeight="1" x14ac:dyDescent="0.2">
      <c r="A31" s="327">
        <v>308</v>
      </c>
      <c r="B31" s="326" t="s">
        <v>1626</v>
      </c>
      <c r="C31" s="323">
        <v>3</v>
      </c>
      <c r="D31" s="434" t="s">
        <v>1624</v>
      </c>
      <c r="E31" s="323">
        <v>24</v>
      </c>
      <c r="F31" s="417" t="s">
        <v>187</v>
      </c>
      <c r="G31" s="323">
        <v>2402</v>
      </c>
      <c r="H31" s="434" t="s">
        <v>188</v>
      </c>
      <c r="I31" s="323">
        <v>2402</v>
      </c>
      <c r="J31" s="434" t="s">
        <v>1598</v>
      </c>
      <c r="K31" s="434" t="s">
        <v>1312</v>
      </c>
      <c r="L31" s="323" t="s">
        <v>41</v>
      </c>
      <c r="M31" s="434" t="s">
        <v>189</v>
      </c>
      <c r="N31" s="323">
        <v>2402022</v>
      </c>
      <c r="O31" s="434" t="s">
        <v>190</v>
      </c>
      <c r="P31" s="323" t="s">
        <v>41</v>
      </c>
      <c r="Q31" s="434" t="s">
        <v>191</v>
      </c>
      <c r="R31" s="323">
        <v>240202200</v>
      </c>
      <c r="S31" s="434" t="s">
        <v>192</v>
      </c>
      <c r="T31" s="349" t="s">
        <v>1689</v>
      </c>
      <c r="U31" s="445">
        <v>1</v>
      </c>
      <c r="V31" s="445">
        <v>1</v>
      </c>
      <c r="W31" s="427" t="s">
        <v>193</v>
      </c>
      <c r="X31" s="326" t="s">
        <v>194</v>
      </c>
      <c r="Y31" s="326" t="s">
        <v>195</v>
      </c>
      <c r="Z31" s="419"/>
      <c r="AA31" s="419"/>
      <c r="AB31" s="419"/>
      <c r="AC31" s="419"/>
      <c r="AD31" s="419"/>
      <c r="AE31" s="419"/>
      <c r="AF31" s="446"/>
      <c r="AG31" s="446"/>
      <c r="AH31" s="446"/>
      <c r="AI31" s="419"/>
      <c r="AJ31" s="419"/>
      <c r="AK31" s="419"/>
      <c r="AL31" s="419"/>
      <c r="AM31" s="419"/>
      <c r="AN31" s="419"/>
      <c r="AO31" s="419"/>
      <c r="AP31" s="419"/>
      <c r="AQ31" s="419"/>
      <c r="AR31" s="419"/>
      <c r="AS31" s="419"/>
      <c r="AT31" s="419"/>
      <c r="AU31" s="419"/>
      <c r="AV31" s="419"/>
      <c r="AW31" s="419"/>
      <c r="AX31" s="419"/>
      <c r="AY31" s="419"/>
      <c r="AZ31" s="419"/>
      <c r="BA31" s="419"/>
      <c r="BB31" s="419"/>
      <c r="BC31" s="419"/>
      <c r="BD31" s="447">
        <f>100000000-22520290</f>
        <v>77479710</v>
      </c>
      <c r="BE31" s="447">
        <v>77479701</v>
      </c>
      <c r="BF31" s="447">
        <v>67679701</v>
      </c>
      <c r="BG31" s="419"/>
      <c r="BH31" s="419"/>
      <c r="BI31" s="419"/>
      <c r="BJ31" s="419"/>
      <c r="BK31" s="419"/>
      <c r="BL31" s="419"/>
      <c r="BM31" s="419"/>
      <c r="BN31" s="419"/>
      <c r="BO31" s="419"/>
      <c r="BP31" s="403">
        <f t="shared" ref="BP31:BR33" si="7">+Z31+AC31+AF31+AI31+AL31+AO31+AR31+AU31+AX31+BA31+BD31+BG31+BJ31</f>
        <v>77479710</v>
      </c>
      <c r="BQ31" s="403">
        <f t="shared" si="7"/>
        <v>77479701</v>
      </c>
      <c r="BR31" s="403">
        <f t="shared" si="7"/>
        <v>67679701</v>
      </c>
      <c r="BS31" s="349" t="s">
        <v>1656</v>
      </c>
      <c r="BT31" s="5"/>
    </row>
    <row r="32" spans="1:72" ht="144.75" customHeight="1" x14ac:dyDescent="0.2">
      <c r="A32" s="327">
        <v>308</v>
      </c>
      <c r="B32" s="326" t="s">
        <v>1626</v>
      </c>
      <c r="C32" s="323">
        <v>3</v>
      </c>
      <c r="D32" s="434" t="s">
        <v>1624</v>
      </c>
      <c r="E32" s="323">
        <v>24</v>
      </c>
      <c r="F32" s="417" t="s">
        <v>187</v>
      </c>
      <c r="G32" s="323">
        <v>2402</v>
      </c>
      <c r="H32" s="434" t="s">
        <v>188</v>
      </c>
      <c r="I32" s="323">
        <v>2402</v>
      </c>
      <c r="J32" s="434" t="s">
        <v>1598</v>
      </c>
      <c r="K32" s="434" t="s">
        <v>1312</v>
      </c>
      <c r="L32" s="323" t="s">
        <v>41</v>
      </c>
      <c r="M32" s="434" t="s">
        <v>196</v>
      </c>
      <c r="N32" s="448">
        <v>2402041</v>
      </c>
      <c r="O32" s="434" t="s">
        <v>197</v>
      </c>
      <c r="P32" s="323" t="s">
        <v>41</v>
      </c>
      <c r="Q32" s="434" t="s">
        <v>198</v>
      </c>
      <c r="R32" s="435">
        <v>240204100</v>
      </c>
      <c r="S32" s="434" t="s">
        <v>199</v>
      </c>
      <c r="T32" s="349" t="s">
        <v>1689</v>
      </c>
      <c r="U32" s="445">
        <v>130</v>
      </c>
      <c r="V32" s="445">
        <v>170.18</v>
      </c>
      <c r="W32" s="427" t="s">
        <v>193</v>
      </c>
      <c r="X32" s="326" t="s">
        <v>194</v>
      </c>
      <c r="Y32" s="326" t="s">
        <v>195</v>
      </c>
      <c r="Z32" s="419"/>
      <c r="AA32" s="419"/>
      <c r="AB32" s="419"/>
      <c r="AC32" s="419"/>
      <c r="AD32" s="419"/>
      <c r="AE32" s="419"/>
      <c r="AF32" s="436"/>
      <c r="AG32" s="436"/>
      <c r="AH32" s="436"/>
      <c r="AI32" s="419"/>
      <c r="AJ32" s="419"/>
      <c r="AK32" s="419"/>
      <c r="AL32" s="419"/>
      <c r="AM32" s="419"/>
      <c r="AN32" s="419"/>
      <c r="AO32" s="419"/>
      <c r="AP32" s="419"/>
      <c r="AQ32" s="419"/>
      <c r="AR32" s="419"/>
      <c r="AS32" s="419"/>
      <c r="AT32" s="419"/>
      <c r="AU32" s="419"/>
      <c r="AV32" s="419"/>
      <c r="AW32" s="419"/>
      <c r="AX32" s="419"/>
      <c r="AY32" s="419"/>
      <c r="AZ32" s="419"/>
      <c r="BA32" s="419"/>
      <c r="BB32" s="419"/>
      <c r="BC32" s="419"/>
      <c r="BD32" s="447">
        <f>250000000+393689004+22520290</f>
        <v>666209294</v>
      </c>
      <c r="BE32" s="447">
        <v>200081500</v>
      </c>
      <c r="BF32" s="447">
        <v>156665481.34999999</v>
      </c>
      <c r="BG32" s="419"/>
      <c r="BH32" s="419"/>
      <c r="BI32" s="419"/>
      <c r="BJ32" s="449">
        <v>4000000000</v>
      </c>
      <c r="BK32" s="419">
        <v>41700000</v>
      </c>
      <c r="BL32" s="419">
        <v>11400000</v>
      </c>
      <c r="BM32" s="419"/>
      <c r="BN32" s="419"/>
      <c r="BO32" s="419"/>
      <c r="BP32" s="403">
        <f t="shared" si="7"/>
        <v>4666209294</v>
      </c>
      <c r="BQ32" s="403">
        <f t="shared" si="7"/>
        <v>241781500</v>
      </c>
      <c r="BR32" s="403">
        <f t="shared" si="7"/>
        <v>168065481.34999999</v>
      </c>
      <c r="BS32" s="349" t="s">
        <v>1656</v>
      </c>
      <c r="BT32" s="5"/>
    </row>
    <row r="33" spans="1:72" ht="121.5" customHeight="1" x14ac:dyDescent="0.2">
      <c r="A33" s="327">
        <v>308</v>
      </c>
      <c r="B33" s="326" t="s">
        <v>1626</v>
      </c>
      <c r="C33" s="323">
        <v>3</v>
      </c>
      <c r="D33" s="434" t="s">
        <v>1624</v>
      </c>
      <c r="E33" s="323">
        <v>24</v>
      </c>
      <c r="F33" s="417" t="s">
        <v>187</v>
      </c>
      <c r="G33" s="323">
        <v>2402</v>
      </c>
      <c r="H33" s="434" t="s">
        <v>188</v>
      </c>
      <c r="I33" s="323">
        <v>2402</v>
      </c>
      <c r="J33" s="434" t="s">
        <v>1598</v>
      </c>
      <c r="K33" s="434" t="s">
        <v>1312</v>
      </c>
      <c r="L33" s="323" t="s">
        <v>41</v>
      </c>
      <c r="M33" s="326" t="s">
        <v>200</v>
      </c>
      <c r="N33" s="323">
        <v>2402118</v>
      </c>
      <c r="O33" s="326" t="s">
        <v>201</v>
      </c>
      <c r="P33" s="323" t="s">
        <v>41</v>
      </c>
      <c r="Q33" s="324" t="s">
        <v>202</v>
      </c>
      <c r="R33" s="323">
        <v>240211800</v>
      </c>
      <c r="S33" s="434" t="s">
        <v>203</v>
      </c>
      <c r="T33" s="349" t="s">
        <v>1691</v>
      </c>
      <c r="U33" s="103">
        <v>6</v>
      </c>
      <c r="V33" s="103">
        <v>1</v>
      </c>
      <c r="W33" s="349" t="s">
        <v>204</v>
      </c>
      <c r="X33" s="326" t="s">
        <v>205</v>
      </c>
      <c r="Y33" s="326" t="s">
        <v>206</v>
      </c>
      <c r="Z33" s="419"/>
      <c r="AA33" s="419"/>
      <c r="AB33" s="419"/>
      <c r="AC33" s="419"/>
      <c r="AD33" s="419"/>
      <c r="AE33" s="419"/>
      <c r="AF33" s="446"/>
      <c r="AG33" s="446"/>
      <c r="AH33" s="446"/>
      <c r="AI33" s="419"/>
      <c r="AJ33" s="419"/>
      <c r="AK33" s="419"/>
      <c r="AL33" s="419"/>
      <c r="AM33" s="419"/>
      <c r="AN33" s="419"/>
      <c r="AO33" s="419"/>
      <c r="AP33" s="419"/>
      <c r="AQ33" s="419"/>
      <c r="AR33" s="419"/>
      <c r="AS33" s="419"/>
      <c r="AT33" s="419"/>
      <c r="AU33" s="419"/>
      <c r="AV33" s="419"/>
      <c r="AW33" s="419"/>
      <c r="AX33" s="419"/>
      <c r="AY33" s="419"/>
      <c r="AZ33" s="419"/>
      <c r="BA33" s="419"/>
      <c r="BB33" s="419"/>
      <c r="BC33" s="419"/>
      <c r="BD33" s="447">
        <v>40000000</v>
      </c>
      <c r="BE33" s="447">
        <v>9000000</v>
      </c>
      <c r="BF33" s="447">
        <v>9000000</v>
      </c>
      <c r="BG33" s="419"/>
      <c r="BH33" s="419"/>
      <c r="BI33" s="419"/>
      <c r="BJ33" s="419"/>
      <c r="BK33" s="419"/>
      <c r="BL33" s="419"/>
      <c r="BM33" s="419"/>
      <c r="BN33" s="419"/>
      <c r="BO33" s="419"/>
      <c r="BP33" s="403">
        <f t="shared" si="7"/>
        <v>40000000</v>
      </c>
      <c r="BQ33" s="403">
        <f t="shared" si="7"/>
        <v>9000000</v>
      </c>
      <c r="BR33" s="403">
        <f t="shared" si="7"/>
        <v>9000000</v>
      </c>
      <c r="BS33" s="349" t="s">
        <v>1656</v>
      </c>
      <c r="BT33" s="5"/>
    </row>
    <row r="34" spans="1:72" ht="135" customHeight="1" x14ac:dyDescent="0.2">
      <c r="A34" s="327">
        <v>308</v>
      </c>
      <c r="B34" s="326" t="s">
        <v>1626</v>
      </c>
      <c r="C34" s="323">
        <v>3</v>
      </c>
      <c r="D34" s="434" t="s">
        <v>1624</v>
      </c>
      <c r="E34" s="323">
        <v>32</v>
      </c>
      <c r="F34" s="434" t="s">
        <v>207</v>
      </c>
      <c r="G34" s="323">
        <v>3205</v>
      </c>
      <c r="H34" s="326" t="s">
        <v>208</v>
      </c>
      <c r="I34" s="323">
        <v>3205</v>
      </c>
      <c r="J34" s="326" t="s">
        <v>1604</v>
      </c>
      <c r="K34" s="326" t="s">
        <v>209</v>
      </c>
      <c r="L34" s="435">
        <v>3205010</v>
      </c>
      <c r="M34" s="326" t="s">
        <v>210</v>
      </c>
      <c r="N34" s="435">
        <v>3205010</v>
      </c>
      <c r="O34" s="326" t="s">
        <v>210</v>
      </c>
      <c r="P34" s="435" t="s">
        <v>211</v>
      </c>
      <c r="Q34" s="326" t="s">
        <v>212</v>
      </c>
      <c r="R34" s="435" t="s">
        <v>211</v>
      </c>
      <c r="S34" s="326" t="s">
        <v>212</v>
      </c>
      <c r="T34" s="349" t="s">
        <v>1691</v>
      </c>
      <c r="U34" s="103">
        <v>2</v>
      </c>
      <c r="V34" s="103">
        <v>1</v>
      </c>
      <c r="W34" s="349" t="s">
        <v>213</v>
      </c>
      <c r="X34" s="324" t="s">
        <v>214</v>
      </c>
      <c r="Y34" s="324" t="s">
        <v>215</v>
      </c>
      <c r="Z34" s="419">
        <v>0</v>
      </c>
      <c r="AA34" s="419"/>
      <c r="AB34" s="419"/>
      <c r="AC34" s="419">
        <v>0</v>
      </c>
      <c r="AD34" s="419"/>
      <c r="AE34" s="419"/>
      <c r="AF34" s="446">
        <v>0</v>
      </c>
      <c r="AG34" s="446"/>
      <c r="AH34" s="446"/>
      <c r="AI34" s="419">
        <v>0</v>
      </c>
      <c r="AJ34" s="419"/>
      <c r="AK34" s="419"/>
      <c r="AL34" s="419">
        <v>0</v>
      </c>
      <c r="AM34" s="419"/>
      <c r="AN34" s="419"/>
      <c r="AO34" s="419">
        <v>0</v>
      </c>
      <c r="AP34" s="419"/>
      <c r="AQ34" s="419"/>
      <c r="AR34" s="419">
        <v>0</v>
      </c>
      <c r="AS34" s="419"/>
      <c r="AT34" s="419"/>
      <c r="AU34" s="419">
        <v>0</v>
      </c>
      <c r="AV34" s="419"/>
      <c r="AW34" s="419"/>
      <c r="AX34" s="419">
        <v>0</v>
      </c>
      <c r="AY34" s="419"/>
      <c r="AZ34" s="419"/>
      <c r="BA34" s="419">
        <v>0</v>
      </c>
      <c r="BB34" s="419"/>
      <c r="BC34" s="419"/>
      <c r="BD34" s="347">
        <v>1418800000</v>
      </c>
      <c r="BE34" s="450">
        <v>56500000</v>
      </c>
      <c r="BF34" s="450">
        <v>46600000</v>
      </c>
      <c r="BG34" s="419">
        <v>0</v>
      </c>
      <c r="BH34" s="419"/>
      <c r="BI34" s="419"/>
      <c r="BJ34" s="419">
        <v>0</v>
      </c>
      <c r="BK34" s="419"/>
      <c r="BL34" s="419"/>
      <c r="BM34" s="419"/>
      <c r="BN34" s="419"/>
      <c r="BO34" s="419"/>
      <c r="BP34" s="403">
        <f t="shared" ref="BP34:BP35" si="8">+Z34+AC34+AF34+AI34+AL34+AO34+AR34+AU34+AX34+BA34+BD34+BG34+BJ34</f>
        <v>1418800000</v>
      </c>
      <c r="BQ34" s="403">
        <f t="shared" ref="BQ34:BQ35" si="9">+AA34+AD34+AG34+AJ34+AM34+AP34+AS34+AV34+AY34+BB34+BE34+BH34+BK34</f>
        <v>56500000</v>
      </c>
      <c r="BR34" s="403">
        <f t="shared" ref="BR34:BR35" si="10">+AB34+AE34+AH34+AK34+AN34+AQ34+AT34+AW34+AZ34+BC34+BF34+BI34+BL34</f>
        <v>46600000</v>
      </c>
      <c r="BS34" s="349" t="s">
        <v>1656</v>
      </c>
      <c r="BT34" s="5"/>
    </row>
    <row r="35" spans="1:72" ht="157.5" customHeight="1" x14ac:dyDescent="0.2">
      <c r="A35" s="327">
        <v>308</v>
      </c>
      <c r="B35" s="326" t="s">
        <v>1626</v>
      </c>
      <c r="C35" s="323">
        <v>3</v>
      </c>
      <c r="D35" s="434" t="s">
        <v>1624</v>
      </c>
      <c r="E35" s="323">
        <v>32</v>
      </c>
      <c r="F35" s="434" t="s">
        <v>207</v>
      </c>
      <c r="G35" s="323">
        <v>3205</v>
      </c>
      <c r="H35" s="326" t="s">
        <v>208</v>
      </c>
      <c r="I35" s="323">
        <v>3205</v>
      </c>
      <c r="J35" s="326" t="s">
        <v>1604</v>
      </c>
      <c r="K35" s="326" t="s">
        <v>209</v>
      </c>
      <c r="L35" s="435">
        <v>3205021</v>
      </c>
      <c r="M35" s="326" t="s">
        <v>216</v>
      </c>
      <c r="N35" s="435">
        <v>3205021</v>
      </c>
      <c r="O35" s="326" t="s">
        <v>216</v>
      </c>
      <c r="P35" s="435">
        <v>320502100</v>
      </c>
      <c r="Q35" s="326" t="s">
        <v>217</v>
      </c>
      <c r="R35" s="435">
        <v>320502100</v>
      </c>
      <c r="S35" s="326" t="s">
        <v>217</v>
      </c>
      <c r="T35" s="349" t="s">
        <v>1691</v>
      </c>
      <c r="U35" s="103">
        <v>2</v>
      </c>
      <c r="V35" s="103">
        <v>1</v>
      </c>
      <c r="W35" s="349" t="s">
        <v>218</v>
      </c>
      <c r="X35" s="324" t="s">
        <v>219</v>
      </c>
      <c r="Y35" s="324" t="s">
        <v>220</v>
      </c>
      <c r="Z35" s="419"/>
      <c r="AA35" s="419"/>
      <c r="AB35" s="419"/>
      <c r="AC35" s="419"/>
      <c r="AD35" s="419"/>
      <c r="AE35" s="419"/>
      <c r="AF35" s="446">
        <v>56108067</v>
      </c>
      <c r="AG35" s="446">
        <v>56108067</v>
      </c>
      <c r="AH35" s="446">
        <v>37529205.509999998</v>
      </c>
      <c r="AI35" s="419"/>
      <c r="AJ35" s="419"/>
      <c r="AK35" s="419"/>
      <c r="AL35" s="419"/>
      <c r="AM35" s="419"/>
      <c r="AN35" s="419"/>
      <c r="AO35" s="419"/>
      <c r="AP35" s="419"/>
      <c r="AQ35" s="419"/>
      <c r="AR35" s="419"/>
      <c r="AS35" s="419"/>
      <c r="AT35" s="419"/>
      <c r="AU35" s="419"/>
      <c r="AV35" s="419"/>
      <c r="AW35" s="419"/>
      <c r="AX35" s="419"/>
      <c r="AY35" s="419"/>
      <c r="AZ35" s="419"/>
      <c r="BA35" s="419"/>
      <c r="BB35" s="419"/>
      <c r="BC35" s="419"/>
      <c r="BD35" s="347">
        <v>788200000</v>
      </c>
      <c r="BE35" s="447">
        <v>267827208.47</v>
      </c>
      <c r="BF35" s="447">
        <v>114016422.33</v>
      </c>
      <c r="BG35" s="419"/>
      <c r="BH35" s="419"/>
      <c r="BI35" s="419"/>
      <c r="BJ35" s="419"/>
      <c r="BK35" s="419"/>
      <c r="BL35" s="419"/>
      <c r="BM35" s="419"/>
      <c r="BN35" s="419"/>
      <c r="BO35" s="419"/>
      <c r="BP35" s="403">
        <f t="shared" si="8"/>
        <v>844308067</v>
      </c>
      <c r="BQ35" s="403">
        <f t="shared" si="9"/>
        <v>323935275.47000003</v>
      </c>
      <c r="BR35" s="403">
        <f t="shared" si="10"/>
        <v>151545627.84</v>
      </c>
      <c r="BS35" s="349" t="s">
        <v>1656</v>
      </c>
      <c r="BT35" s="5"/>
    </row>
    <row r="36" spans="1:72" ht="126.75" customHeight="1" x14ac:dyDescent="0.2">
      <c r="A36" s="327">
        <v>308</v>
      </c>
      <c r="B36" s="326" t="s">
        <v>1626</v>
      </c>
      <c r="C36" s="323">
        <v>3</v>
      </c>
      <c r="D36" s="434" t="s">
        <v>1624</v>
      </c>
      <c r="E36" s="323">
        <v>40</v>
      </c>
      <c r="F36" s="326" t="s">
        <v>221</v>
      </c>
      <c r="G36" s="400">
        <v>4001</v>
      </c>
      <c r="H36" s="326" t="s">
        <v>222</v>
      </c>
      <c r="I36" s="400">
        <v>4001</v>
      </c>
      <c r="J36" s="326" t="s">
        <v>1611</v>
      </c>
      <c r="K36" s="326" t="s">
        <v>223</v>
      </c>
      <c r="L36" s="448">
        <v>4001015</v>
      </c>
      <c r="M36" s="326" t="s">
        <v>224</v>
      </c>
      <c r="N36" s="448">
        <v>4001015</v>
      </c>
      <c r="O36" s="326" t="s">
        <v>224</v>
      </c>
      <c r="P36" s="422" t="s">
        <v>225</v>
      </c>
      <c r="Q36" s="443" t="s">
        <v>226</v>
      </c>
      <c r="R36" s="422" t="s">
        <v>225</v>
      </c>
      <c r="S36" s="443" t="s">
        <v>226</v>
      </c>
      <c r="T36" s="349" t="s">
        <v>1691</v>
      </c>
      <c r="U36" s="103">
        <v>50</v>
      </c>
      <c r="V36" s="103">
        <v>0</v>
      </c>
      <c r="W36" s="349" t="s">
        <v>227</v>
      </c>
      <c r="X36" s="324" t="s">
        <v>228</v>
      </c>
      <c r="Y36" s="324" t="s">
        <v>229</v>
      </c>
      <c r="Z36" s="419">
        <v>100000000.09999999</v>
      </c>
      <c r="AA36" s="419"/>
      <c r="AB36" s="419"/>
      <c r="AC36" s="419"/>
      <c r="AD36" s="419"/>
      <c r="AE36" s="419"/>
      <c r="AF36" s="446"/>
      <c r="AG36" s="446"/>
      <c r="AH36" s="446"/>
      <c r="AI36" s="419"/>
      <c r="AJ36" s="419"/>
      <c r="AK36" s="419"/>
      <c r="AL36" s="419"/>
      <c r="AM36" s="419"/>
      <c r="AN36" s="419"/>
      <c r="AO36" s="419"/>
      <c r="AP36" s="419"/>
      <c r="AQ36" s="419"/>
      <c r="AR36" s="419"/>
      <c r="AS36" s="419"/>
      <c r="AT36" s="419"/>
      <c r="AU36" s="419"/>
      <c r="AV36" s="419"/>
      <c r="AW36" s="419"/>
      <c r="AX36" s="419"/>
      <c r="AY36" s="419"/>
      <c r="AZ36" s="419"/>
      <c r="BA36" s="419"/>
      <c r="BB36" s="419"/>
      <c r="BC36" s="419"/>
      <c r="BD36" s="424">
        <v>20000000</v>
      </c>
      <c r="BE36" s="424"/>
      <c r="BF36" s="424"/>
      <c r="BG36" s="419"/>
      <c r="BH36" s="419"/>
      <c r="BI36" s="419"/>
      <c r="BJ36" s="419"/>
      <c r="BK36" s="419"/>
      <c r="BL36" s="419"/>
      <c r="BM36" s="419"/>
      <c r="BN36" s="419"/>
      <c r="BO36" s="419"/>
      <c r="BP36" s="403">
        <f>+Z36+AC36+AF36+AI36+AL36+AO36+AR36+AU36+AX36+BA36+BD36+BG36+BJ36</f>
        <v>120000000.09999999</v>
      </c>
      <c r="BQ36" s="403">
        <f>+AA36+AD36+AG36+AJ36+AM36+AP36+AS36+AV36+AY36+BB36+BE36+BH36+BK36</f>
        <v>0</v>
      </c>
      <c r="BR36" s="403">
        <f>+AB36+AE36+AH36+AK36+AN36+AQ36+AT36+AW36+AZ36+BC36+BF36+BI36+BL36</f>
        <v>0</v>
      </c>
      <c r="BS36" s="349" t="s">
        <v>1656</v>
      </c>
      <c r="BT36" s="5"/>
    </row>
    <row r="37" spans="1:72" ht="117" customHeight="1" x14ac:dyDescent="0.2">
      <c r="A37" s="327">
        <v>308</v>
      </c>
      <c r="B37" s="326" t="s">
        <v>1626</v>
      </c>
      <c r="C37" s="323">
        <v>3</v>
      </c>
      <c r="D37" s="434" t="s">
        <v>1624</v>
      </c>
      <c r="E37" s="323">
        <v>40</v>
      </c>
      <c r="F37" s="326" t="s">
        <v>221</v>
      </c>
      <c r="G37" s="323">
        <v>4003</v>
      </c>
      <c r="H37" s="427" t="s">
        <v>230</v>
      </c>
      <c r="I37" s="323">
        <v>4003</v>
      </c>
      <c r="J37" s="326" t="s">
        <v>1612</v>
      </c>
      <c r="K37" s="434" t="s">
        <v>231</v>
      </c>
      <c r="L37" s="435" t="s">
        <v>41</v>
      </c>
      <c r="M37" s="326" t="s">
        <v>232</v>
      </c>
      <c r="N37" s="323">
        <v>4003006</v>
      </c>
      <c r="O37" s="326" t="s">
        <v>233</v>
      </c>
      <c r="P37" s="435" t="s">
        <v>41</v>
      </c>
      <c r="Q37" s="326" t="s">
        <v>234</v>
      </c>
      <c r="R37" s="323">
        <v>400300600</v>
      </c>
      <c r="S37" s="326" t="s">
        <v>235</v>
      </c>
      <c r="T37" s="349" t="s">
        <v>1689</v>
      </c>
      <c r="U37" s="451">
        <v>1</v>
      </c>
      <c r="V37" s="451">
        <v>0.5</v>
      </c>
      <c r="W37" s="427" t="s">
        <v>236</v>
      </c>
      <c r="X37" s="324" t="s">
        <v>237</v>
      </c>
      <c r="Y37" s="452" t="s">
        <v>238</v>
      </c>
      <c r="Z37" s="419"/>
      <c r="AA37" s="419"/>
      <c r="AB37" s="419"/>
      <c r="AC37" s="419"/>
      <c r="AD37" s="419"/>
      <c r="AE37" s="419"/>
      <c r="AF37" s="446"/>
      <c r="AG37" s="446"/>
      <c r="AH37" s="446"/>
      <c r="AI37" s="419"/>
      <c r="AJ37" s="419"/>
      <c r="AK37" s="419"/>
      <c r="AL37" s="419"/>
      <c r="AM37" s="419"/>
      <c r="AN37" s="419"/>
      <c r="AO37" s="419"/>
      <c r="AP37" s="419"/>
      <c r="AQ37" s="419"/>
      <c r="AR37" s="419"/>
      <c r="AS37" s="419"/>
      <c r="AT37" s="419"/>
      <c r="AU37" s="419"/>
      <c r="AV37" s="419"/>
      <c r="AW37" s="419"/>
      <c r="AX37" s="419"/>
      <c r="AY37" s="419"/>
      <c r="AZ37" s="419"/>
      <c r="BA37" s="419">
        <v>100000000</v>
      </c>
      <c r="BB37" s="419">
        <v>100000000</v>
      </c>
      <c r="BC37" s="419"/>
      <c r="BD37" s="424"/>
      <c r="BE37" s="424"/>
      <c r="BF37" s="424"/>
      <c r="BG37" s="419"/>
      <c r="BH37" s="419"/>
      <c r="BI37" s="419"/>
      <c r="BJ37" s="419"/>
      <c r="BK37" s="419"/>
      <c r="BL37" s="419"/>
      <c r="BM37" s="419"/>
      <c r="BN37" s="419"/>
      <c r="BO37" s="419"/>
      <c r="BP37" s="403">
        <f t="shared" ref="BP37:BP42" si="11">+Z37+AC37+AF37+AI37+AL37+AO37+AR37+AU37+AX37+BA37+BD37+BG37+BJ37</f>
        <v>100000000</v>
      </c>
      <c r="BQ37" s="403">
        <f t="shared" ref="BQ37:BR42" si="12">+AA37+AD37+AG37+AJ37+AM37+AP37+AS37+AV37+AY37+BB37+BE37+BH37+BK37</f>
        <v>100000000</v>
      </c>
      <c r="BR37" s="403"/>
      <c r="BS37" s="349" t="s">
        <v>1656</v>
      </c>
      <c r="BT37" s="5"/>
    </row>
    <row r="38" spans="1:72" ht="105.75" customHeight="1" x14ac:dyDescent="0.2">
      <c r="A38" s="327">
        <v>308</v>
      </c>
      <c r="B38" s="326" t="s">
        <v>1626</v>
      </c>
      <c r="C38" s="323">
        <v>3</v>
      </c>
      <c r="D38" s="434" t="s">
        <v>1624</v>
      </c>
      <c r="E38" s="323">
        <v>40</v>
      </c>
      <c r="F38" s="326" t="s">
        <v>221</v>
      </c>
      <c r="G38" s="323">
        <v>4003</v>
      </c>
      <c r="H38" s="427" t="s">
        <v>230</v>
      </c>
      <c r="I38" s="323">
        <v>4003</v>
      </c>
      <c r="J38" s="326" t="s">
        <v>1612</v>
      </c>
      <c r="K38" s="434" t="s">
        <v>239</v>
      </c>
      <c r="L38" s="435">
        <v>4003018</v>
      </c>
      <c r="M38" s="434" t="s">
        <v>240</v>
      </c>
      <c r="N38" s="435">
        <v>4003018</v>
      </c>
      <c r="O38" s="434" t="s">
        <v>240</v>
      </c>
      <c r="P38" s="435">
        <v>400301802</v>
      </c>
      <c r="Q38" s="326" t="s">
        <v>241</v>
      </c>
      <c r="R38" s="435">
        <v>400301802</v>
      </c>
      <c r="S38" s="326" t="s">
        <v>241</v>
      </c>
      <c r="T38" s="349" t="s">
        <v>1691</v>
      </c>
      <c r="U38" s="445">
        <v>1</v>
      </c>
      <c r="V38" s="445">
        <v>0</v>
      </c>
      <c r="W38" s="427" t="s">
        <v>236</v>
      </c>
      <c r="X38" s="324" t="s">
        <v>237</v>
      </c>
      <c r="Y38" s="452" t="s">
        <v>238</v>
      </c>
      <c r="Z38" s="419"/>
      <c r="AA38" s="419"/>
      <c r="AB38" s="419"/>
      <c r="AC38" s="419"/>
      <c r="AD38" s="419"/>
      <c r="AE38" s="419"/>
      <c r="AF38" s="446"/>
      <c r="AG38" s="446"/>
      <c r="AH38" s="446"/>
      <c r="AI38" s="419"/>
      <c r="AJ38" s="419"/>
      <c r="AK38" s="419"/>
      <c r="AL38" s="419"/>
      <c r="AM38" s="419"/>
      <c r="AN38" s="419"/>
      <c r="AO38" s="419"/>
      <c r="AP38" s="419"/>
      <c r="AQ38" s="419"/>
      <c r="AR38" s="419"/>
      <c r="AS38" s="419"/>
      <c r="AT38" s="419"/>
      <c r="AU38" s="419"/>
      <c r="AV38" s="419"/>
      <c r="AW38" s="419"/>
      <c r="AX38" s="419"/>
      <c r="AY38" s="419"/>
      <c r="AZ38" s="419"/>
      <c r="BA38" s="419">
        <f>729000000+123718865</f>
        <v>852718865</v>
      </c>
      <c r="BB38" s="419">
        <v>852718865</v>
      </c>
      <c r="BC38" s="419">
        <v>852718865</v>
      </c>
      <c r="BD38" s="424"/>
      <c r="BE38" s="424"/>
      <c r="BF38" s="424"/>
      <c r="BG38" s="419"/>
      <c r="BH38" s="419"/>
      <c r="BI38" s="419"/>
      <c r="BJ38" s="419"/>
      <c r="BK38" s="419"/>
      <c r="BL38" s="419"/>
      <c r="BM38" s="419"/>
      <c r="BN38" s="419"/>
      <c r="BO38" s="419"/>
      <c r="BP38" s="403">
        <f t="shared" si="11"/>
        <v>852718865</v>
      </c>
      <c r="BQ38" s="403">
        <f t="shared" si="12"/>
        <v>852718865</v>
      </c>
      <c r="BR38" s="403">
        <f t="shared" ref="BR38" si="13">+AB38+AE38+AH38+AK38+AN38+AQ38+AT38+AW38+AZ38+BC38+BF38+BI38+BL38</f>
        <v>852718865</v>
      </c>
      <c r="BS38" s="349" t="s">
        <v>1656</v>
      </c>
      <c r="BT38" s="5"/>
    </row>
    <row r="39" spans="1:72" ht="105.75" customHeight="1" x14ac:dyDescent="0.2">
      <c r="A39" s="327">
        <v>308</v>
      </c>
      <c r="B39" s="326" t="s">
        <v>1626</v>
      </c>
      <c r="C39" s="323">
        <v>3</v>
      </c>
      <c r="D39" s="434" t="s">
        <v>1624</v>
      </c>
      <c r="E39" s="323">
        <v>40</v>
      </c>
      <c r="F39" s="326" t="s">
        <v>221</v>
      </c>
      <c r="G39" s="323">
        <v>4003</v>
      </c>
      <c r="H39" s="427" t="s">
        <v>230</v>
      </c>
      <c r="I39" s="323">
        <v>4003</v>
      </c>
      <c r="J39" s="326" t="s">
        <v>1612</v>
      </c>
      <c r="K39" s="434" t="s">
        <v>231</v>
      </c>
      <c r="L39" s="435">
        <v>4003025</v>
      </c>
      <c r="M39" s="434" t="s">
        <v>242</v>
      </c>
      <c r="N39" s="435">
        <v>4003025</v>
      </c>
      <c r="O39" s="434" t="s">
        <v>242</v>
      </c>
      <c r="P39" s="99">
        <v>400302500</v>
      </c>
      <c r="Q39" s="441" t="s">
        <v>243</v>
      </c>
      <c r="R39" s="99">
        <v>400302500</v>
      </c>
      <c r="S39" s="441" t="s">
        <v>243</v>
      </c>
      <c r="T39" s="349" t="s">
        <v>1691</v>
      </c>
      <c r="U39" s="445">
        <v>4</v>
      </c>
      <c r="V39" s="445">
        <v>0</v>
      </c>
      <c r="W39" s="427" t="s">
        <v>236</v>
      </c>
      <c r="X39" s="324" t="s">
        <v>237</v>
      </c>
      <c r="Y39" s="452" t="s">
        <v>238</v>
      </c>
      <c r="Z39" s="419">
        <f>450000000+155000000</f>
        <v>605000000</v>
      </c>
      <c r="AA39" s="419">
        <v>161561251</v>
      </c>
      <c r="AB39" s="419"/>
      <c r="AC39" s="419"/>
      <c r="AD39" s="419"/>
      <c r="AE39" s="419"/>
      <c r="AF39" s="446"/>
      <c r="AG39" s="446"/>
      <c r="AH39" s="446"/>
      <c r="AI39" s="419"/>
      <c r="AJ39" s="419"/>
      <c r="AK39" s="419"/>
      <c r="AL39" s="419"/>
      <c r="AM39" s="419"/>
      <c r="AN39" s="419"/>
      <c r="AO39" s="419"/>
      <c r="AP39" s="419"/>
      <c r="AQ39" s="419"/>
      <c r="AR39" s="419"/>
      <c r="AS39" s="419"/>
      <c r="AT39" s="419"/>
      <c r="AU39" s="419"/>
      <c r="AV39" s="419"/>
      <c r="AW39" s="419"/>
      <c r="AX39" s="419"/>
      <c r="AY39" s="419"/>
      <c r="AZ39" s="419"/>
      <c r="BA39" s="419">
        <v>249204317.68000001</v>
      </c>
      <c r="BB39" s="419">
        <v>230774762</v>
      </c>
      <c r="BC39" s="419">
        <v>230774762</v>
      </c>
      <c r="BD39" s="424"/>
      <c r="BE39" s="424"/>
      <c r="BF39" s="424"/>
      <c r="BG39" s="419"/>
      <c r="BH39" s="419"/>
      <c r="BI39" s="419"/>
      <c r="BJ39" s="419"/>
      <c r="BK39" s="419"/>
      <c r="BL39" s="419"/>
      <c r="BM39" s="419"/>
      <c r="BN39" s="419"/>
      <c r="BO39" s="419"/>
      <c r="BP39" s="403">
        <f t="shared" si="11"/>
        <v>854204317.68000007</v>
      </c>
      <c r="BQ39" s="403">
        <f t="shared" si="12"/>
        <v>392336013</v>
      </c>
      <c r="BR39" s="403">
        <f t="shared" si="12"/>
        <v>230774762</v>
      </c>
      <c r="BS39" s="349" t="s">
        <v>1656</v>
      </c>
      <c r="BT39" s="5"/>
    </row>
    <row r="40" spans="1:72" ht="105.75" customHeight="1" x14ac:dyDescent="0.2">
      <c r="A40" s="327">
        <v>308</v>
      </c>
      <c r="B40" s="326" t="s">
        <v>1626</v>
      </c>
      <c r="C40" s="323">
        <v>3</v>
      </c>
      <c r="D40" s="434" t="s">
        <v>1624</v>
      </c>
      <c r="E40" s="323">
        <v>40</v>
      </c>
      <c r="F40" s="326" t="s">
        <v>221</v>
      </c>
      <c r="G40" s="323">
        <v>4003</v>
      </c>
      <c r="H40" s="427" t="s">
        <v>230</v>
      </c>
      <c r="I40" s="323">
        <v>4003</v>
      </c>
      <c r="J40" s="326" t="s">
        <v>1612</v>
      </c>
      <c r="K40" s="434" t="s">
        <v>231</v>
      </c>
      <c r="L40" s="435">
        <v>4003028</v>
      </c>
      <c r="M40" s="434" t="s">
        <v>244</v>
      </c>
      <c r="N40" s="435">
        <v>4003028</v>
      </c>
      <c r="O40" s="434" t="s">
        <v>244</v>
      </c>
      <c r="P40" s="435">
        <v>400302801</v>
      </c>
      <c r="Q40" s="326" t="s">
        <v>245</v>
      </c>
      <c r="R40" s="435">
        <v>400302801</v>
      </c>
      <c r="S40" s="326" t="s">
        <v>245</v>
      </c>
      <c r="T40" s="349" t="s">
        <v>1689</v>
      </c>
      <c r="U40" s="445">
        <v>4</v>
      </c>
      <c r="V40" s="445">
        <v>0</v>
      </c>
      <c r="W40" s="427" t="s">
        <v>236</v>
      </c>
      <c r="X40" s="324" t="s">
        <v>237</v>
      </c>
      <c r="Y40" s="452" t="s">
        <v>238</v>
      </c>
      <c r="Z40" s="419"/>
      <c r="AA40" s="419"/>
      <c r="AB40" s="419"/>
      <c r="AC40" s="419"/>
      <c r="AD40" s="419"/>
      <c r="AE40" s="419"/>
      <c r="AF40" s="446"/>
      <c r="AG40" s="446"/>
      <c r="AH40" s="446"/>
      <c r="AI40" s="419"/>
      <c r="AJ40" s="419"/>
      <c r="AK40" s="419"/>
      <c r="AL40" s="419"/>
      <c r="AM40" s="419"/>
      <c r="AN40" s="419"/>
      <c r="AO40" s="419"/>
      <c r="AP40" s="419"/>
      <c r="AQ40" s="419"/>
      <c r="AR40" s="419"/>
      <c r="AS40" s="419"/>
      <c r="AT40" s="419"/>
      <c r="AU40" s="419"/>
      <c r="AV40" s="419"/>
      <c r="AW40" s="419"/>
      <c r="AX40" s="419"/>
      <c r="AY40" s="419"/>
      <c r="AZ40" s="419"/>
      <c r="BA40" s="419">
        <v>279000000</v>
      </c>
      <c r="BB40" s="419">
        <v>279000000</v>
      </c>
      <c r="BC40" s="419"/>
      <c r="BD40" s="424"/>
      <c r="BE40" s="424"/>
      <c r="BF40" s="424"/>
      <c r="BG40" s="419"/>
      <c r="BH40" s="419"/>
      <c r="BI40" s="419"/>
      <c r="BJ40" s="419"/>
      <c r="BK40" s="419"/>
      <c r="BL40" s="419"/>
      <c r="BM40" s="419"/>
      <c r="BN40" s="419"/>
      <c r="BO40" s="419"/>
      <c r="BP40" s="403">
        <f t="shared" si="11"/>
        <v>279000000</v>
      </c>
      <c r="BQ40" s="403">
        <f t="shared" si="12"/>
        <v>279000000</v>
      </c>
      <c r="BR40" s="403">
        <f t="shared" si="12"/>
        <v>0</v>
      </c>
      <c r="BS40" s="349" t="s">
        <v>1656</v>
      </c>
      <c r="BT40" s="5"/>
    </row>
    <row r="41" spans="1:72" ht="105.75" customHeight="1" x14ac:dyDescent="0.2">
      <c r="A41" s="327">
        <v>308</v>
      </c>
      <c r="B41" s="326" t="s">
        <v>1626</v>
      </c>
      <c r="C41" s="323">
        <v>3</v>
      </c>
      <c r="D41" s="434" t="s">
        <v>1624</v>
      </c>
      <c r="E41" s="323">
        <v>40</v>
      </c>
      <c r="F41" s="326" t="s">
        <v>221</v>
      </c>
      <c r="G41" s="323">
        <v>4003</v>
      </c>
      <c r="H41" s="427" t="s">
        <v>230</v>
      </c>
      <c r="I41" s="323">
        <v>4003</v>
      </c>
      <c r="J41" s="326" t="s">
        <v>1612</v>
      </c>
      <c r="K41" s="434" t="s">
        <v>231</v>
      </c>
      <c r="L41" s="435">
        <v>4003042</v>
      </c>
      <c r="M41" s="434" t="s">
        <v>246</v>
      </c>
      <c r="N41" s="435">
        <v>4003042</v>
      </c>
      <c r="O41" s="434" t="s">
        <v>246</v>
      </c>
      <c r="P41" s="435">
        <v>400304200</v>
      </c>
      <c r="Q41" s="326" t="s">
        <v>247</v>
      </c>
      <c r="R41" s="435">
        <v>400304200</v>
      </c>
      <c r="S41" s="326" t="s">
        <v>247</v>
      </c>
      <c r="T41" s="349" t="s">
        <v>1691</v>
      </c>
      <c r="U41" s="445">
        <v>3</v>
      </c>
      <c r="V41" s="445">
        <v>1.4</v>
      </c>
      <c r="W41" s="427" t="s">
        <v>236</v>
      </c>
      <c r="X41" s="324" t="s">
        <v>237</v>
      </c>
      <c r="Y41" s="452" t="s">
        <v>238</v>
      </c>
      <c r="Z41" s="419"/>
      <c r="AA41" s="419"/>
      <c r="AB41" s="419"/>
      <c r="AC41" s="419"/>
      <c r="AD41" s="419"/>
      <c r="AE41" s="419"/>
      <c r="AF41" s="446"/>
      <c r="AG41" s="446"/>
      <c r="AH41" s="446"/>
      <c r="AI41" s="419"/>
      <c r="AJ41" s="419"/>
      <c r="AK41" s="419"/>
      <c r="AL41" s="419"/>
      <c r="AM41" s="419"/>
      <c r="AN41" s="419"/>
      <c r="AO41" s="419"/>
      <c r="AP41" s="419"/>
      <c r="AQ41" s="419"/>
      <c r="AR41" s="419"/>
      <c r="AS41" s="419"/>
      <c r="AT41" s="419"/>
      <c r="AU41" s="419"/>
      <c r="AV41" s="419"/>
      <c r="AW41" s="419"/>
      <c r="AX41" s="419"/>
      <c r="AY41" s="419"/>
      <c r="AZ41" s="419"/>
      <c r="BA41" s="419">
        <v>629000000</v>
      </c>
      <c r="BB41" s="419">
        <v>629000000</v>
      </c>
      <c r="BC41" s="419">
        <v>294221298</v>
      </c>
      <c r="BD41" s="424"/>
      <c r="BE41" s="424"/>
      <c r="BF41" s="424"/>
      <c r="BG41" s="419"/>
      <c r="BH41" s="419"/>
      <c r="BI41" s="419"/>
      <c r="BJ41" s="419"/>
      <c r="BK41" s="419"/>
      <c r="BL41" s="419"/>
      <c r="BM41" s="419"/>
      <c r="BN41" s="419"/>
      <c r="BO41" s="419"/>
      <c r="BP41" s="403">
        <f t="shared" si="11"/>
        <v>629000000</v>
      </c>
      <c r="BQ41" s="403">
        <f t="shared" si="12"/>
        <v>629000000</v>
      </c>
      <c r="BR41" s="403">
        <f t="shared" si="12"/>
        <v>294221298</v>
      </c>
      <c r="BS41" s="349" t="s">
        <v>1656</v>
      </c>
      <c r="BT41" s="5"/>
    </row>
    <row r="42" spans="1:72" ht="105.75" customHeight="1" x14ac:dyDescent="0.2">
      <c r="A42" s="327">
        <v>308</v>
      </c>
      <c r="B42" s="326" t="s">
        <v>1626</v>
      </c>
      <c r="C42" s="323">
        <v>3</v>
      </c>
      <c r="D42" s="434" t="s">
        <v>1624</v>
      </c>
      <c r="E42" s="323">
        <v>40</v>
      </c>
      <c r="F42" s="326" t="s">
        <v>221</v>
      </c>
      <c r="G42" s="323">
        <v>4003</v>
      </c>
      <c r="H42" s="427" t="s">
        <v>230</v>
      </c>
      <c r="I42" s="323">
        <v>4003</v>
      </c>
      <c r="J42" s="326" t="s">
        <v>1612</v>
      </c>
      <c r="K42" s="434" t="s">
        <v>231</v>
      </c>
      <c r="L42" s="435" t="s">
        <v>248</v>
      </c>
      <c r="M42" s="434" t="s">
        <v>249</v>
      </c>
      <c r="N42" s="435" t="s">
        <v>248</v>
      </c>
      <c r="O42" s="434" t="s">
        <v>249</v>
      </c>
      <c r="P42" s="99">
        <v>400302600</v>
      </c>
      <c r="Q42" s="441" t="s">
        <v>250</v>
      </c>
      <c r="R42" s="99">
        <v>400302600</v>
      </c>
      <c r="S42" s="441" t="s">
        <v>250</v>
      </c>
      <c r="T42" s="349" t="s">
        <v>1691</v>
      </c>
      <c r="U42" s="445">
        <v>1</v>
      </c>
      <c r="V42" s="445">
        <v>0</v>
      </c>
      <c r="W42" s="427" t="s">
        <v>236</v>
      </c>
      <c r="X42" s="324" t="s">
        <v>237</v>
      </c>
      <c r="Y42" s="452" t="s">
        <v>238</v>
      </c>
      <c r="Z42" s="419"/>
      <c r="AA42" s="419"/>
      <c r="AB42" s="419"/>
      <c r="AC42" s="419"/>
      <c r="AD42" s="419"/>
      <c r="AE42" s="419"/>
      <c r="AF42" s="446"/>
      <c r="AG42" s="446"/>
      <c r="AH42" s="446"/>
      <c r="AI42" s="419"/>
      <c r="AJ42" s="419"/>
      <c r="AK42" s="419"/>
      <c r="AL42" s="419"/>
      <c r="AM42" s="419"/>
      <c r="AN42" s="419"/>
      <c r="AO42" s="419"/>
      <c r="AP42" s="419"/>
      <c r="AQ42" s="419"/>
      <c r="AR42" s="419"/>
      <c r="AS42" s="419"/>
      <c r="AT42" s="419"/>
      <c r="AU42" s="419"/>
      <c r="AV42" s="419"/>
      <c r="AW42" s="419"/>
      <c r="AX42" s="419"/>
      <c r="AY42" s="419"/>
      <c r="AZ42" s="419"/>
      <c r="BA42" s="419">
        <v>785236459</v>
      </c>
      <c r="BB42" s="419">
        <v>785236459</v>
      </c>
      <c r="BC42" s="419">
        <v>785236459</v>
      </c>
      <c r="BD42" s="424"/>
      <c r="BE42" s="424"/>
      <c r="BF42" s="424"/>
      <c r="BG42" s="419"/>
      <c r="BH42" s="419"/>
      <c r="BI42" s="419"/>
      <c r="BJ42" s="419"/>
      <c r="BK42" s="419"/>
      <c r="BL42" s="419"/>
      <c r="BM42" s="419"/>
      <c r="BN42" s="419"/>
      <c r="BO42" s="419"/>
      <c r="BP42" s="403">
        <f t="shared" si="11"/>
        <v>785236459</v>
      </c>
      <c r="BQ42" s="403">
        <f t="shared" si="12"/>
        <v>785236459</v>
      </c>
      <c r="BR42" s="403">
        <f t="shared" si="12"/>
        <v>785236459</v>
      </c>
      <c r="BS42" s="349" t="s">
        <v>1656</v>
      </c>
      <c r="BT42" s="5"/>
    </row>
    <row r="43" spans="1:72" ht="130.5" customHeight="1" x14ac:dyDescent="0.2">
      <c r="A43" s="327">
        <v>308</v>
      </c>
      <c r="B43" s="326" t="s">
        <v>1626</v>
      </c>
      <c r="C43" s="323">
        <v>4</v>
      </c>
      <c r="D43" s="417" t="s">
        <v>1620</v>
      </c>
      <c r="E43" s="323">
        <v>45</v>
      </c>
      <c r="F43" s="326" t="s">
        <v>38</v>
      </c>
      <c r="G43" s="323" t="s">
        <v>41</v>
      </c>
      <c r="H43" s="326" t="s">
        <v>1578</v>
      </c>
      <c r="I43" s="323">
        <v>4599</v>
      </c>
      <c r="J43" s="326" t="s">
        <v>1579</v>
      </c>
      <c r="K43" s="326" t="s">
        <v>40</v>
      </c>
      <c r="L43" s="323" t="s">
        <v>41</v>
      </c>
      <c r="M43" s="326" t="s">
        <v>251</v>
      </c>
      <c r="N43" s="435" t="s">
        <v>252</v>
      </c>
      <c r="O43" s="326" t="s">
        <v>162</v>
      </c>
      <c r="P43" s="323" t="s">
        <v>41</v>
      </c>
      <c r="Q43" s="326" t="s">
        <v>253</v>
      </c>
      <c r="R43" s="435">
        <v>459901600</v>
      </c>
      <c r="S43" s="324" t="s">
        <v>162</v>
      </c>
      <c r="T43" s="349" t="s">
        <v>1689</v>
      </c>
      <c r="U43" s="103">
        <v>4</v>
      </c>
      <c r="V43" s="103">
        <v>0</v>
      </c>
      <c r="W43" s="349" t="s">
        <v>254</v>
      </c>
      <c r="X43" s="324" t="s">
        <v>1478</v>
      </c>
      <c r="Y43" s="324" t="s">
        <v>255</v>
      </c>
      <c r="Z43" s="444"/>
      <c r="AA43" s="444"/>
      <c r="AB43" s="444"/>
      <c r="AC43" s="419"/>
      <c r="AD43" s="419"/>
      <c r="AE43" s="419"/>
      <c r="AF43" s="419"/>
      <c r="AG43" s="419"/>
      <c r="AH43" s="419"/>
      <c r="AI43" s="419"/>
      <c r="AJ43" s="419"/>
      <c r="AK43" s="419"/>
      <c r="AL43" s="419"/>
      <c r="AM43" s="419"/>
      <c r="AN43" s="419"/>
      <c r="AO43" s="419"/>
      <c r="AP43" s="419"/>
      <c r="AQ43" s="419"/>
      <c r="AR43" s="419"/>
      <c r="AS43" s="419"/>
      <c r="AT43" s="419"/>
      <c r="AU43" s="419"/>
      <c r="AV43" s="419"/>
      <c r="AW43" s="419"/>
      <c r="AX43" s="419"/>
      <c r="AY43" s="419"/>
      <c r="AZ43" s="419"/>
      <c r="BA43" s="419"/>
      <c r="BB43" s="419"/>
      <c r="BC43" s="419"/>
      <c r="BD43" s="424">
        <f>40000000+60660648</f>
        <v>100660648</v>
      </c>
      <c r="BE43" s="424">
        <v>1268000</v>
      </c>
      <c r="BF43" s="424">
        <v>1268000</v>
      </c>
      <c r="BG43" s="453"/>
      <c r="BH43" s="453"/>
      <c r="BI43" s="453"/>
      <c r="BJ43" s="419"/>
      <c r="BK43" s="419"/>
      <c r="BL43" s="419"/>
      <c r="BM43" s="419"/>
      <c r="BN43" s="419"/>
      <c r="BO43" s="419"/>
      <c r="BP43" s="403">
        <f t="shared" ref="BP43:BR48" si="14">+Z43+AC43+AF43+AI43+AL43+AO43+AR43+AU43+AX43+BA43+BD43+BG43+BJ43</f>
        <v>100660648</v>
      </c>
      <c r="BQ43" s="403">
        <f t="shared" si="14"/>
        <v>1268000</v>
      </c>
      <c r="BR43" s="403">
        <f t="shared" si="14"/>
        <v>1268000</v>
      </c>
      <c r="BS43" s="349" t="s">
        <v>1656</v>
      </c>
      <c r="BT43" s="5"/>
    </row>
    <row r="44" spans="1:72" ht="147.75" customHeight="1" x14ac:dyDescent="0.2">
      <c r="A44" s="327">
        <v>308</v>
      </c>
      <c r="B44" s="326" t="s">
        <v>1626</v>
      </c>
      <c r="C44" s="323">
        <v>4</v>
      </c>
      <c r="D44" s="417" t="s">
        <v>1620</v>
      </c>
      <c r="E44" s="323">
        <v>45</v>
      </c>
      <c r="F44" s="326" t="s">
        <v>38</v>
      </c>
      <c r="G44" s="323">
        <v>4502</v>
      </c>
      <c r="H44" s="326" t="s">
        <v>1574</v>
      </c>
      <c r="I44" s="323">
        <v>4502</v>
      </c>
      <c r="J44" s="326" t="s">
        <v>1575</v>
      </c>
      <c r="K44" s="326" t="s">
        <v>70</v>
      </c>
      <c r="L44" s="435">
        <v>4502003</v>
      </c>
      <c r="M44" s="434" t="s">
        <v>256</v>
      </c>
      <c r="N44" s="435">
        <v>4502003</v>
      </c>
      <c r="O44" s="434" t="s">
        <v>257</v>
      </c>
      <c r="P44" s="435">
        <v>450200300</v>
      </c>
      <c r="Q44" s="434" t="s">
        <v>256</v>
      </c>
      <c r="R44" s="435">
        <v>450200300</v>
      </c>
      <c r="S44" s="434" t="s">
        <v>256</v>
      </c>
      <c r="T44" s="349" t="s">
        <v>1691</v>
      </c>
      <c r="U44" s="103">
        <v>2</v>
      </c>
      <c r="V44" s="103">
        <v>0</v>
      </c>
      <c r="W44" s="349" t="s">
        <v>258</v>
      </c>
      <c r="X44" s="324" t="s">
        <v>259</v>
      </c>
      <c r="Y44" s="324" t="s">
        <v>260</v>
      </c>
      <c r="Z44" s="444"/>
      <c r="AA44" s="444"/>
      <c r="AB44" s="444"/>
      <c r="AC44" s="419"/>
      <c r="AD44" s="419"/>
      <c r="AE44" s="419"/>
      <c r="AF44" s="419"/>
      <c r="AG44" s="419"/>
      <c r="AH44" s="419"/>
      <c r="AI44" s="419"/>
      <c r="AJ44" s="419"/>
      <c r="AK44" s="419"/>
      <c r="AL44" s="419"/>
      <c r="AM44" s="419"/>
      <c r="AN44" s="419"/>
      <c r="AO44" s="419"/>
      <c r="AP44" s="419"/>
      <c r="AQ44" s="419"/>
      <c r="AR44" s="419"/>
      <c r="AS44" s="419"/>
      <c r="AT44" s="419"/>
      <c r="AU44" s="419"/>
      <c r="AV44" s="419"/>
      <c r="AW44" s="419"/>
      <c r="AX44" s="419"/>
      <c r="AY44" s="419"/>
      <c r="AZ44" s="419"/>
      <c r="BA44" s="419"/>
      <c r="BB44" s="419"/>
      <c r="BC44" s="419"/>
      <c r="BD44" s="424">
        <v>38000000</v>
      </c>
      <c r="BE44" s="424">
        <v>31507154.670000002</v>
      </c>
      <c r="BF44" s="424">
        <v>0</v>
      </c>
      <c r="BG44" s="428"/>
      <c r="BH44" s="428"/>
      <c r="BI44" s="428"/>
      <c r="BJ44" s="419"/>
      <c r="BK44" s="419"/>
      <c r="BL44" s="419"/>
      <c r="BM44" s="419"/>
      <c r="BN44" s="419"/>
      <c r="BO44" s="419"/>
      <c r="BP44" s="403">
        <f t="shared" si="14"/>
        <v>38000000</v>
      </c>
      <c r="BQ44" s="403">
        <f t="shared" si="14"/>
        <v>31507154.670000002</v>
      </c>
      <c r="BR44" s="403">
        <f t="shared" si="14"/>
        <v>0</v>
      </c>
      <c r="BS44" s="349" t="s">
        <v>1656</v>
      </c>
      <c r="BT44" s="5"/>
    </row>
    <row r="45" spans="1:72" ht="186" customHeight="1" x14ac:dyDescent="0.2">
      <c r="A45" s="327">
        <v>309</v>
      </c>
      <c r="B45" s="326" t="s">
        <v>1625</v>
      </c>
      <c r="C45" s="323">
        <v>1</v>
      </c>
      <c r="D45" s="417" t="s">
        <v>1622</v>
      </c>
      <c r="E45" s="323">
        <v>12</v>
      </c>
      <c r="F45" s="326" t="s">
        <v>137</v>
      </c>
      <c r="G45" s="323">
        <v>1202</v>
      </c>
      <c r="H45" s="326" t="s">
        <v>1581</v>
      </c>
      <c r="I45" s="323">
        <v>1202</v>
      </c>
      <c r="J45" s="326" t="s">
        <v>1580</v>
      </c>
      <c r="K45" s="326" t="s">
        <v>139</v>
      </c>
      <c r="L45" s="323">
        <v>1202004</v>
      </c>
      <c r="M45" s="326" t="s">
        <v>262</v>
      </c>
      <c r="N45" s="323">
        <v>1202004</v>
      </c>
      <c r="O45" s="326" t="s">
        <v>262</v>
      </c>
      <c r="P45" s="435">
        <v>120200400</v>
      </c>
      <c r="Q45" s="443" t="s">
        <v>105</v>
      </c>
      <c r="R45" s="435">
        <v>120200400</v>
      </c>
      <c r="S45" s="443" t="s">
        <v>105</v>
      </c>
      <c r="T45" s="349" t="s">
        <v>1689</v>
      </c>
      <c r="U45" s="103">
        <v>12</v>
      </c>
      <c r="V45" s="103">
        <v>12</v>
      </c>
      <c r="W45" s="349" t="s">
        <v>263</v>
      </c>
      <c r="X45" s="324" t="s">
        <v>1479</v>
      </c>
      <c r="Y45" s="324" t="s">
        <v>264</v>
      </c>
      <c r="Z45" s="419"/>
      <c r="AA45" s="419"/>
      <c r="AB45" s="419"/>
      <c r="AC45" s="454"/>
      <c r="AD45" s="454"/>
      <c r="AE45" s="454"/>
      <c r="AF45" s="419"/>
      <c r="AG45" s="419"/>
      <c r="AH45" s="419"/>
      <c r="AI45" s="419"/>
      <c r="AJ45" s="419"/>
      <c r="AK45" s="419"/>
      <c r="AL45" s="419"/>
      <c r="AM45" s="419"/>
      <c r="AN45" s="419"/>
      <c r="AO45" s="419"/>
      <c r="AP45" s="419"/>
      <c r="AQ45" s="419"/>
      <c r="AR45" s="419"/>
      <c r="AS45" s="419"/>
      <c r="AT45" s="419"/>
      <c r="AU45" s="419"/>
      <c r="AV45" s="419"/>
      <c r="AW45" s="419"/>
      <c r="AX45" s="419"/>
      <c r="AY45" s="419"/>
      <c r="AZ45" s="419"/>
      <c r="BA45" s="419"/>
      <c r="BB45" s="419"/>
      <c r="BC45" s="419"/>
      <c r="BD45" s="424">
        <f>114000000+35000000</f>
        <v>149000000</v>
      </c>
      <c r="BE45" s="424">
        <v>117985000</v>
      </c>
      <c r="BF45" s="424">
        <v>104445000</v>
      </c>
      <c r="BG45" s="419"/>
      <c r="BH45" s="419"/>
      <c r="BI45" s="419"/>
      <c r="BJ45" s="419"/>
      <c r="BK45" s="419"/>
      <c r="BL45" s="419"/>
      <c r="BM45" s="419"/>
      <c r="BN45" s="419"/>
      <c r="BO45" s="419"/>
      <c r="BP45" s="403">
        <f t="shared" si="14"/>
        <v>149000000</v>
      </c>
      <c r="BQ45" s="403">
        <f t="shared" si="14"/>
        <v>117985000</v>
      </c>
      <c r="BR45" s="403">
        <f t="shared" si="14"/>
        <v>104445000</v>
      </c>
      <c r="BS45" s="349" t="s">
        <v>1657</v>
      </c>
      <c r="BT45" s="5"/>
    </row>
    <row r="46" spans="1:72" ht="186" customHeight="1" x14ac:dyDescent="0.2">
      <c r="A46" s="327">
        <v>309</v>
      </c>
      <c r="B46" s="326" t="s">
        <v>1625</v>
      </c>
      <c r="C46" s="323">
        <v>1</v>
      </c>
      <c r="D46" s="417" t="s">
        <v>1622</v>
      </c>
      <c r="E46" s="323">
        <v>12</v>
      </c>
      <c r="F46" s="326" t="s">
        <v>137</v>
      </c>
      <c r="G46" s="323">
        <v>1203</v>
      </c>
      <c r="H46" s="326" t="s">
        <v>265</v>
      </c>
      <c r="I46" s="323">
        <v>1203</v>
      </c>
      <c r="J46" s="326" t="s">
        <v>1618</v>
      </c>
      <c r="K46" s="326" t="s">
        <v>139</v>
      </c>
      <c r="L46" s="323">
        <v>1203002</v>
      </c>
      <c r="M46" s="326" t="s">
        <v>266</v>
      </c>
      <c r="N46" s="323">
        <v>1203002</v>
      </c>
      <c r="O46" s="326" t="s">
        <v>266</v>
      </c>
      <c r="P46" s="323">
        <v>120300200</v>
      </c>
      <c r="Q46" s="443" t="s">
        <v>267</v>
      </c>
      <c r="R46" s="323">
        <v>120300200</v>
      </c>
      <c r="S46" s="443" t="s">
        <v>267</v>
      </c>
      <c r="T46" s="349" t="s">
        <v>1691</v>
      </c>
      <c r="U46" s="103">
        <v>40</v>
      </c>
      <c r="V46" s="103">
        <v>41</v>
      </c>
      <c r="W46" s="349" t="s">
        <v>268</v>
      </c>
      <c r="X46" s="324" t="s">
        <v>269</v>
      </c>
      <c r="Y46" s="324" t="s">
        <v>270</v>
      </c>
      <c r="Z46" s="419"/>
      <c r="AA46" s="419"/>
      <c r="AB46" s="419"/>
      <c r="AC46" s="403"/>
      <c r="AD46" s="403"/>
      <c r="AE46" s="403"/>
      <c r="AF46" s="419"/>
      <c r="AG46" s="419"/>
      <c r="AH46" s="419"/>
      <c r="AI46" s="419"/>
      <c r="AJ46" s="419"/>
      <c r="AK46" s="419"/>
      <c r="AL46" s="419"/>
      <c r="AM46" s="419"/>
      <c r="AN46" s="419"/>
      <c r="AO46" s="419"/>
      <c r="AP46" s="419"/>
      <c r="AQ46" s="419"/>
      <c r="AR46" s="419"/>
      <c r="AS46" s="419"/>
      <c r="AT46" s="419"/>
      <c r="AU46" s="419"/>
      <c r="AV46" s="419"/>
      <c r="AW46" s="419"/>
      <c r="AX46" s="419"/>
      <c r="AY46" s="419"/>
      <c r="AZ46" s="419"/>
      <c r="BA46" s="419"/>
      <c r="BB46" s="419"/>
      <c r="BC46" s="419"/>
      <c r="BD46" s="424">
        <f>36000000+33028401</f>
        <v>69028401</v>
      </c>
      <c r="BE46" s="424">
        <v>46455000</v>
      </c>
      <c r="BF46" s="424">
        <v>40415000</v>
      </c>
      <c r="BG46" s="419"/>
      <c r="BH46" s="419"/>
      <c r="BI46" s="419"/>
      <c r="BJ46" s="455"/>
      <c r="BK46" s="455"/>
      <c r="BL46" s="455"/>
      <c r="BM46" s="455"/>
      <c r="BN46" s="455"/>
      <c r="BO46" s="455"/>
      <c r="BP46" s="403">
        <f t="shared" si="14"/>
        <v>69028401</v>
      </c>
      <c r="BQ46" s="403">
        <f t="shared" si="14"/>
        <v>46455000</v>
      </c>
      <c r="BR46" s="403">
        <f t="shared" si="14"/>
        <v>40415000</v>
      </c>
      <c r="BS46" s="349" t="s">
        <v>1657</v>
      </c>
      <c r="BT46" s="5"/>
    </row>
    <row r="47" spans="1:72" ht="180" customHeight="1" x14ac:dyDescent="0.2">
      <c r="A47" s="327">
        <v>309</v>
      </c>
      <c r="B47" s="326" t="s">
        <v>1625</v>
      </c>
      <c r="C47" s="323">
        <v>1</v>
      </c>
      <c r="D47" s="417" t="s">
        <v>1622</v>
      </c>
      <c r="E47" s="323">
        <v>12</v>
      </c>
      <c r="F47" s="326" t="s">
        <v>137</v>
      </c>
      <c r="G47" s="323">
        <v>1206</v>
      </c>
      <c r="H47" s="326" t="s">
        <v>271</v>
      </c>
      <c r="I47" s="323">
        <v>1206</v>
      </c>
      <c r="J47" s="326" t="s">
        <v>1582</v>
      </c>
      <c r="K47" s="326" t="s">
        <v>139</v>
      </c>
      <c r="L47" s="323">
        <v>1206005</v>
      </c>
      <c r="M47" s="326" t="s">
        <v>272</v>
      </c>
      <c r="N47" s="323">
        <v>1206005</v>
      </c>
      <c r="O47" s="326" t="s">
        <v>272</v>
      </c>
      <c r="P47" s="435">
        <v>120600500</v>
      </c>
      <c r="Q47" s="326" t="s">
        <v>273</v>
      </c>
      <c r="R47" s="435">
        <v>120600500</v>
      </c>
      <c r="S47" s="326" t="s">
        <v>273</v>
      </c>
      <c r="T47" s="349" t="s">
        <v>1691</v>
      </c>
      <c r="U47" s="103">
        <v>20</v>
      </c>
      <c r="V47" s="103">
        <v>5</v>
      </c>
      <c r="W47" s="349" t="s">
        <v>274</v>
      </c>
      <c r="X47" s="457" t="s">
        <v>275</v>
      </c>
      <c r="Y47" s="457" t="s">
        <v>276</v>
      </c>
      <c r="Z47" s="419"/>
      <c r="AA47" s="419"/>
      <c r="AB47" s="419"/>
      <c r="AC47" s="458"/>
      <c r="AD47" s="458"/>
      <c r="AE47" s="458"/>
      <c r="AF47" s="419"/>
      <c r="AG47" s="419"/>
      <c r="AH47" s="419"/>
      <c r="AI47" s="419"/>
      <c r="AJ47" s="419"/>
      <c r="AK47" s="419"/>
      <c r="AL47" s="419"/>
      <c r="AM47" s="419"/>
      <c r="AN47" s="419"/>
      <c r="AO47" s="419"/>
      <c r="AP47" s="419"/>
      <c r="AQ47" s="419"/>
      <c r="AR47" s="419"/>
      <c r="AS47" s="419"/>
      <c r="AT47" s="419"/>
      <c r="AU47" s="419"/>
      <c r="AV47" s="419"/>
      <c r="AW47" s="419"/>
      <c r="AX47" s="419"/>
      <c r="AY47" s="419"/>
      <c r="AZ47" s="419"/>
      <c r="BA47" s="419"/>
      <c r="BB47" s="419"/>
      <c r="BC47" s="419"/>
      <c r="BD47" s="424">
        <v>36000000</v>
      </c>
      <c r="BE47" s="424">
        <v>10000000</v>
      </c>
      <c r="BF47" s="424">
        <v>10000000</v>
      </c>
      <c r="BG47" s="419"/>
      <c r="BH47" s="419"/>
      <c r="BI47" s="419"/>
      <c r="BJ47" s="419"/>
      <c r="BK47" s="419"/>
      <c r="BL47" s="419"/>
      <c r="BM47" s="419"/>
      <c r="BN47" s="419"/>
      <c r="BO47" s="419"/>
      <c r="BP47" s="403">
        <f t="shared" si="14"/>
        <v>36000000</v>
      </c>
      <c r="BQ47" s="403">
        <f t="shared" si="14"/>
        <v>10000000</v>
      </c>
      <c r="BR47" s="403">
        <f t="shared" si="14"/>
        <v>10000000</v>
      </c>
      <c r="BS47" s="349" t="s">
        <v>1657</v>
      </c>
      <c r="BT47" s="5"/>
    </row>
    <row r="48" spans="1:72" ht="129.75" customHeight="1" x14ac:dyDescent="0.2">
      <c r="A48" s="327">
        <v>309</v>
      </c>
      <c r="B48" s="326" t="s">
        <v>1625</v>
      </c>
      <c r="C48" s="323">
        <v>1</v>
      </c>
      <c r="D48" s="417" t="s">
        <v>1622</v>
      </c>
      <c r="E48" s="323">
        <v>22</v>
      </c>
      <c r="F48" s="326" t="s">
        <v>156</v>
      </c>
      <c r="G48" s="323">
        <v>2201</v>
      </c>
      <c r="H48" s="326" t="s">
        <v>277</v>
      </c>
      <c r="I48" s="323">
        <v>2201</v>
      </c>
      <c r="J48" s="326" t="s">
        <v>1595</v>
      </c>
      <c r="K48" s="326" t="s">
        <v>278</v>
      </c>
      <c r="L48" s="448">
        <v>2201068</v>
      </c>
      <c r="M48" s="326" t="s">
        <v>279</v>
      </c>
      <c r="N48" s="448">
        <v>2201068</v>
      </c>
      <c r="O48" s="326" t="s">
        <v>279</v>
      </c>
      <c r="P48" s="435">
        <v>220106800</v>
      </c>
      <c r="Q48" s="326" t="s">
        <v>280</v>
      </c>
      <c r="R48" s="435">
        <v>220106800</v>
      </c>
      <c r="S48" s="326" t="s">
        <v>280</v>
      </c>
      <c r="T48" s="349" t="s">
        <v>1691</v>
      </c>
      <c r="U48" s="103">
        <v>70</v>
      </c>
      <c r="V48" s="103">
        <v>36</v>
      </c>
      <c r="W48" s="349" t="s">
        <v>281</v>
      </c>
      <c r="X48" s="324" t="s">
        <v>282</v>
      </c>
      <c r="Y48" s="324" t="s">
        <v>283</v>
      </c>
      <c r="Z48" s="419"/>
      <c r="AA48" s="419"/>
      <c r="AB48" s="419"/>
      <c r="AC48" s="419"/>
      <c r="AD48" s="419"/>
      <c r="AE48" s="419"/>
      <c r="AF48" s="419"/>
      <c r="AG48" s="419"/>
      <c r="AH48" s="419"/>
      <c r="AI48" s="419"/>
      <c r="AJ48" s="419"/>
      <c r="AK48" s="419"/>
      <c r="AL48" s="419"/>
      <c r="AM48" s="419"/>
      <c r="AN48" s="419"/>
      <c r="AO48" s="419"/>
      <c r="AP48" s="419"/>
      <c r="AQ48" s="419"/>
      <c r="AR48" s="419"/>
      <c r="AS48" s="419"/>
      <c r="AT48" s="419"/>
      <c r="AU48" s="419"/>
      <c r="AV48" s="419"/>
      <c r="AW48" s="419"/>
      <c r="AX48" s="419"/>
      <c r="AY48" s="419"/>
      <c r="AZ48" s="419"/>
      <c r="BA48" s="419"/>
      <c r="BB48" s="419"/>
      <c r="BC48" s="419"/>
      <c r="BD48" s="424">
        <f>30000000+36000000+58287500</f>
        <v>124287500</v>
      </c>
      <c r="BE48" s="424">
        <v>49302500</v>
      </c>
      <c r="BF48" s="424">
        <v>36317500</v>
      </c>
      <c r="BG48" s="419"/>
      <c r="BH48" s="419"/>
      <c r="BI48" s="419"/>
      <c r="BJ48" s="419"/>
      <c r="BK48" s="419"/>
      <c r="BL48" s="419"/>
      <c r="BM48" s="419"/>
      <c r="BN48" s="419"/>
      <c r="BO48" s="419"/>
      <c r="BP48" s="403">
        <f t="shared" si="14"/>
        <v>124287500</v>
      </c>
      <c r="BQ48" s="403">
        <f t="shared" si="14"/>
        <v>49302500</v>
      </c>
      <c r="BR48" s="403">
        <f t="shared" si="14"/>
        <v>36317500</v>
      </c>
      <c r="BS48" s="349" t="s">
        <v>1657</v>
      </c>
      <c r="BT48" s="5"/>
    </row>
    <row r="49" spans="1:72" ht="140.25" customHeight="1" x14ac:dyDescent="0.2">
      <c r="A49" s="327">
        <v>309</v>
      </c>
      <c r="B49" s="326" t="s">
        <v>1625</v>
      </c>
      <c r="C49" s="323">
        <v>1</v>
      </c>
      <c r="D49" s="417" t="s">
        <v>1622</v>
      </c>
      <c r="E49" s="323">
        <v>41</v>
      </c>
      <c r="F49" s="326" t="s">
        <v>284</v>
      </c>
      <c r="G49" s="323">
        <v>4101</v>
      </c>
      <c r="H49" s="326" t="s">
        <v>285</v>
      </c>
      <c r="I49" s="323">
        <v>4101</v>
      </c>
      <c r="J49" s="326" t="s">
        <v>1613</v>
      </c>
      <c r="K49" s="326" t="s">
        <v>286</v>
      </c>
      <c r="L49" s="435">
        <v>4101023</v>
      </c>
      <c r="M49" s="326" t="s">
        <v>287</v>
      </c>
      <c r="N49" s="435">
        <v>4101023</v>
      </c>
      <c r="O49" s="326" t="s">
        <v>287</v>
      </c>
      <c r="P49" s="435">
        <v>410102300</v>
      </c>
      <c r="Q49" s="443" t="s">
        <v>288</v>
      </c>
      <c r="R49" s="435">
        <v>410102300</v>
      </c>
      <c r="S49" s="443" t="s">
        <v>288</v>
      </c>
      <c r="T49" s="349" t="s">
        <v>1691</v>
      </c>
      <c r="U49" s="103">
        <v>500</v>
      </c>
      <c r="V49" s="103">
        <v>400</v>
      </c>
      <c r="W49" s="427" t="s">
        <v>289</v>
      </c>
      <c r="X49" s="324" t="s">
        <v>290</v>
      </c>
      <c r="Y49" s="452" t="s">
        <v>291</v>
      </c>
      <c r="Z49" s="419"/>
      <c r="AA49" s="419"/>
      <c r="AB49" s="419"/>
      <c r="AC49" s="419"/>
      <c r="AD49" s="419"/>
      <c r="AE49" s="419"/>
      <c r="AF49" s="419"/>
      <c r="AG49" s="419"/>
      <c r="AH49" s="419"/>
      <c r="AI49" s="419"/>
      <c r="AJ49" s="419"/>
      <c r="AK49" s="419"/>
      <c r="AL49" s="419"/>
      <c r="AM49" s="419"/>
      <c r="AN49" s="419"/>
      <c r="AO49" s="419"/>
      <c r="AP49" s="419"/>
      <c r="AQ49" s="419"/>
      <c r="AR49" s="419"/>
      <c r="AS49" s="419"/>
      <c r="AT49" s="419"/>
      <c r="AU49" s="419"/>
      <c r="AV49" s="419"/>
      <c r="AW49" s="419"/>
      <c r="AX49" s="419"/>
      <c r="AY49" s="419"/>
      <c r="AZ49" s="419"/>
      <c r="BA49" s="419"/>
      <c r="BB49" s="419"/>
      <c r="BC49" s="419"/>
      <c r="BD49" s="424">
        <f>70000000+195000000</f>
        <v>265000000</v>
      </c>
      <c r="BE49" s="424">
        <v>112965000</v>
      </c>
      <c r="BF49" s="424">
        <v>85664239</v>
      </c>
      <c r="BG49" s="419"/>
      <c r="BH49" s="419"/>
      <c r="BI49" s="419"/>
      <c r="BJ49" s="419"/>
      <c r="BK49" s="419"/>
      <c r="BL49" s="419"/>
      <c r="BM49" s="419"/>
      <c r="BN49" s="419"/>
      <c r="BO49" s="419"/>
      <c r="BP49" s="403">
        <f t="shared" ref="BP49:BR53" si="15">+Z49+AC49+AF49+AI49+AL49+AO49+AR49+AU49+AX49+BA49+BD49+BG49+BJ49</f>
        <v>265000000</v>
      </c>
      <c r="BQ49" s="403">
        <f t="shared" si="15"/>
        <v>112965000</v>
      </c>
      <c r="BR49" s="403">
        <f t="shared" si="15"/>
        <v>85664239</v>
      </c>
      <c r="BS49" s="349" t="s">
        <v>1657</v>
      </c>
      <c r="BT49" s="5"/>
    </row>
    <row r="50" spans="1:72" ht="115.5" customHeight="1" x14ac:dyDescent="0.2">
      <c r="A50" s="327">
        <v>309</v>
      </c>
      <c r="B50" s="326" t="s">
        <v>1625</v>
      </c>
      <c r="C50" s="323">
        <v>1</v>
      </c>
      <c r="D50" s="417" t="s">
        <v>1622</v>
      </c>
      <c r="E50" s="323">
        <v>41</v>
      </c>
      <c r="F50" s="326" t="s">
        <v>284</v>
      </c>
      <c r="G50" s="323">
        <v>4101</v>
      </c>
      <c r="H50" s="326" t="s">
        <v>285</v>
      </c>
      <c r="I50" s="323">
        <v>4101</v>
      </c>
      <c r="J50" s="326" t="s">
        <v>1613</v>
      </c>
      <c r="K50" s="326" t="s">
        <v>286</v>
      </c>
      <c r="L50" s="99">
        <v>4101025</v>
      </c>
      <c r="M50" s="326" t="s">
        <v>292</v>
      </c>
      <c r="N50" s="435">
        <v>4101025</v>
      </c>
      <c r="O50" s="326" t="s">
        <v>292</v>
      </c>
      <c r="P50" s="435">
        <v>410102511</v>
      </c>
      <c r="Q50" s="326" t="s">
        <v>293</v>
      </c>
      <c r="R50" s="435">
        <v>410102511</v>
      </c>
      <c r="S50" s="326" t="s">
        <v>293</v>
      </c>
      <c r="T50" s="349" t="s">
        <v>1691</v>
      </c>
      <c r="U50" s="103">
        <v>100</v>
      </c>
      <c r="V50" s="103">
        <v>69</v>
      </c>
      <c r="W50" s="427" t="s">
        <v>289</v>
      </c>
      <c r="X50" s="324" t="s">
        <v>290</v>
      </c>
      <c r="Y50" s="452" t="s">
        <v>291</v>
      </c>
      <c r="Z50" s="419"/>
      <c r="AA50" s="419"/>
      <c r="AB50" s="419"/>
      <c r="AC50" s="419"/>
      <c r="AD50" s="419"/>
      <c r="AE50" s="419"/>
      <c r="AF50" s="419"/>
      <c r="AG50" s="419"/>
      <c r="AH50" s="419"/>
      <c r="AI50" s="419"/>
      <c r="AJ50" s="419"/>
      <c r="AK50" s="419"/>
      <c r="AL50" s="419"/>
      <c r="AM50" s="419"/>
      <c r="AN50" s="419"/>
      <c r="AO50" s="419"/>
      <c r="AP50" s="419"/>
      <c r="AQ50" s="419"/>
      <c r="AR50" s="419"/>
      <c r="AS50" s="419"/>
      <c r="AT50" s="419"/>
      <c r="AU50" s="419"/>
      <c r="AV50" s="419"/>
      <c r="AW50" s="419"/>
      <c r="AX50" s="419"/>
      <c r="AY50" s="419"/>
      <c r="AZ50" s="419"/>
      <c r="BA50" s="419"/>
      <c r="BB50" s="419"/>
      <c r="BC50" s="419"/>
      <c r="BD50" s="424">
        <f>40000000+12000000</f>
        <v>52000000</v>
      </c>
      <c r="BE50" s="424">
        <v>24058792</v>
      </c>
      <c r="BF50" s="424">
        <v>13314877</v>
      </c>
      <c r="BG50" s="419"/>
      <c r="BH50" s="419"/>
      <c r="BI50" s="419"/>
      <c r="BJ50" s="419"/>
      <c r="BK50" s="419"/>
      <c r="BL50" s="419"/>
      <c r="BM50" s="419"/>
      <c r="BN50" s="419"/>
      <c r="BO50" s="419"/>
      <c r="BP50" s="403">
        <f t="shared" si="15"/>
        <v>52000000</v>
      </c>
      <c r="BQ50" s="403">
        <f t="shared" si="15"/>
        <v>24058792</v>
      </c>
      <c r="BR50" s="403">
        <f t="shared" si="15"/>
        <v>13314877</v>
      </c>
      <c r="BS50" s="349" t="s">
        <v>1657</v>
      </c>
      <c r="BT50" s="5"/>
    </row>
    <row r="51" spans="1:72" ht="117.75" customHeight="1" x14ac:dyDescent="0.2">
      <c r="A51" s="327">
        <v>309</v>
      </c>
      <c r="B51" s="326" t="s">
        <v>1625</v>
      </c>
      <c r="C51" s="323">
        <v>1</v>
      </c>
      <c r="D51" s="417" t="s">
        <v>1622</v>
      </c>
      <c r="E51" s="323">
        <v>41</v>
      </c>
      <c r="F51" s="326" t="s">
        <v>284</v>
      </c>
      <c r="G51" s="323">
        <v>4101</v>
      </c>
      <c r="H51" s="326" t="s">
        <v>285</v>
      </c>
      <c r="I51" s="323">
        <v>4101</v>
      </c>
      <c r="J51" s="326" t="s">
        <v>1613</v>
      </c>
      <c r="K51" s="326" t="s">
        <v>286</v>
      </c>
      <c r="L51" s="435">
        <v>4101038</v>
      </c>
      <c r="M51" s="326" t="s">
        <v>294</v>
      </c>
      <c r="N51" s="435">
        <v>4101038</v>
      </c>
      <c r="O51" s="326" t="s">
        <v>294</v>
      </c>
      <c r="P51" s="435">
        <v>410103800</v>
      </c>
      <c r="Q51" s="326" t="s">
        <v>295</v>
      </c>
      <c r="R51" s="435">
        <v>410103800</v>
      </c>
      <c r="S51" s="326" t="s">
        <v>295</v>
      </c>
      <c r="T51" s="349" t="s">
        <v>1691</v>
      </c>
      <c r="U51" s="103">
        <v>12</v>
      </c>
      <c r="V51" s="103">
        <v>10</v>
      </c>
      <c r="W51" s="427" t="s">
        <v>289</v>
      </c>
      <c r="X51" s="324" t="s">
        <v>290</v>
      </c>
      <c r="Y51" s="452" t="s">
        <v>291</v>
      </c>
      <c r="Z51" s="419"/>
      <c r="AA51" s="419"/>
      <c r="AB51" s="419"/>
      <c r="AC51" s="419"/>
      <c r="AD51" s="419"/>
      <c r="AE51" s="419"/>
      <c r="AF51" s="419"/>
      <c r="AG51" s="419"/>
      <c r="AH51" s="419"/>
      <c r="AI51" s="419"/>
      <c r="AJ51" s="419"/>
      <c r="AK51" s="419"/>
      <c r="AL51" s="419"/>
      <c r="AM51" s="419"/>
      <c r="AN51" s="419"/>
      <c r="AO51" s="419"/>
      <c r="AP51" s="419"/>
      <c r="AQ51" s="419"/>
      <c r="AR51" s="419"/>
      <c r="AS51" s="419"/>
      <c r="AT51" s="419"/>
      <c r="AU51" s="419"/>
      <c r="AV51" s="419"/>
      <c r="AW51" s="419"/>
      <c r="AX51" s="419"/>
      <c r="AY51" s="419"/>
      <c r="AZ51" s="419"/>
      <c r="BA51" s="419"/>
      <c r="BB51" s="419"/>
      <c r="BC51" s="419"/>
      <c r="BD51" s="424">
        <f>41000000+6000000</f>
        <v>47000000</v>
      </c>
      <c r="BE51" s="424">
        <v>29188523</v>
      </c>
      <c r="BF51" s="424">
        <v>25188523</v>
      </c>
      <c r="BG51" s="419"/>
      <c r="BH51" s="419"/>
      <c r="BI51" s="419"/>
      <c r="BJ51" s="419"/>
      <c r="BK51" s="419"/>
      <c r="BL51" s="419"/>
      <c r="BM51" s="419"/>
      <c r="BN51" s="419"/>
      <c r="BO51" s="419"/>
      <c r="BP51" s="403">
        <f t="shared" si="15"/>
        <v>47000000</v>
      </c>
      <c r="BQ51" s="403">
        <f t="shared" si="15"/>
        <v>29188523</v>
      </c>
      <c r="BR51" s="403">
        <f t="shared" si="15"/>
        <v>25188523</v>
      </c>
      <c r="BS51" s="349" t="s">
        <v>1657</v>
      </c>
      <c r="BT51" s="5"/>
    </row>
    <row r="52" spans="1:72" ht="109.5" customHeight="1" x14ac:dyDescent="0.2">
      <c r="A52" s="327">
        <v>309</v>
      </c>
      <c r="B52" s="326" t="s">
        <v>1625</v>
      </c>
      <c r="C52" s="323">
        <v>1</v>
      </c>
      <c r="D52" s="417" t="s">
        <v>1622</v>
      </c>
      <c r="E52" s="323">
        <v>41</v>
      </c>
      <c r="F52" s="326" t="s">
        <v>284</v>
      </c>
      <c r="G52" s="323">
        <v>4101</v>
      </c>
      <c r="H52" s="326" t="s">
        <v>285</v>
      </c>
      <c r="I52" s="323">
        <v>4101</v>
      </c>
      <c r="J52" s="326" t="s">
        <v>1613</v>
      </c>
      <c r="K52" s="326" t="s">
        <v>296</v>
      </c>
      <c r="L52" s="435">
        <v>4101073</v>
      </c>
      <c r="M52" s="326" t="s">
        <v>297</v>
      </c>
      <c r="N52" s="435">
        <v>4101073</v>
      </c>
      <c r="O52" s="326" t="s">
        <v>297</v>
      </c>
      <c r="P52" s="435">
        <v>410107300</v>
      </c>
      <c r="Q52" s="326" t="s">
        <v>298</v>
      </c>
      <c r="R52" s="435">
        <v>410107300</v>
      </c>
      <c r="S52" s="326" t="s">
        <v>298</v>
      </c>
      <c r="T52" s="349" t="s">
        <v>1691</v>
      </c>
      <c r="U52" s="103">
        <v>30</v>
      </c>
      <c r="V52" s="103">
        <v>30</v>
      </c>
      <c r="W52" s="427" t="s">
        <v>289</v>
      </c>
      <c r="X52" s="324" t="s">
        <v>290</v>
      </c>
      <c r="Y52" s="452" t="s">
        <v>291</v>
      </c>
      <c r="Z52" s="419"/>
      <c r="AA52" s="419"/>
      <c r="AB52" s="419"/>
      <c r="AC52" s="419"/>
      <c r="AD52" s="419"/>
      <c r="AE52" s="419"/>
      <c r="AF52" s="419"/>
      <c r="AG52" s="419"/>
      <c r="AH52" s="419"/>
      <c r="AI52" s="419"/>
      <c r="AJ52" s="419"/>
      <c r="AK52" s="419"/>
      <c r="AL52" s="419"/>
      <c r="AM52" s="419"/>
      <c r="AN52" s="419"/>
      <c r="AO52" s="419"/>
      <c r="AP52" s="419"/>
      <c r="AQ52" s="419"/>
      <c r="AR52" s="419"/>
      <c r="AS52" s="419"/>
      <c r="AT52" s="419"/>
      <c r="AU52" s="419"/>
      <c r="AV52" s="419"/>
      <c r="AW52" s="419"/>
      <c r="AX52" s="419"/>
      <c r="AY52" s="419"/>
      <c r="AZ52" s="419"/>
      <c r="BA52" s="419"/>
      <c r="BB52" s="419"/>
      <c r="BC52" s="419"/>
      <c r="BD52" s="424">
        <f>40000000+96707113</f>
        <v>136707113</v>
      </c>
      <c r="BE52" s="424">
        <v>72797654</v>
      </c>
      <c r="BF52" s="424">
        <v>36241462.950000003</v>
      </c>
      <c r="BG52" s="419"/>
      <c r="BH52" s="419"/>
      <c r="BI52" s="419"/>
      <c r="BJ52" s="419"/>
      <c r="BK52" s="419"/>
      <c r="BL52" s="419"/>
      <c r="BM52" s="419"/>
      <c r="BN52" s="419"/>
      <c r="BO52" s="419"/>
      <c r="BP52" s="403">
        <f t="shared" si="15"/>
        <v>136707113</v>
      </c>
      <c r="BQ52" s="403">
        <f t="shared" si="15"/>
        <v>72797654</v>
      </c>
      <c r="BR52" s="403">
        <f t="shared" si="15"/>
        <v>36241462.950000003</v>
      </c>
      <c r="BS52" s="349" t="s">
        <v>1657</v>
      </c>
      <c r="BT52" s="5"/>
    </row>
    <row r="53" spans="1:72" ht="90" x14ac:dyDescent="0.2">
      <c r="A53" s="327">
        <v>309</v>
      </c>
      <c r="B53" s="326" t="s">
        <v>1625</v>
      </c>
      <c r="C53" s="323">
        <v>1</v>
      </c>
      <c r="D53" s="417" t="s">
        <v>1622</v>
      </c>
      <c r="E53" s="323">
        <v>41</v>
      </c>
      <c r="F53" s="326" t="s">
        <v>284</v>
      </c>
      <c r="G53" s="323">
        <v>4101</v>
      </c>
      <c r="H53" s="326" t="s">
        <v>285</v>
      </c>
      <c r="I53" s="323">
        <v>4101</v>
      </c>
      <c r="J53" s="326" t="s">
        <v>1613</v>
      </c>
      <c r="K53" s="326" t="s">
        <v>299</v>
      </c>
      <c r="L53" s="435">
        <v>4101011</v>
      </c>
      <c r="M53" s="326" t="s">
        <v>300</v>
      </c>
      <c r="N53" s="435">
        <v>4101011</v>
      </c>
      <c r="O53" s="326" t="s">
        <v>300</v>
      </c>
      <c r="P53" s="435">
        <v>410101100</v>
      </c>
      <c r="Q53" s="326" t="s">
        <v>301</v>
      </c>
      <c r="R53" s="435">
        <v>410101100</v>
      </c>
      <c r="S53" s="326" t="s">
        <v>301</v>
      </c>
      <c r="T53" s="349" t="s">
        <v>1691</v>
      </c>
      <c r="U53" s="103">
        <v>2</v>
      </c>
      <c r="V53" s="103">
        <v>1</v>
      </c>
      <c r="W53" s="427" t="s">
        <v>289</v>
      </c>
      <c r="X53" s="324" t="s">
        <v>290</v>
      </c>
      <c r="Y53" s="452" t="s">
        <v>291</v>
      </c>
      <c r="Z53" s="419"/>
      <c r="AA53" s="419"/>
      <c r="AB53" s="419"/>
      <c r="AC53" s="419"/>
      <c r="AD53" s="419"/>
      <c r="AE53" s="419"/>
      <c r="AF53" s="419"/>
      <c r="AG53" s="419"/>
      <c r="AH53" s="419"/>
      <c r="AI53" s="419"/>
      <c r="AJ53" s="419"/>
      <c r="AK53" s="419"/>
      <c r="AL53" s="419"/>
      <c r="AM53" s="419"/>
      <c r="AN53" s="419"/>
      <c r="AO53" s="419"/>
      <c r="AP53" s="419"/>
      <c r="AQ53" s="419"/>
      <c r="AR53" s="419"/>
      <c r="AS53" s="419"/>
      <c r="AT53" s="419"/>
      <c r="AU53" s="419"/>
      <c r="AV53" s="419"/>
      <c r="AW53" s="419"/>
      <c r="AX53" s="419"/>
      <c r="AY53" s="419"/>
      <c r="AZ53" s="419"/>
      <c r="BA53" s="419"/>
      <c r="BB53" s="419"/>
      <c r="BC53" s="419"/>
      <c r="BD53" s="424">
        <f>15000000+32000000</f>
        <v>47000000</v>
      </c>
      <c r="BE53" s="424">
        <v>6923000</v>
      </c>
      <c r="BF53" s="424">
        <v>3000000</v>
      </c>
      <c r="BG53" s="419"/>
      <c r="BH53" s="419"/>
      <c r="BI53" s="419"/>
      <c r="BJ53" s="419"/>
      <c r="BK53" s="419"/>
      <c r="BL53" s="419"/>
      <c r="BM53" s="419"/>
      <c r="BN53" s="419"/>
      <c r="BO53" s="419"/>
      <c r="BP53" s="403">
        <f t="shared" si="15"/>
        <v>47000000</v>
      </c>
      <c r="BQ53" s="403">
        <f t="shared" si="15"/>
        <v>6923000</v>
      </c>
      <c r="BR53" s="403">
        <f t="shared" si="15"/>
        <v>3000000</v>
      </c>
      <c r="BS53" s="349" t="s">
        <v>1657</v>
      </c>
      <c r="BT53" s="5"/>
    </row>
    <row r="54" spans="1:72" ht="129.75" customHeight="1" x14ac:dyDescent="0.2">
      <c r="A54" s="327">
        <v>309</v>
      </c>
      <c r="B54" s="326" t="s">
        <v>1625</v>
      </c>
      <c r="C54" s="323">
        <v>1</v>
      </c>
      <c r="D54" s="417" t="s">
        <v>1622</v>
      </c>
      <c r="E54" s="323">
        <v>41</v>
      </c>
      <c r="F54" s="326" t="s">
        <v>284</v>
      </c>
      <c r="G54" s="323">
        <v>4103</v>
      </c>
      <c r="H54" s="326" t="s">
        <v>302</v>
      </c>
      <c r="I54" s="323">
        <v>4103</v>
      </c>
      <c r="J54" s="326" t="s">
        <v>1614</v>
      </c>
      <c r="K54" s="326" t="s">
        <v>303</v>
      </c>
      <c r="L54" s="323" t="s">
        <v>41</v>
      </c>
      <c r="M54" s="326" t="s">
        <v>304</v>
      </c>
      <c r="N54" s="435">
        <v>4103052</v>
      </c>
      <c r="O54" s="326" t="s">
        <v>305</v>
      </c>
      <c r="P54" s="323" t="s">
        <v>41</v>
      </c>
      <c r="Q54" s="326" t="s">
        <v>306</v>
      </c>
      <c r="R54" s="435">
        <v>410305201</v>
      </c>
      <c r="S54" s="326" t="s">
        <v>307</v>
      </c>
      <c r="T54" s="349" t="s">
        <v>1691</v>
      </c>
      <c r="U54" s="103">
        <v>25</v>
      </c>
      <c r="V54" s="103">
        <v>18</v>
      </c>
      <c r="W54" s="349" t="s">
        <v>308</v>
      </c>
      <c r="X54" s="326" t="s">
        <v>309</v>
      </c>
      <c r="Y54" s="326" t="s">
        <v>310</v>
      </c>
      <c r="Z54" s="419"/>
      <c r="AA54" s="419"/>
      <c r="AB54" s="419"/>
      <c r="AC54" s="419"/>
      <c r="AD54" s="419"/>
      <c r="AE54" s="419"/>
      <c r="AF54" s="419"/>
      <c r="AG54" s="419"/>
      <c r="AH54" s="419"/>
      <c r="AI54" s="419"/>
      <c r="AJ54" s="419"/>
      <c r="AK54" s="419"/>
      <c r="AL54" s="419"/>
      <c r="AM54" s="419"/>
      <c r="AN54" s="419"/>
      <c r="AO54" s="419"/>
      <c r="AP54" s="419"/>
      <c r="AQ54" s="419"/>
      <c r="AR54" s="419"/>
      <c r="AS54" s="419"/>
      <c r="AT54" s="419"/>
      <c r="AU54" s="419"/>
      <c r="AV54" s="419"/>
      <c r="AW54" s="419"/>
      <c r="AX54" s="419"/>
      <c r="AY54" s="419"/>
      <c r="AZ54" s="419"/>
      <c r="BA54" s="419"/>
      <c r="BB54" s="419"/>
      <c r="BC54" s="419"/>
      <c r="BD54" s="424">
        <f>18000000+16027629</f>
        <v>34027629</v>
      </c>
      <c r="BE54" s="424">
        <v>9341129</v>
      </c>
      <c r="BF54" s="424">
        <v>5000000</v>
      </c>
      <c r="BG54" s="419"/>
      <c r="BH54" s="419"/>
      <c r="BI54" s="419"/>
      <c r="BJ54" s="419"/>
      <c r="BK54" s="419"/>
      <c r="BL54" s="419"/>
      <c r="BM54" s="419"/>
      <c r="BN54" s="419"/>
      <c r="BO54" s="419"/>
      <c r="BP54" s="403">
        <f>+Z54+AC54+AF54+AI54+AL54+AO54+AR54+AU54+AX54+BA54+BD54+BG54+BJ54</f>
        <v>34027629</v>
      </c>
      <c r="BQ54" s="403">
        <f>+AA54+AD54+AG54+AJ54+AM54+AP54+AS54+AV54+AY54+BB54+BE54+BH54+BK54</f>
        <v>9341129</v>
      </c>
      <c r="BR54" s="403">
        <f>+AB54+AE54+AH54+AK54+AN54+AQ54+AT54+AW54+AZ54+BC54+BF54+BI54+BL54</f>
        <v>5000000</v>
      </c>
      <c r="BS54" s="349" t="s">
        <v>1657</v>
      </c>
      <c r="BT54" s="5"/>
    </row>
    <row r="55" spans="1:72" ht="188.25" customHeight="1" x14ac:dyDescent="0.2">
      <c r="A55" s="327">
        <v>309</v>
      </c>
      <c r="B55" s="326" t="s">
        <v>1625</v>
      </c>
      <c r="C55" s="323">
        <v>1</v>
      </c>
      <c r="D55" s="417" t="s">
        <v>1622</v>
      </c>
      <c r="E55" s="323">
        <v>45</v>
      </c>
      <c r="F55" s="326" t="s">
        <v>38</v>
      </c>
      <c r="G55" s="323">
        <v>4501</v>
      </c>
      <c r="H55" s="326" t="s">
        <v>311</v>
      </c>
      <c r="I55" s="323">
        <v>4501</v>
      </c>
      <c r="J55" s="326" t="s">
        <v>1617</v>
      </c>
      <c r="K55" s="326" t="s">
        <v>139</v>
      </c>
      <c r="L55" s="323" t="s">
        <v>41</v>
      </c>
      <c r="M55" s="326" t="s">
        <v>312</v>
      </c>
      <c r="N55" s="435">
        <v>4501029</v>
      </c>
      <c r="O55" s="326" t="s">
        <v>313</v>
      </c>
      <c r="P55" s="323" t="s">
        <v>41</v>
      </c>
      <c r="Q55" s="326" t="s">
        <v>314</v>
      </c>
      <c r="R55" s="435">
        <v>450102900</v>
      </c>
      <c r="S55" s="326" t="s">
        <v>315</v>
      </c>
      <c r="T55" s="349" t="s">
        <v>1691</v>
      </c>
      <c r="U55" s="103">
        <v>5</v>
      </c>
      <c r="V55" s="103">
        <v>4</v>
      </c>
      <c r="W55" s="349" t="s">
        <v>316</v>
      </c>
      <c r="X55" s="326" t="s">
        <v>317</v>
      </c>
      <c r="Y55" s="326" t="s">
        <v>318</v>
      </c>
      <c r="Z55" s="419"/>
      <c r="AA55" s="419"/>
      <c r="AB55" s="419"/>
      <c r="AC55" s="458">
        <f>1648000000+76182726+113264654.33+2550432148</f>
        <v>4387879528.3299999</v>
      </c>
      <c r="AD55" s="458">
        <v>961397333.33000004</v>
      </c>
      <c r="AE55" s="458">
        <v>220105998.36000001</v>
      </c>
      <c r="AF55" s="419"/>
      <c r="AG55" s="419"/>
      <c r="AH55" s="419"/>
      <c r="AI55" s="419"/>
      <c r="AJ55" s="419"/>
      <c r="AK55" s="419"/>
      <c r="AL55" s="419"/>
      <c r="AM55" s="419"/>
      <c r="AN55" s="419"/>
      <c r="AO55" s="419"/>
      <c r="AP55" s="419"/>
      <c r="AQ55" s="419"/>
      <c r="AR55" s="419"/>
      <c r="AS55" s="419"/>
      <c r="AT55" s="419"/>
      <c r="AU55" s="419"/>
      <c r="AV55" s="419"/>
      <c r="AW55" s="419"/>
      <c r="AX55" s="419"/>
      <c r="AY55" s="419"/>
      <c r="AZ55" s="419"/>
      <c r="BA55" s="419"/>
      <c r="BB55" s="419"/>
      <c r="BC55" s="419"/>
      <c r="BD55" s="424"/>
      <c r="BE55" s="424"/>
      <c r="BF55" s="424"/>
      <c r="BG55" s="419"/>
      <c r="BH55" s="419"/>
      <c r="BI55" s="419"/>
      <c r="BJ55" s="419"/>
      <c r="BK55" s="419"/>
      <c r="BL55" s="419"/>
      <c r="BM55" s="419"/>
      <c r="BN55" s="419"/>
      <c r="BO55" s="419"/>
      <c r="BP55" s="403">
        <f t="shared" ref="BP55:BR56" si="16">+Z55+AC55+AF55+AI55+AL55+AO55+AR55+AU55+AX55+BA55+BD55+BG55+BJ55</f>
        <v>4387879528.3299999</v>
      </c>
      <c r="BQ55" s="403">
        <f t="shared" si="16"/>
        <v>961397333.33000004</v>
      </c>
      <c r="BR55" s="403">
        <f t="shared" si="16"/>
        <v>220105998.36000001</v>
      </c>
      <c r="BS55" s="349" t="s">
        <v>1657</v>
      </c>
      <c r="BT55" s="5"/>
    </row>
    <row r="56" spans="1:72" ht="188.25" customHeight="1" x14ac:dyDescent="0.2">
      <c r="A56" s="327">
        <v>309</v>
      </c>
      <c r="B56" s="326" t="s">
        <v>1625</v>
      </c>
      <c r="C56" s="323">
        <v>1</v>
      </c>
      <c r="D56" s="417" t="s">
        <v>1622</v>
      </c>
      <c r="E56" s="323">
        <v>45</v>
      </c>
      <c r="F56" s="326" t="s">
        <v>38</v>
      </c>
      <c r="G56" s="323">
        <v>4501</v>
      </c>
      <c r="H56" s="326" t="s">
        <v>311</v>
      </c>
      <c r="I56" s="323">
        <v>4501</v>
      </c>
      <c r="J56" s="326" t="s">
        <v>1617</v>
      </c>
      <c r="K56" s="326" t="s">
        <v>139</v>
      </c>
      <c r="L56" s="323">
        <v>4501001</v>
      </c>
      <c r="M56" s="459" t="s">
        <v>103</v>
      </c>
      <c r="N56" s="323">
        <v>4501001</v>
      </c>
      <c r="O56" s="459" t="s">
        <v>103</v>
      </c>
      <c r="P56" s="323">
        <v>450100100</v>
      </c>
      <c r="Q56" s="326" t="s">
        <v>1692</v>
      </c>
      <c r="R56" s="323">
        <v>450100100</v>
      </c>
      <c r="S56" s="326" t="s">
        <v>319</v>
      </c>
      <c r="T56" s="349" t="s">
        <v>1691</v>
      </c>
      <c r="U56" s="103">
        <v>12</v>
      </c>
      <c r="V56" s="103">
        <v>12</v>
      </c>
      <c r="W56" s="349" t="s">
        <v>320</v>
      </c>
      <c r="X56" s="326" t="s">
        <v>1480</v>
      </c>
      <c r="Y56" s="459" t="s">
        <v>321</v>
      </c>
      <c r="Z56" s="460">
        <v>0</v>
      </c>
      <c r="AA56" s="324"/>
      <c r="AB56" s="324"/>
      <c r="AC56" s="419">
        <v>0</v>
      </c>
      <c r="AD56" s="419"/>
      <c r="AE56" s="419"/>
      <c r="AF56" s="419">
        <v>0</v>
      </c>
      <c r="AG56" s="419"/>
      <c r="AH56" s="419"/>
      <c r="AI56" s="419">
        <v>0</v>
      </c>
      <c r="AJ56" s="419"/>
      <c r="AK56" s="419"/>
      <c r="AL56" s="419">
        <v>0</v>
      </c>
      <c r="AM56" s="419"/>
      <c r="AN56" s="419"/>
      <c r="AO56" s="419">
        <v>0</v>
      </c>
      <c r="AP56" s="419"/>
      <c r="AQ56" s="419"/>
      <c r="AR56" s="419">
        <v>0</v>
      </c>
      <c r="AS56" s="419"/>
      <c r="AT56" s="419"/>
      <c r="AU56" s="419">
        <v>0</v>
      </c>
      <c r="AV56" s="419"/>
      <c r="AW56" s="419"/>
      <c r="AX56" s="419">
        <v>0</v>
      </c>
      <c r="AY56" s="419"/>
      <c r="AZ56" s="419"/>
      <c r="BA56" s="419">
        <v>0</v>
      </c>
      <c r="BB56" s="419"/>
      <c r="BC56" s="419"/>
      <c r="BD56" s="461">
        <f>36000000+25000000</f>
        <v>61000000</v>
      </c>
      <c r="BE56" s="461">
        <v>39841500</v>
      </c>
      <c r="BF56" s="461">
        <v>22365000</v>
      </c>
      <c r="BG56" s="419">
        <v>0</v>
      </c>
      <c r="BH56" s="419"/>
      <c r="BI56" s="419"/>
      <c r="BJ56" s="419">
        <v>0</v>
      </c>
      <c r="BK56" s="419"/>
      <c r="BL56" s="419"/>
      <c r="BM56" s="419"/>
      <c r="BN56" s="419"/>
      <c r="BO56" s="419"/>
      <c r="BP56" s="403">
        <f t="shared" si="16"/>
        <v>61000000</v>
      </c>
      <c r="BQ56" s="403">
        <f t="shared" si="16"/>
        <v>39841500</v>
      </c>
      <c r="BR56" s="403">
        <f t="shared" si="16"/>
        <v>22365000</v>
      </c>
      <c r="BS56" s="349" t="s">
        <v>1657</v>
      </c>
      <c r="BT56" s="5"/>
    </row>
    <row r="57" spans="1:72" ht="155.25" customHeight="1" x14ac:dyDescent="0.2">
      <c r="A57" s="327">
        <v>309</v>
      </c>
      <c r="B57" s="326" t="s">
        <v>1625</v>
      </c>
      <c r="C57" s="438">
        <v>3</v>
      </c>
      <c r="D57" s="326" t="s">
        <v>1627</v>
      </c>
      <c r="E57" s="323">
        <v>32</v>
      </c>
      <c r="F57" s="326" t="s">
        <v>207</v>
      </c>
      <c r="G57" s="323">
        <v>3205</v>
      </c>
      <c r="H57" s="326" t="s">
        <v>208</v>
      </c>
      <c r="I57" s="323">
        <v>3205</v>
      </c>
      <c r="J57" s="326" t="s">
        <v>1604</v>
      </c>
      <c r="K57" s="326" t="s">
        <v>322</v>
      </c>
      <c r="L57" s="323">
        <v>3205002</v>
      </c>
      <c r="M57" s="326" t="s">
        <v>323</v>
      </c>
      <c r="N57" s="323">
        <v>3205002</v>
      </c>
      <c r="O57" s="326" t="s">
        <v>323</v>
      </c>
      <c r="P57" s="323">
        <v>320500200</v>
      </c>
      <c r="Q57" s="326" t="s">
        <v>324</v>
      </c>
      <c r="R57" s="323">
        <v>320500200</v>
      </c>
      <c r="S57" s="326" t="s">
        <v>324</v>
      </c>
      <c r="T57" s="349" t="s">
        <v>1691</v>
      </c>
      <c r="U57" s="103">
        <v>3</v>
      </c>
      <c r="V57" s="103">
        <v>1</v>
      </c>
      <c r="W57" s="349" t="s">
        <v>325</v>
      </c>
      <c r="X57" s="324" t="s">
        <v>326</v>
      </c>
      <c r="Y57" s="324" t="s">
        <v>327</v>
      </c>
      <c r="Z57" s="419"/>
      <c r="AA57" s="419"/>
      <c r="AB57" s="419"/>
      <c r="AC57" s="419"/>
      <c r="AD57" s="419"/>
      <c r="AE57" s="419"/>
      <c r="AF57" s="419"/>
      <c r="AG57" s="419"/>
      <c r="AH57" s="419"/>
      <c r="AI57" s="419"/>
      <c r="AJ57" s="419"/>
      <c r="AK57" s="419"/>
      <c r="AL57" s="419"/>
      <c r="AM57" s="419"/>
      <c r="AN57" s="419"/>
      <c r="AO57" s="419"/>
      <c r="AP57" s="419"/>
      <c r="AQ57" s="419"/>
      <c r="AR57" s="419"/>
      <c r="AS57" s="419"/>
      <c r="AT57" s="419"/>
      <c r="AU57" s="419"/>
      <c r="AV57" s="419"/>
      <c r="AW57" s="419"/>
      <c r="AX57" s="419"/>
      <c r="AY57" s="419"/>
      <c r="AZ57" s="419"/>
      <c r="BA57" s="419"/>
      <c r="BB57" s="419"/>
      <c r="BC57" s="419"/>
      <c r="BD57" s="462">
        <f>45000000+45000000+153850000</f>
        <v>243850000</v>
      </c>
      <c r="BE57" s="462">
        <v>75687500</v>
      </c>
      <c r="BF57" s="462">
        <v>58377500</v>
      </c>
      <c r="BG57" s="419"/>
      <c r="BH57" s="419"/>
      <c r="BI57" s="419"/>
      <c r="BJ57" s="419"/>
      <c r="BK57" s="419"/>
      <c r="BL57" s="419"/>
      <c r="BM57" s="419"/>
      <c r="BN57" s="419"/>
      <c r="BO57" s="419"/>
      <c r="BP57" s="403">
        <f>+Z57+AC57+AF57+AI57+AL57+AO57+AR57+AU57+AX57+BA57+BD57+BG57+BJ57</f>
        <v>243850000</v>
      </c>
      <c r="BQ57" s="403">
        <f>+AA57+AD57+AG57+AJ57+AM57+AP57+AS57+AV57+AY57+BB57+BE57+BH57+BK57</f>
        <v>75687500</v>
      </c>
      <c r="BR57" s="403">
        <f>+AB57+AE57+AH57+AK57+AN57+AQ57+AT57+AW57+AZ57+BC57+BF57+BI57+BL57</f>
        <v>58377500</v>
      </c>
      <c r="BS57" s="349" t="s">
        <v>1657</v>
      </c>
      <c r="BT57" s="5"/>
    </row>
    <row r="58" spans="1:72" ht="100.5" customHeight="1" x14ac:dyDescent="0.2">
      <c r="A58" s="327">
        <v>309</v>
      </c>
      <c r="B58" s="326" t="s">
        <v>1625</v>
      </c>
      <c r="C58" s="438">
        <v>3</v>
      </c>
      <c r="D58" s="326" t="s">
        <v>1627</v>
      </c>
      <c r="E58" s="323">
        <v>45</v>
      </c>
      <c r="F58" s="326" t="s">
        <v>38</v>
      </c>
      <c r="G58" s="323">
        <v>4503</v>
      </c>
      <c r="H58" s="326" t="s">
        <v>1576</v>
      </c>
      <c r="I58" s="323">
        <v>4503</v>
      </c>
      <c r="J58" s="326" t="s">
        <v>1577</v>
      </c>
      <c r="K58" s="326" t="s">
        <v>328</v>
      </c>
      <c r="L58" s="323">
        <v>4503002</v>
      </c>
      <c r="M58" s="326" t="s">
        <v>329</v>
      </c>
      <c r="N58" s="323">
        <v>4503002</v>
      </c>
      <c r="O58" s="326" t="s">
        <v>329</v>
      </c>
      <c r="P58" s="323">
        <v>450300200</v>
      </c>
      <c r="Q58" s="326" t="s">
        <v>330</v>
      </c>
      <c r="R58" s="323">
        <v>450300200</v>
      </c>
      <c r="S58" s="326" t="s">
        <v>330</v>
      </c>
      <c r="T58" s="349" t="s">
        <v>1691</v>
      </c>
      <c r="U58" s="103">
        <v>4000</v>
      </c>
      <c r="V58" s="103">
        <v>3868</v>
      </c>
      <c r="W58" s="427" t="s">
        <v>331</v>
      </c>
      <c r="X58" s="324" t="s">
        <v>332</v>
      </c>
      <c r="Y58" s="452" t="s">
        <v>333</v>
      </c>
      <c r="Z58" s="419"/>
      <c r="AA58" s="419"/>
      <c r="AB58" s="419"/>
      <c r="AC58" s="419"/>
      <c r="AD58" s="419"/>
      <c r="AE58" s="419"/>
      <c r="AF58" s="419"/>
      <c r="AG58" s="419"/>
      <c r="AH58" s="419"/>
      <c r="AI58" s="419"/>
      <c r="AJ58" s="419"/>
      <c r="AK58" s="419"/>
      <c r="AL58" s="419"/>
      <c r="AM58" s="419"/>
      <c r="AN58" s="419"/>
      <c r="AO58" s="419"/>
      <c r="AP58" s="419"/>
      <c r="AQ58" s="419"/>
      <c r="AR58" s="419"/>
      <c r="AS58" s="419"/>
      <c r="AT58" s="419"/>
      <c r="AU58" s="419"/>
      <c r="AV58" s="419"/>
      <c r="AW58" s="419"/>
      <c r="AX58" s="419"/>
      <c r="AY58" s="419"/>
      <c r="AZ58" s="419"/>
      <c r="BA58" s="419"/>
      <c r="BB58" s="419"/>
      <c r="BC58" s="419"/>
      <c r="BD58" s="424">
        <f>18000000+22000000</f>
        <v>40000000</v>
      </c>
      <c r="BE58" s="424">
        <v>26475000</v>
      </c>
      <c r="BF58" s="424">
        <v>22650000</v>
      </c>
      <c r="BG58" s="419"/>
      <c r="BH58" s="419"/>
      <c r="BI58" s="419"/>
      <c r="BJ58" s="419"/>
      <c r="BK58" s="419"/>
      <c r="BL58" s="419"/>
      <c r="BM58" s="419"/>
      <c r="BN58" s="419"/>
      <c r="BO58" s="419"/>
      <c r="BP58" s="403">
        <f t="shared" ref="BP58:BR60" si="17">+Z58+AC58+AF58+AI58+AL58+AO58+AR58+AU58+AX58+BA58+BD58+BG58+BJ58</f>
        <v>40000000</v>
      </c>
      <c r="BQ58" s="403">
        <f t="shared" si="17"/>
        <v>26475000</v>
      </c>
      <c r="BR58" s="403">
        <f t="shared" si="17"/>
        <v>22650000</v>
      </c>
      <c r="BS58" s="349" t="s">
        <v>1657</v>
      </c>
      <c r="BT58" s="5"/>
    </row>
    <row r="59" spans="1:72" ht="100.5" customHeight="1" x14ac:dyDescent="0.2">
      <c r="A59" s="327">
        <v>309</v>
      </c>
      <c r="B59" s="326" t="s">
        <v>1625</v>
      </c>
      <c r="C59" s="438">
        <v>3</v>
      </c>
      <c r="D59" s="326" t="s">
        <v>1627</v>
      </c>
      <c r="E59" s="323">
        <v>45</v>
      </c>
      <c r="F59" s="326" t="s">
        <v>38</v>
      </c>
      <c r="G59" s="323">
        <v>4503</v>
      </c>
      <c r="H59" s="326" t="s">
        <v>1576</v>
      </c>
      <c r="I59" s="323">
        <v>4503</v>
      </c>
      <c r="J59" s="326" t="s">
        <v>1577</v>
      </c>
      <c r="K59" s="326" t="s">
        <v>334</v>
      </c>
      <c r="L59" s="323">
        <v>4503003</v>
      </c>
      <c r="M59" s="326" t="s">
        <v>103</v>
      </c>
      <c r="N59" s="323">
        <v>4503003</v>
      </c>
      <c r="O59" s="326" t="s">
        <v>103</v>
      </c>
      <c r="P59" s="323">
        <v>450300300</v>
      </c>
      <c r="Q59" s="326" t="s">
        <v>335</v>
      </c>
      <c r="R59" s="323">
        <v>450300300</v>
      </c>
      <c r="S59" s="326" t="s">
        <v>335</v>
      </c>
      <c r="T59" s="349" t="s">
        <v>1689</v>
      </c>
      <c r="U59" s="103">
        <v>12</v>
      </c>
      <c r="V59" s="103">
        <v>12</v>
      </c>
      <c r="W59" s="427" t="s">
        <v>331</v>
      </c>
      <c r="X59" s="324" t="s">
        <v>332</v>
      </c>
      <c r="Y59" s="452" t="s">
        <v>333</v>
      </c>
      <c r="Z59" s="419"/>
      <c r="AA59" s="419"/>
      <c r="AB59" s="419"/>
      <c r="AC59" s="419"/>
      <c r="AD59" s="419"/>
      <c r="AE59" s="419"/>
      <c r="AF59" s="419"/>
      <c r="AG59" s="419"/>
      <c r="AH59" s="419"/>
      <c r="AI59" s="419"/>
      <c r="AJ59" s="419"/>
      <c r="AK59" s="419"/>
      <c r="AL59" s="419"/>
      <c r="AM59" s="419"/>
      <c r="AN59" s="419"/>
      <c r="AO59" s="419"/>
      <c r="AP59" s="419"/>
      <c r="AQ59" s="419"/>
      <c r="AR59" s="419"/>
      <c r="AS59" s="419"/>
      <c r="AT59" s="419"/>
      <c r="AU59" s="419"/>
      <c r="AV59" s="419"/>
      <c r="AW59" s="419"/>
      <c r="AX59" s="419"/>
      <c r="AY59" s="419"/>
      <c r="AZ59" s="419"/>
      <c r="BA59" s="419"/>
      <c r="BB59" s="419"/>
      <c r="BC59" s="419"/>
      <c r="BD59" s="424">
        <f>100000000+134000000+20000000+50000000+59882500+50980000</f>
        <v>414862500</v>
      </c>
      <c r="BE59" s="424">
        <v>142687936</v>
      </c>
      <c r="BF59" s="424">
        <v>65433141</v>
      </c>
      <c r="BG59" s="419"/>
      <c r="BH59" s="419"/>
      <c r="BI59" s="419"/>
      <c r="BJ59" s="419"/>
      <c r="BK59" s="419"/>
      <c r="BL59" s="419"/>
      <c r="BM59" s="419"/>
      <c r="BN59" s="419"/>
      <c r="BO59" s="419"/>
      <c r="BP59" s="403">
        <f t="shared" si="17"/>
        <v>414862500</v>
      </c>
      <c r="BQ59" s="403">
        <f t="shared" si="17"/>
        <v>142687936</v>
      </c>
      <c r="BR59" s="403">
        <f t="shared" si="17"/>
        <v>65433141</v>
      </c>
      <c r="BS59" s="349" t="s">
        <v>1657</v>
      </c>
      <c r="BT59" s="5"/>
    </row>
    <row r="60" spans="1:72" ht="113.25" customHeight="1" x14ac:dyDescent="0.2">
      <c r="A60" s="327">
        <v>309</v>
      </c>
      <c r="B60" s="326" t="s">
        <v>1625</v>
      </c>
      <c r="C60" s="438">
        <v>3</v>
      </c>
      <c r="D60" s="326" t="s">
        <v>1627</v>
      </c>
      <c r="E60" s="323">
        <v>45</v>
      </c>
      <c r="F60" s="326" t="s">
        <v>38</v>
      </c>
      <c r="G60" s="323">
        <v>4503</v>
      </c>
      <c r="H60" s="326" t="s">
        <v>1576</v>
      </c>
      <c r="I60" s="323">
        <v>4503</v>
      </c>
      <c r="J60" s="326" t="s">
        <v>1577</v>
      </c>
      <c r="K60" s="326" t="s">
        <v>334</v>
      </c>
      <c r="L60" s="323">
        <v>4503004</v>
      </c>
      <c r="M60" s="326" t="s">
        <v>336</v>
      </c>
      <c r="N60" s="323">
        <v>4503016</v>
      </c>
      <c r="O60" s="326" t="s">
        <v>337</v>
      </c>
      <c r="P60" s="323" t="s">
        <v>41</v>
      </c>
      <c r="Q60" s="326" t="s">
        <v>338</v>
      </c>
      <c r="R60" s="323">
        <v>450301600</v>
      </c>
      <c r="S60" s="326" t="s">
        <v>339</v>
      </c>
      <c r="T60" s="349" t="s">
        <v>1689</v>
      </c>
      <c r="U60" s="103">
        <v>1</v>
      </c>
      <c r="V60" s="103">
        <v>1</v>
      </c>
      <c r="W60" s="427" t="s">
        <v>331</v>
      </c>
      <c r="X60" s="324" t="s">
        <v>332</v>
      </c>
      <c r="Y60" s="452" t="s">
        <v>333</v>
      </c>
      <c r="Z60" s="419"/>
      <c r="AA60" s="419"/>
      <c r="AB60" s="419"/>
      <c r="AC60" s="419"/>
      <c r="AD60" s="419"/>
      <c r="AE60" s="419"/>
      <c r="AF60" s="419"/>
      <c r="AG60" s="419"/>
      <c r="AH60" s="419"/>
      <c r="AI60" s="419"/>
      <c r="AJ60" s="419"/>
      <c r="AK60" s="419"/>
      <c r="AL60" s="419"/>
      <c r="AM60" s="419"/>
      <c r="AN60" s="419"/>
      <c r="AO60" s="419"/>
      <c r="AP60" s="419"/>
      <c r="AQ60" s="419"/>
      <c r="AR60" s="419"/>
      <c r="AS60" s="419"/>
      <c r="AT60" s="419"/>
      <c r="AU60" s="419"/>
      <c r="AV60" s="419"/>
      <c r="AW60" s="419"/>
      <c r="AX60" s="419"/>
      <c r="AY60" s="419"/>
      <c r="AZ60" s="419"/>
      <c r="BA60" s="419"/>
      <c r="BB60" s="419"/>
      <c r="BC60" s="419"/>
      <c r="BD60" s="424">
        <f>30000000+47505448+15000000</f>
        <v>92505448</v>
      </c>
      <c r="BE60" s="424">
        <v>46553169</v>
      </c>
      <c r="BF60" s="424">
        <v>10802500</v>
      </c>
      <c r="BG60" s="419"/>
      <c r="BH60" s="419"/>
      <c r="BI60" s="419"/>
      <c r="BJ60" s="419"/>
      <c r="BK60" s="419"/>
      <c r="BL60" s="419"/>
      <c r="BM60" s="419"/>
      <c r="BN60" s="419"/>
      <c r="BO60" s="419"/>
      <c r="BP60" s="403">
        <f t="shared" si="17"/>
        <v>92505448</v>
      </c>
      <c r="BQ60" s="403">
        <f t="shared" si="17"/>
        <v>46553169</v>
      </c>
      <c r="BR60" s="403">
        <f t="shared" si="17"/>
        <v>10802500</v>
      </c>
      <c r="BS60" s="349" t="s">
        <v>1657</v>
      </c>
      <c r="BT60" s="5"/>
    </row>
    <row r="61" spans="1:72" s="2" customFormat="1" ht="156" customHeight="1" x14ac:dyDescent="0.2">
      <c r="A61" s="327">
        <v>309</v>
      </c>
      <c r="B61" s="326" t="s">
        <v>1625</v>
      </c>
      <c r="C61" s="323">
        <v>4</v>
      </c>
      <c r="D61" s="417" t="s">
        <v>1620</v>
      </c>
      <c r="E61" s="323">
        <v>45</v>
      </c>
      <c r="F61" s="326" t="s">
        <v>38</v>
      </c>
      <c r="G61" s="323">
        <v>4502</v>
      </c>
      <c r="H61" s="326" t="s">
        <v>1574</v>
      </c>
      <c r="I61" s="323">
        <v>4502</v>
      </c>
      <c r="J61" s="326" t="s">
        <v>1575</v>
      </c>
      <c r="K61" s="326" t="s">
        <v>340</v>
      </c>
      <c r="L61" s="323">
        <v>4502024</v>
      </c>
      <c r="M61" s="326" t="s">
        <v>341</v>
      </c>
      <c r="N61" s="323">
        <v>4502024</v>
      </c>
      <c r="O61" s="326" t="s">
        <v>341</v>
      </c>
      <c r="P61" s="422">
        <v>450202400</v>
      </c>
      <c r="Q61" s="326" t="s">
        <v>342</v>
      </c>
      <c r="R61" s="422">
        <v>450202400</v>
      </c>
      <c r="S61" s="443" t="s">
        <v>342</v>
      </c>
      <c r="T61" s="349" t="s">
        <v>1689</v>
      </c>
      <c r="U61" s="103">
        <v>10</v>
      </c>
      <c r="V61" s="103">
        <v>8</v>
      </c>
      <c r="W61" s="349" t="s">
        <v>343</v>
      </c>
      <c r="X61" s="326" t="s">
        <v>344</v>
      </c>
      <c r="Y61" s="326" t="s">
        <v>345</v>
      </c>
      <c r="Z61" s="419"/>
      <c r="AA61" s="419"/>
      <c r="AB61" s="419"/>
      <c r="AC61" s="419"/>
      <c r="AD61" s="419"/>
      <c r="AE61" s="419"/>
      <c r="AF61" s="419"/>
      <c r="AG61" s="419"/>
      <c r="AH61" s="419"/>
      <c r="AI61" s="419"/>
      <c r="AJ61" s="419"/>
      <c r="AK61" s="419"/>
      <c r="AL61" s="419"/>
      <c r="AM61" s="419"/>
      <c r="AN61" s="419"/>
      <c r="AO61" s="419"/>
      <c r="AP61" s="419"/>
      <c r="AQ61" s="419"/>
      <c r="AR61" s="419"/>
      <c r="AS61" s="419"/>
      <c r="AT61" s="419"/>
      <c r="AU61" s="419"/>
      <c r="AV61" s="419"/>
      <c r="AW61" s="419"/>
      <c r="AX61" s="419"/>
      <c r="AY61" s="419"/>
      <c r="AZ61" s="419"/>
      <c r="BA61" s="419"/>
      <c r="BB61" s="419"/>
      <c r="BC61" s="419"/>
      <c r="BD61" s="424">
        <f>50000000+39000000</f>
        <v>89000000</v>
      </c>
      <c r="BE61" s="424">
        <v>60506951</v>
      </c>
      <c r="BF61" s="424">
        <v>40820761</v>
      </c>
      <c r="BG61" s="419"/>
      <c r="BH61" s="419"/>
      <c r="BI61" s="419"/>
      <c r="BJ61" s="419"/>
      <c r="BK61" s="419"/>
      <c r="BL61" s="419"/>
      <c r="BM61" s="419"/>
      <c r="BN61" s="419"/>
      <c r="BO61" s="419"/>
      <c r="BP61" s="403">
        <f t="shared" ref="BP61:BR65" si="18">+Z61+AC61+AF61+AI61+AL61+AO61+AR61+AU61+AX61+BA61+BD61+BG61+BJ61</f>
        <v>89000000</v>
      </c>
      <c r="BQ61" s="403">
        <f t="shared" si="18"/>
        <v>60506951</v>
      </c>
      <c r="BR61" s="403">
        <f t="shared" si="18"/>
        <v>40820761</v>
      </c>
      <c r="BS61" s="349" t="s">
        <v>1657</v>
      </c>
      <c r="BT61" s="5"/>
    </row>
    <row r="62" spans="1:72" ht="100.5" customHeight="1" x14ac:dyDescent="0.2">
      <c r="A62" s="327">
        <v>309</v>
      </c>
      <c r="B62" s="326" t="s">
        <v>1625</v>
      </c>
      <c r="C62" s="323">
        <v>4</v>
      </c>
      <c r="D62" s="417" t="s">
        <v>1620</v>
      </c>
      <c r="E62" s="323">
        <v>45</v>
      </c>
      <c r="F62" s="326" t="s">
        <v>38</v>
      </c>
      <c r="G62" s="323">
        <v>4502</v>
      </c>
      <c r="H62" s="326" t="s">
        <v>1574</v>
      </c>
      <c r="I62" s="323">
        <v>4502</v>
      </c>
      <c r="J62" s="326" t="s">
        <v>1575</v>
      </c>
      <c r="K62" s="326" t="s">
        <v>61</v>
      </c>
      <c r="L62" s="327">
        <v>4502001</v>
      </c>
      <c r="M62" s="326" t="s">
        <v>72</v>
      </c>
      <c r="N62" s="327">
        <v>4502001</v>
      </c>
      <c r="O62" s="326" t="s">
        <v>72</v>
      </c>
      <c r="P62" s="323">
        <v>450200100</v>
      </c>
      <c r="Q62" s="326" t="s">
        <v>346</v>
      </c>
      <c r="R62" s="323">
        <v>450200100</v>
      </c>
      <c r="S62" s="326" t="s">
        <v>74</v>
      </c>
      <c r="T62" s="349" t="s">
        <v>1689</v>
      </c>
      <c r="U62" s="103">
        <v>3</v>
      </c>
      <c r="V62" s="103">
        <v>3</v>
      </c>
      <c r="W62" s="427" t="s">
        <v>347</v>
      </c>
      <c r="X62" s="326" t="s">
        <v>348</v>
      </c>
      <c r="Y62" s="326" t="s">
        <v>349</v>
      </c>
      <c r="Z62" s="419"/>
      <c r="AA62" s="419"/>
      <c r="AB62" s="419"/>
      <c r="AC62" s="419"/>
      <c r="AD62" s="419"/>
      <c r="AE62" s="419"/>
      <c r="AF62" s="419"/>
      <c r="AG62" s="419"/>
      <c r="AH62" s="419"/>
      <c r="AI62" s="419"/>
      <c r="AJ62" s="419"/>
      <c r="AK62" s="419"/>
      <c r="AL62" s="419"/>
      <c r="AM62" s="419"/>
      <c r="AN62" s="419"/>
      <c r="AO62" s="419"/>
      <c r="AP62" s="419"/>
      <c r="AQ62" s="419"/>
      <c r="AR62" s="419"/>
      <c r="AS62" s="419"/>
      <c r="AT62" s="419"/>
      <c r="AU62" s="419"/>
      <c r="AV62" s="419"/>
      <c r="AW62" s="419"/>
      <c r="AX62" s="419"/>
      <c r="AY62" s="419"/>
      <c r="AZ62" s="419"/>
      <c r="BA62" s="419"/>
      <c r="BB62" s="419"/>
      <c r="BC62" s="419"/>
      <c r="BD62" s="424">
        <f>130000000+25000000</f>
        <v>155000000</v>
      </c>
      <c r="BE62" s="424">
        <v>85130000</v>
      </c>
      <c r="BF62" s="424">
        <v>63495000</v>
      </c>
      <c r="BG62" s="419"/>
      <c r="BH62" s="419"/>
      <c r="BI62" s="419"/>
      <c r="BJ62" s="419"/>
      <c r="BK62" s="419"/>
      <c r="BL62" s="419"/>
      <c r="BM62" s="419"/>
      <c r="BN62" s="419"/>
      <c r="BO62" s="419"/>
      <c r="BP62" s="403">
        <f t="shared" si="18"/>
        <v>155000000</v>
      </c>
      <c r="BQ62" s="403">
        <f t="shared" si="18"/>
        <v>85130000</v>
      </c>
      <c r="BR62" s="403">
        <f t="shared" si="18"/>
        <v>63495000</v>
      </c>
      <c r="BS62" s="349" t="s">
        <v>1657</v>
      </c>
      <c r="BT62" s="5"/>
    </row>
    <row r="63" spans="1:72" ht="87" customHeight="1" x14ac:dyDescent="0.2">
      <c r="A63" s="327">
        <v>309</v>
      </c>
      <c r="B63" s="326" t="s">
        <v>1625</v>
      </c>
      <c r="C63" s="323">
        <v>4</v>
      </c>
      <c r="D63" s="417" t="s">
        <v>1620</v>
      </c>
      <c r="E63" s="323">
        <v>45</v>
      </c>
      <c r="F63" s="326" t="s">
        <v>38</v>
      </c>
      <c r="G63" s="323">
        <v>4502</v>
      </c>
      <c r="H63" s="326" t="s">
        <v>1574</v>
      </c>
      <c r="I63" s="323">
        <v>4502</v>
      </c>
      <c r="J63" s="326" t="s">
        <v>1575</v>
      </c>
      <c r="K63" s="326" t="s">
        <v>61</v>
      </c>
      <c r="L63" s="323" t="s">
        <v>41</v>
      </c>
      <c r="M63" s="326" t="s">
        <v>350</v>
      </c>
      <c r="N63" s="327">
        <v>4502001</v>
      </c>
      <c r="O63" s="326" t="s">
        <v>72</v>
      </c>
      <c r="P63" s="323" t="s">
        <v>41</v>
      </c>
      <c r="Q63" s="326" t="s">
        <v>351</v>
      </c>
      <c r="R63" s="327">
        <v>450200111</v>
      </c>
      <c r="S63" s="326" t="s">
        <v>352</v>
      </c>
      <c r="T63" s="349" t="s">
        <v>1689</v>
      </c>
      <c r="U63" s="463">
        <v>1</v>
      </c>
      <c r="V63" s="463">
        <v>1</v>
      </c>
      <c r="W63" s="427" t="s">
        <v>347</v>
      </c>
      <c r="X63" s="326" t="s">
        <v>348</v>
      </c>
      <c r="Y63" s="326" t="s">
        <v>349</v>
      </c>
      <c r="Z63" s="419"/>
      <c r="AA63" s="419"/>
      <c r="AB63" s="419"/>
      <c r="AC63" s="419"/>
      <c r="AD63" s="419"/>
      <c r="AE63" s="419"/>
      <c r="AF63" s="419"/>
      <c r="AG63" s="419"/>
      <c r="AH63" s="419"/>
      <c r="AI63" s="419"/>
      <c r="AJ63" s="419"/>
      <c r="AK63" s="419"/>
      <c r="AL63" s="419"/>
      <c r="AM63" s="419"/>
      <c r="AN63" s="419"/>
      <c r="AO63" s="419"/>
      <c r="AP63" s="419"/>
      <c r="AQ63" s="419"/>
      <c r="AR63" s="419"/>
      <c r="AS63" s="419"/>
      <c r="AT63" s="419"/>
      <c r="AU63" s="419"/>
      <c r="AV63" s="419"/>
      <c r="AW63" s="419"/>
      <c r="AX63" s="419"/>
      <c r="AY63" s="419"/>
      <c r="AZ63" s="419"/>
      <c r="BA63" s="419"/>
      <c r="BB63" s="419"/>
      <c r="BC63" s="419"/>
      <c r="BD63" s="424">
        <v>73000000</v>
      </c>
      <c r="BE63" s="424">
        <v>35512300</v>
      </c>
      <c r="BF63" s="424">
        <v>22810000</v>
      </c>
      <c r="BG63" s="419"/>
      <c r="BH63" s="419"/>
      <c r="BI63" s="419"/>
      <c r="BJ63" s="419"/>
      <c r="BK63" s="419"/>
      <c r="BL63" s="419"/>
      <c r="BM63" s="419"/>
      <c r="BN63" s="419"/>
      <c r="BO63" s="419"/>
      <c r="BP63" s="403">
        <f t="shared" si="18"/>
        <v>73000000</v>
      </c>
      <c r="BQ63" s="403">
        <f t="shared" si="18"/>
        <v>35512300</v>
      </c>
      <c r="BR63" s="403">
        <f t="shared" si="18"/>
        <v>22810000</v>
      </c>
      <c r="BS63" s="349" t="s">
        <v>1657</v>
      </c>
      <c r="BT63" s="5"/>
    </row>
    <row r="64" spans="1:72" ht="108.75" customHeight="1" x14ac:dyDescent="0.2">
      <c r="A64" s="327">
        <v>309</v>
      </c>
      <c r="B64" s="326" t="s">
        <v>1625</v>
      </c>
      <c r="C64" s="323">
        <v>4</v>
      </c>
      <c r="D64" s="417" t="s">
        <v>1620</v>
      </c>
      <c r="E64" s="323">
        <v>45</v>
      </c>
      <c r="F64" s="326" t="s">
        <v>38</v>
      </c>
      <c r="G64" s="323">
        <v>4502</v>
      </c>
      <c r="H64" s="326" t="s">
        <v>1574</v>
      </c>
      <c r="I64" s="323">
        <v>4502</v>
      </c>
      <c r="J64" s="326" t="s">
        <v>1575</v>
      </c>
      <c r="K64" s="326" t="s">
        <v>61</v>
      </c>
      <c r="L64" s="323" t="s">
        <v>41</v>
      </c>
      <c r="M64" s="326" t="s">
        <v>353</v>
      </c>
      <c r="N64" s="323">
        <v>4502001</v>
      </c>
      <c r="O64" s="326" t="s">
        <v>72</v>
      </c>
      <c r="P64" s="323" t="s">
        <v>41</v>
      </c>
      <c r="Q64" s="326" t="s">
        <v>1482</v>
      </c>
      <c r="R64" s="323">
        <v>450200109</v>
      </c>
      <c r="S64" s="326" t="s">
        <v>354</v>
      </c>
      <c r="T64" s="349" t="s">
        <v>1689</v>
      </c>
      <c r="U64" s="103">
        <v>12</v>
      </c>
      <c r="V64" s="103">
        <v>12</v>
      </c>
      <c r="W64" s="427" t="s">
        <v>347</v>
      </c>
      <c r="X64" s="326" t="s">
        <v>348</v>
      </c>
      <c r="Y64" s="326" t="s">
        <v>349</v>
      </c>
      <c r="Z64" s="419"/>
      <c r="AA64" s="419"/>
      <c r="AB64" s="419"/>
      <c r="AC64" s="419"/>
      <c r="AD64" s="419"/>
      <c r="AE64" s="419"/>
      <c r="AF64" s="419"/>
      <c r="AG64" s="419"/>
      <c r="AH64" s="419"/>
      <c r="AI64" s="419"/>
      <c r="AJ64" s="419"/>
      <c r="AK64" s="419"/>
      <c r="AL64" s="419"/>
      <c r="AM64" s="419"/>
      <c r="AN64" s="419"/>
      <c r="AO64" s="419"/>
      <c r="AP64" s="419"/>
      <c r="AQ64" s="419"/>
      <c r="AR64" s="419"/>
      <c r="AS64" s="419"/>
      <c r="AT64" s="419"/>
      <c r="AU64" s="419"/>
      <c r="AV64" s="419"/>
      <c r="AW64" s="419"/>
      <c r="AX64" s="419"/>
      <c r="AY64" s="419"/>
      <c r="AZ64" s="419"/>
      <c r="BA64" s="419"/>
      <c r="BB64" s="419"/>
      <c r="BC64" s="419"/>
      <c r="BD64" s="424">
        <f>35000000+35893401</f>
        <v>70893401</v>
      </c>
      <c r="BE64" s="424">
        <v>46790000</v>
      </c>
      <c r="BF64" s="424">
        <v>38515400</v>
      </c>
      <c r="BG64" s="419"/>
      <c r="BH64" s="419"/>
      <c r="BI64" s="419"/>
      <c r="BJ64" s="419"/>
      <c r="BK64" s="419"/>
      <c r="BL64" s="419"/>
      <c r="BM64" s="419"/>
      <c r="BN64" s="419"/>
      <c r="BO64" s="419"/>
      <c r="BP64" s="403">
        <f t="shared" si="18"/>
        <v>70893401</v>
      </c>
      <c r="BQ64" s="403">
        <f t="shared" si="18"/>
        <v>46790000</v>
      </c>
      <c r="BR64" s="403">
        <f t="shared" si="18"/>
        <v>38515400</v>
      </c>
      <c r="BS64" s="349" t="s">
        <v>1657</v>
      </c>
      <c r="BT64" s="5"/>
    </row>
    <row r="65" spans="1:72" ht="96.75" customHeight="1" x14ac:dyDescent="0.2">
      <c r="A65" s="327">
        <v>309</v>
      </c>
      <c r="B65" s="326" t="s">
        <v>1625</v>
      </c>
      <c r="C65" s="323">
        <v>4</v>
      </c>
      <c r="D65" s="417" t="s">
        <v>1620</v>
      </c>
      <c r="E65" s="323">
        <v>45</v>
      </c>
      <c r="F65" s="326" t="s">
        <v>38</v>
      </c>
      <c r="G65" s="323">
        <v>4502</v>
      </c>
      <c r="H65" s="326" t="s">
        <v>1574</v>
      </c>
      <c r="I65" s="323">
        <v>4502</v>
      </c>
      <c r="J65" s="326" t="s">
        <v>1575</v>
      </c>
      <c r="K65" s="326" t="s">
        <v>61</v>
      </c>
      <c r="L65" s="323" t="s">
        <v>41</v>
      </c>
      <c r="M65" s="326" t="s">
        <v>355</v>
      </c>
      <c r="N65" s="327">
        <v>4502035</v>
      </c>
      <c r="O65" s="326" t="s">
        <v>356</v>
      </c>
      <c r="P65" s="323" t="s">
        <v>41</v>
      </c>
      <c r="Q65" s="326" t="s">
        <v>357</v>
      </c>
      <c r="R65" s="327">
        <v>450203501</v>
      </c>
      <c r="S65" s="326" t="s">
        <v>358</v>
      </c>
      <c r="T65" s="349" t="s">
        <v>1691</v>
      </c>
      <c r="U65" s="103">
        <v>0.4</v>
      </c>
      <c r="V65" s="103">
        <v>0.3</v>
      </c>
      <c r="W65" s="427" t="s">
        <v>347</v>
      </c>
      <c r="X65" s="326" t="s">
        <v>348</v>
      </c>
      <c r="Y65" s="326" t="s">
        <v>349</v>
      </c>
      <c r="Z65" s="419"/>
      <c r="AA65" s="419"/>
      <c r="AB65" s="419"/>
      <c r="AC65" s="419"/>
      <c r="AD65" s="419"/>
      <c r="AE65" s="419"/>
      <c r="AF65" s="419"/>
      <c r="AG65" s="419"/>
      <c r="AH65" s="419"/>
      <c r="AI65" s="419"/>
      <c r="AJ65" s="419"/>
      <c r="AK65" s="419"/>
      <c r="AL65" s="419"/>
      <c r="AM65" s="419"/>
      <c r="AN65" s="419"/>
      <c r="AO65" s="419"/>
      <c r="AP65" s="419"/>
      <c r="AQ65" s="419"/>
      <c r="AR65" s="419"/>
      <c r="AS65" s="419"/>
      <c r="AT65" s="419"/>
      <c r="AU65" s="419"/>
      <c r="AV65" s="419"/>
      <c r="AW65" s="419"/>
      <c r="AX65" s="419"/>
      <c r="AY65" s="419"/>
      <c r="AZ65" s="419"/>
      <c r="BA65" s="419"/>
      <c r="BB65" s="419"/>
      <c r="BC65" s="419"/>
      <c r="BD65" s="424">
        <f>25000000+19600000</f>
        <v>44600000</v>
      </c>
      <c r="BE65" s="424">
        <v>25795000</v>
      </c>
      <c r="BF65" s="424">
        <v>22310000</v>
      </c>
      <c r="BG65" s="419"/>
      <c r="BH65" s="419"/>
      <c r="BI65" s="419"/>
      <c r="BJ65" s="419"/>
      <c r="BK65" s="419"/>
      <c r="BL65" s="419"/>
      <c r="BM65" s="419"/>
      <c r="BN65" s="419"/>
      <c r="BO65" s="419"/>
      <c r="BP65" s="403">
        <f t="shared" si="18"/>
        <v>44600000</v>
      </c>
      <c r="BQ65" s="403">
        <f t="shared" si="18"/>
        <v>25795000</v>
      </c>
      <c r="BR65" s="403">
        <f t="shared" si="18"/>
        <v>22310000</v>
      </c>
      <c r="BS65" s="349" t="s">
        <v>1657</v>
      </c>
      <c r="BT65" s="5"/>
    </row>
    <row r="66" spans="1:72" ht="144" customHeight="1" x14ac:dyDescent="0.2">
      <c r="A66" s="327">
        <v>310</v>
      </c>
      <c r="B66" s="326" t="s">
        <v>1628</v>
      </c>
      <c r="C66" s="323">
        <v>1</v>
      </c>
      <c r="D66" s="326" t="s">
        <v>1622</v>
      </c>
      <c r="E66" s="323">
        <v>33</v>
      </c>
      <c r="F66" s="417" t="s">
        <v>166</v>
      </c>
      <c r="G66" s="323">
        <v>3301</v>
      </c>
      <c r="H66" s="326" t="s">
        <v>167</v>
      </c>
      <c r="I66" s="323">
        <v>3301</v>
      </c>
      <c r="J66" s="326" t="s">
        <v>1606</v>
      </c>
      <c r="K66" s="326" t="s">
        <v>360</v>
      </c>
      <c r="L66" s="323">
        <v>3301087</v>
      </c>
      <c r="M66" s="326" t="s">
        <v>361</v>
      </c>
      <c r="N66" s="323">
        <v>3301087</v>
      </c>
      <c r="O66" s="326" t="s">
        <v>361</v>
      </c>
      <c r="P66" s="323">
        <v>330108701</v>
      </c>
      <c r="Q66" s="326" t="s">
        <v>330</v>
      </c>
      <c r="R66" s="323">
        <v>330108701</v>
      </c>
      <c r="S66" s="326" t="s">
        <v>330</v>
      </c>
      <c r="T66" s="349" t="s">
        <v>1691</v>
      </c>
      <c r="U66" s="103">
        <v>5700</v>
      </c>
      <c r="V66" s="103">
        <f>1772+2832+211</f>
        <v>4815</v>
      </c>
      <c r="W66" s="427" t="s">
        <v>362</v>
      </c>
      <c r="X66" s="326" t="s">
        <v>363</v>
      </c>
      <c r="Y66" s="326" t="s">
        <v>364</v>
      </c>
      <c r="Z66" s="464"/>
      <c r="AA66" s="464"/>
      <c r="AB66" s="464"/>
      <c r="AC66" s="419"/>
      <c r="AD66" s="419"/>
      <c r="AE66" s="419"/>
      <c r="AF66" s="419"/>
      <c r="AG66" s="419"/>
      <c r="AH66" s="419"/>
      <c r="AI66" s="419"/>
      <c r="AJ66" s="419"/>
      <c r="AK66" s="419"/>
      <c r="AL66" s="419"/>
      <c r="AM66" s="419"/>
      <c r="AN66" s="419"/>
      <c r="AO66" s="419"/>
      <c r="AP66" s="419"/>
      <c r="AQ66" s="419"/>
      <c r="AR66" s="419"/>
      <c r="AS66" s="419"/>
      <c r="AT66" s="419"/>
      <c r="AU66" s="419"/>
      <c r="AV66" s="419"/>
      <c r="AW66" s="419"/>
      <c r="AX66" s="419"/>
      <c r="AY66" s="419"/>
      <c r="AZ66" s="419"/>
      <c r="BA66" s="419"/>
      <c r="BB66" s="419"/>
      <c r="BC66" s="419"/>
      <c r="BD66" s="348">
        <f>370000000-80000000+80000000-5100000-42000000</f>
        <v>322900000</v>
      </c>
      <c r="BE66" s="348">
        <v>261421000</v>
      </c>
      <c r="BF66" s="348">
        <v>53340000</v>
      </c>
      <c r="BG66" s="420"/>
      <c r="BH66" s="419"/>
      <c r="BI66" s="419"/>
      <c r="BJ66" s="419"/>
      <c r="BK66" s="419"/>
      <c r="BL66" s="419"/>
      <c r="BM66" s="419"/>
      <c r="BN66" s="419"/>
      <c r="BO66" s="419"/>
      <c r="BP66" s="403">
        <f>+Z66+AC66+AF66+AI66+AL66+AO66+AR66+AU66+AX66+BA66+BD66+BG66+BJ66</f>
        <v>322900000</v>
      </c>
      <c r="BQ66" s="403">
        <f t="shared" ref="BQ66" si="19">+AA66+AD66+AG66+AJ66+AM66+AP66+AS66+AV66+AY66+BB66+BE66+BH66+BK66</f>
        <v>261421000</v>
      </c>
      <c r="BR66" s="403">
        <f t="shared" ref="BR66" si="20">+AB66+AE66+AH66+AK66+AN66+AQ66+AT66+AW66+AZ66+BC66+BF66+BI66+BL66</f>
        <v>53340000</v>
      </c>
      <c r="BS66" s="349" t="s">
        <v>1658</v>
      </c>
      <c r="BT66" s="5"/>
    </row>
    <row r="67" spans="1:72" ht="135" customHeight="1" x14ac:dyDescent="0.2">
      <c r="A67" s="327">
        <v>310</v>
      </c>
      <c r="B67" s="326" t="s">
        <v>1628</v>
      </c>
      <c r="C67" s="323">
        <v>1</v>
      </c>
      <c r="D67" s="326" t="s">
        <v>1622</v>
      </c>
      <c r="E67" s="323">
        <v>33</v>
      </c>
      <c r="F67" s="417" t="s">
        <v>166</v>
      </c>
      <c r="G67" s="323">
        <v>3301</v>
      </c>
      <c r="H67" s="326" t="s">
        <v>167</v>
      </c>
      <c r="I67" s="323">
        <v>3301</v>
      </c>
      <c r="J67" s="326" t="s">
        <v>1606</v>
      </c>
      <c r="K67" s="326" t="s">
        <v>168</v>
      </c>
      <c r="L67" s="323">
        <v>3301073</v>
      </c>
      <c r="M67" s="326" t="s">
        <v>365</v>
      </c>
      <c r="N67" s="323">
        <v>3301073</v>
      </c>
      <c r="O67" s="326" t="s">
        <v>365</v>
      </c>
      <c r="P67" s="323">
        <v>330107301</v>
      </c>
      <c r="Q67" s="326" t="s">
        <v>366</v>
      </c>
      <c r="R67" s="323">
        <v>330107301</v>
      </c>
      <c r="S67" s="326" t="s">
        <v>366</v>
      </c>
      <c r="T67" s="349" t="s">
        <v>1691</v>
      </c>
      <c r="U67" s="103">
        <v>500</v>
      </c>
      <c r="V67" s="103">
        <v>97</v>
      </c>
      <c r="W67" s="427" t="s">
        <v>362</v>
      </c>
      <c r="X67" s="326" t="s">
        <v>363</v>
      </c>
      <c r="Y67" s="326" t="s">
        <v>364</v>
      </c>
      <c r="Z67" s="348">
        <f>919912475+183982494.6+176183734.3</f>
        <v>1280078703.8999999</v>
      </c>
      <c r="AA67" s="348">
        <v>1138620156.53</v>
      </c>
      <c r="AB67" s="348">
        <v>303021145.88</v>
      </c>
      <c r="AC67" s="419"/>
      <c r="AD67" s="419"/>
      <c r="AE67" s="419"/>
      <c r="AF67" s="419"/>
      <c r="AG67" s="419"/>
      <c r="AH67" s="419"/>
      <c r="AI67" s="419"/>
      <c r="AJ67" s="419"/>
      <c r="AK67" s="419"/>
      <c r="AL67" s="419"/>
      <c r="AM67" s="419"/>
      <c r="AN67" s="419"/>
      <c r="AO67" s="419"/>
      <c r="AP67" s="419"/>
      <c r="AQ67" s="419"/>
      <c r="AR67" s="419"/>
      <c r="AS67" s="419"/>
      <c r="AT67" s="419"/>
      <c r="AU67" s="419"/>
      <c r="AV67" s="419"/>
      <c r="AW67" s="419"/>
      <c r="AX67" s="419"/>
      <c r="AY67" s="419"/>
      <c r="AZ67" s="419"/>
      <c r="BA67" s="419"/>
      <c r="BB67" s="419"/>
      <c r="BC67" s="419"/>
      <c r="BD67" s="348">
        <f>150000000+24600000+30000000+50000000-4000000+16000000+9100000+42000000+16000000</f>
        <v>333700000</v>
      </c>
      <c r="BE67" s="348">
        <v>210265000</v>
      </c>
      <c r="BF67" s="348">
        <v>134993693.21000001</v>
      </c>
      <c r="BG67" s="420"/>
      <c r="BH67" s="419"/>
      <c r="BI67" s="419"/>
      <c r="BJ67" s="419"/>
      <c r="BK67" s="419"/>
      <c r="BL67" s="419"/>
      <c r="BM67" s="419"/>
      <c r="BN67" s="419"/>
      <c r="BO67" s="419"/>
      <c r="BP67" s="403">
        <f t="shared" ref="BP67:BP73" si="21">+Z67+AC67+AF67+AI67+AL67+AO67+AR67+AU67+AX67+BA67+BD67+BG67+BJ67</f>
        <v>1613778703.8999999</v>
      </c>
      <c r="BQ67" s="403">
        <f t="shared" ref="BQ67:BQ73" si="22">+AA67+AD67+AG67+AJ67+AM67+AP67+AS67+AV67+AY67+BB67+BE67+BH67+BK67</f>
        <v>1348885156.53</v>
      </c>
      <c r="BR67" s="403">
        <f t="shared" ref="BR67:BR73" si="23">+AB67+AE67+AH67+AK67+AN67+AQ67+AT67+AW67+AZ67+BC67+BF67+BI67+BL67</f>
        <v>438014839.09000003</v>
      </c>
      <c r="BS67" s="349" t="s">
        <v>1658</v>
      </c>
      <c r="BT67" s="5"/>
    </row>
    <row r="68" spans="1:72" ht="151.5" customHeight="1" x14ac:dyDescent="0.2">
      <c r="A68" s="327">
        <v>310</v>
      </c>
      <c r="B68" s="326" t="s">
        <v>1628</v>
      </c>
      <c r="C68" s="323">
        <v>1</v>
      </c>
      <c r="D68" s="326" t="s">
        <v>1622</v>
      </c>
      <c r="E68" s="323">
        <v>33</v>
      </c>
      <c r="F68" s="417" t="s">
        <v>166</v>
      </c>
      <c r="G68" s="323">
        <v>3301</v>
      </c>
      <c r="H68" s="326" t="s">
        <v>167</v>
      </c>
      <c r="I68" s="323">
        <v>3301</v>
      </c>
      <c r="J68" s="326" t="s">
        <v>1606</v>
      </c>
      <c r="K68" s="326" t="s">
        <v>367</v>
      </c>
      <c r="L68" s="323" t="s">
        <v>41</v>
      </c>
      <c r="M68" s="326" t="s">
        <v>368</v>
      </c>
      <c r="N68" s="323">
        <v>3301070</v>
      </c>
      <c r="O68" s="326" t="s">
        <v>369</v>
      </c>
      <c r="P68" s="323" t="s">
        <v>41</v>
      </c>
      <c r="Q68" s="326" t="s">
        <v>370</v>
      </c>
      <c r="R68" s="323">
        <v>330107000</v>
      </c>
      <c r="S68" s="326" t="s">
        <v>86</v>
      </c>
      <c r="T68" s="349" t="s">
        <v>1691</v>
      </c>
      <c r="U68" s="103">
        <v>0.3</v>
      </c>
      <c r="V68" s="103">
        <v>0</v>
      </c>
      <c r="W68" s="427" t="s">
        <v>362</v>
      </c>
      <c r="X68" s="326" t="s">
        <v>363</v>
      </c>
      <c r="Y68" s="326" t="s">
        <v>364</v>
      </c>
      <c r="Z68" s="465"/>
      <c r="AA68" s="465"/>
      <c r="AB68" s="465"/>
      <c r="AC68" s="419"/>
      <c r="AD68" s="419"/>
      <c r="AE68" s="419"/>
      <c r="AF68" s="419"/>
      <c r="AG68" s="419"/>
      <c r="AH68" s="419"/>
      <c r="AI68" s="419"/>
      <c r="AJ68" s="419"/>
      <c r="AK68" s="419"/>
      <c r="AL68" s="419"/>
      <c r="AM68" s="419"/>
      <c r="AN68" s="419"/>
      <c r="AO68" s="419"/>
      <c r="AP68" s="419"/>
      <c r="AQ68" s="419"/>
      <c r="AR68" s="419"/>
      <c r="AS68" s="419"/>
      <c r="AT68" s="419"/>
      <c r="AU68" s="419"/>
      <c r="AV68" s="419"/>
      <c r="AW68" s="419"/>
      <c r="AX68" s="419"/>
      <c r="AY68" s="419"/>
      <c r="AZ68" s="419"/>
      <c r="BA68" s="419"/>
      <c r="BB68" s="419"/>
      <c r="BC68" s="419"/>
      <c r="BD68" s="348">
        <f>36000000-16000000</f>
        <v>20000000</v>
      </c>
      <c r="BE68" s="348">
        <v>9600000</v>
      </c>
      <c r="BF68" s="348">
        <v>3200000</v>
      </c>
      <c r="BG68" s="420"/>
      <c r="BH68" s="419"/>
      <c r="BI68" s="419"/>
      <c r="BJ68" s="419"/>
      <c r="BK68" s="419"/>
      <c r="BL68" s="419"/>
      <c r="BM68" s="419"/>
      <c r="BN68" s="419"/>
      <c r="BO68" s="419"/>
      <c r="BP68" s="403">
        <f>+Z68+AC68+AF68+AI68+AL68+AO68+AR68+AU68+AX68+BA68+BD68+BG68+BJ68</f>
        <v>20000000</v>
      </c>
      <c r="BQ68" s="403">
        <f t="shared" si="22"/>
        <v>9600000</v>
      </c>
      <c r="BR68" s="403">
        <f t="shared" si="23"/>
        <v>3200000</v>
      </c>
      <c r="BS68" s="349" t="s">
        <v>1658</v>
      </c>
      <c r="BT68" s="5"/>
    </row>
    <row r="69" spans="1:72" ht="96" customHeight="1" x14ac:dyDescent="0.2">
      <c r="A69" s="327">
        <v>310</v>
      </c>
      <c r="B69" s="326" t="s">
        <v>1628</v>
      </c>
      <c r="C69" s="323">
        <v>1</v>
      </c>
      <c r="D69" s="326" t="s">
        <v>1622</v>
      </c>
      <c r="E69" s="323">
        <v>33</v>
      </c>
      <c r="F69" s="417" t="s">
        <v>166</v>
      </c>
      <c r="G69" s="323">
        <v>3301</v>
      </c>
      <c r="H69" s="326" t="s">
        <v>167</v>
      </c>
      <c r="I69" s="323">
        <v>3301</v>
      </c>
      <c r="J69" s="326" t="s">
        <v>1606</v>
      </c>
      <c r="K69" s="326" t="s">
        <v>168</v>
      </c>
      <c r="L69" s="323">
        <v>3301099</v>
      </c>
      <c r="M69" s="326" t="s">
        <v>1483</v>
      </c>
      <c r="N69" s="323">
        <v>3301099</v>
      </c>
      <c r="O69" s="326" t="s">
        <v>1483</v>
      </c>
      <c r="P69" s="323">
        <v>330109900</v>
      </c>
      <c r="Q69" s="326" t="s">
        <v>1484</v>
      </c>
      <c r="R69" s="323">
        <v>330109900</v>
      </c>
      <c r="S69" s="326" t="s">
        <v>1484</v>
      </c>
      <c r="T69" s="349" t="s">
        <v>1689</v>
      </c>
      <c r="U69" s="103">
        <v>1</v>
      </c>
      <c r="V69" s="103">
        <v>0</v>
      </c>
      <c r="W69" s="427" t="s">
        <v>362</v>
      </c>
      <c r="X69" s="326" t="s">
        <v>363</v>
      </c>
      <c r="Y69" s="326" t="s">
        <v>364</v>
      </c>
      <c r="Z69" s="465"/>
      <c r="AA69" s="465"/>
      <c r="AB69" s="465"/>
      <c r="AC69" s="419"/>
      <c r="AD69" s="419"/>
      <c r="AE69" s="419"/>
      <c r="AF69" s="419"/>
      <c r="AG69" s="419"/>
      <c r="AH69" s="419"/>
      <c r="AI69" s="419"/>
      <c r="AJ69" s="419"/>
      <c r="AK69" s="419"/>
      <c r="AL69" s="419"/>
      <c r="AM69" s="419"/>
      <c r="AN69" s="419"/>
      <c r="AO69" s="419"/>
      <c r="AP69" s="419"/>
      <c r="AQ69" s="419"/>
      <c r="AR69" s="419"/>
      <c r="AS69" s="419"/>
      <c r="AT69" s="419"/>
      <c r="AU69" s="419"/>
      <c r="AV69" s="419"/>
      <c r="AW69" s="419"/>
      <c r="AX69" s="419"/>
      <c r="AY69" s="419"/>
      <c r="AZ69" s="419"/>
      <c r="BA69" s="419"/>
      <c r="BB69" s="419"/>
      <c r="BC69" s="419"/>
      <c r="BD69" s="348">
        <f>30000000-24600000</f>
        <v>5400000</v>
      </c>
      <c r="BE69" s="348">
        <v>5400000</v>
      </c>
      <c r="BF69" s="348">
        <v>0</v>
      </c>
      <c r="BG69" s="420"/>
      <c r="BH69" s="419"/>
      <c r="BI69" s="419"/>
      <c r="BJ69" s="419"/>
      <c r="BK69" s="419"/>
      <c r="BL69" s="419"/>
      <c r="BM69" s="419"/>
      <c r="BN69" s="419"/>
      <c r="BO69" s="419"/>
      <c r="BP69" s="403">
        <f>+Z69+AC69+AF69+AI69+AL69+AO69+AR69+AU69+AX69+BA69+BD69+BG69+BJ69</f>
        <v>5400000</v>
      </c>
      <c r="BQ69" s="403">
        <f t="shared" si="22"/>
        <v>5400000</v>
      </c>
      <c r="BR69" s="403">
        <f t="shared" si="23"/>
        <v>0</v>
      </c>
      <c r="BS69" s="349" t="s">
        <v>1658</v>
      </c>
      <c r="BT69" s="5"/>
    </row>
    <row r="70" spans="1:72" ht="139.5" customHeight="1" x14ac:dyDescent="0.2">
      <c r="A70" s="327">
        <v>310</v>
      </c>
      <c r="B70" s="326" t="s">
        <v>1628</v>
      </c>
      <c r="C70" s="323">
        <v>1</v>
      </c>
      <c r="D70" s="326" t="s">
        <v>1622</v>
      </c>
      <c r="E70" s="323">
        <v>33</v>
      </c>
      <c r="F70" s="417" t="s">
        <v>166</v>
      </c>
      <c r="G70" s="323">
        <v>3301</v>
      </c>
      <c r="H70" s="326" t="s">
        <v>167</v>
      </c>
      <c r="I70" s="323">
        <v>3301</v>
      </c>
      <c r="J70" s="326" t="s">
        <v>1606</v>
      </c>
      <c r="K70" s="326" t="s">
        <v>360</v>
      </c>
      <c r="L70" s="323">
        <v>3301052</v>
      </c>
      <c r="M70" s="326" t="s">
        <v>371</v>
      </c>
      <c r="N70" s="323">
        <v>3301052</v>
      </c>
      <c r="O70" s="326" t="s">
        <v>371</v>
      </c>
      <c r="P70" s="466">
        <v>330105203</v>
      </c>
      <c r="Q70" s="326" t="s">
        <v>372</v>
      </c>
      <c r="R70" s="466">
        <v>330105203</v>
      </c>
      <c r="S70" s="326" t="s">
        <v>372</v>
      </c>
      <c r="T70" s="349" t="s">
        <v>1689</v>
      </c>
      <c r="U70" s="103">
        <v>135</v>
      </c>
      <c r="V70" s="103">
        <v>0</v>
      </c>
      <c r="W70" s="427" t="s">
        <v>362</v>
      </c>
      <c r="X70" s="326" t="s">
        <v>363</v>
      </c>
      <c r="Y70" s="326" t="s">
        <v>364</v>
      </c>
      <c r="Z70" s="465"/>
      <c r="AA70" s="465"/>
      <c r="AB70" s="465"/>
      <c r="AC70" s="419"/>
      <c r="AD70" s="419"/>
      <c r="AE70" s="419"/>
      <c r="AF70" s="419"/>
      <c r="AG70" s="419"/>
      <c r="AH70" s="419"/>
      <c r="AI70" s="419"/>
      <c r="AJ70" s="419"/>
      <c r="AK70" s="419"/>
      <c r="AL70" s="419"/>
      <c r="AM70" s="419"/>
      <c r="AN70" s="419"/>
      <c r="AO70" s="419"/>
      <c r="AP70" s="419"/>
      <c r="AQ70" s="419"/>
      <c r="AR70" s="419"/>
      <c r="AS70" s="419"/>
      <c r="AT70" s="419"/>
      <c r="AU70" s="419"/>
      <c r="AV70" s="419"/>
      <c r="AW70" s="419"/>
      <c r="AX70" s="419"/>
      <c r="AY70" s="419"/>
      <c r="AZ70" s="419"/>
      <c r="BA70" s="419"/>
      <c r="BB70" s="419"/>
      <c r="BC70" s="419"/>
      <c r="BD70" s="348">
        <v>18000000</v>
      </c>
      <c r="BE70" s="348">
        <v>0</v>
      </c>
      <c r="BF70" s="348">
        <v>0</v>
      </c>
      <c r="BG70" s="420"/>
      <c r="BH70" s="419"/>
      <c r="BI70" s="419"/>
      <c r="BJ70" s="419"/>
      <c r="BK70" s="419"/>
      <c r="BL70" s="419"/>
      <c r="BM70" s="419"/>
      <c r="BN70" s="419"/>
      <c r="BO70" s="419"/>
      <c r="BP70" s="403">
        <f>+Z70+AC70+AF70+AI70+AL70+AO70+AR70+AU70+AX70+BA70+BD70+BG70+BJ70</f>
        <v>18000000</v>
      </c>
      <c r="BQ70" s="403">
        <f t="shared" si="22"/>
        <v>0</v>
      </c>
      <c r="BR70" s="403">
        <f t="shared" si="23"/>
        <v>0</v>
      </c>
      <c r="BS70" s="349" t="s">
        <v>1658</v>
      </c>
      <c r="BT70" s="5"/>
    </row>
    <row r="71" spans="1:72" ht="103.5" customHeight="1" x14ac:dyDescent="0.2">
      <c r="A71" s="327">
        <v>310</v>
      </c>
      <c r="B71" s="326" t="s">
        <v>1628</v>
      </c>
      <c r="C71" s="323">
        <v>1</v>
      </c>
      <c r="D71" s="326" t="s">
        <v>1622</v>
      </c>
      <c r="E71" s="323">
        <v>33</v>
      </c>
      <c r="F71" s="417" t="s">
        <v>166</v>
      </c>
      <c r="G71" s="323">
        <v>3301</v>
      </c>
      <c r="H71" s="326" t="s">
        <v>167</v>
      </c>
      <c r="I71" s="323">
        <v>3301</v>
      </c>
      <c r="J71" s="326" t="s">
        <v>1606</v>
      </c>
      <c r="K71" s="326" t="s">
        <v>373</v>
      </c>
      <c r="L71" s="323">
        <v>3301085</v>
      </c>
      <c r="M71" s="326" t="s">
        <v>374</v>
      </c>
      <c r="N71" s="323">
        <v>3301085</v>
      </c>
      <c r="O71" s="326" t="s">
        <v>374</v>
      </c>
      <c r="P71" s="323" t="s">
        <v>375</v>
      </c>
      <c r="Q71" s="326" t="s">
        <v>376</v>
      </c>
      <c r="R71" s="323" t="s">
        <v>375</v>
      </c>
      <c r="S71" s="326" t="s">
        <v>376</v>
      </c>
      <c r="T71" s="349" t="s">
        <v>1691</v>
      </c>
      <c r="U71" s="103">
        <v>40000</v>
      </c>
      <c r="V71" s="103">
        <f>16298+394</f>
        <v>16692</v>
      </c>
      <c r="W71" s="427" t="s">
        <v>377</v>
      </c>
      <c r="X71" s="326" t="s">
        <v>378</v>
      </c>
      <c r="Y71" s="326" t="s">
        <v>379</v>
      </c>
      <c r="Z71" s="396">
        <f>80000000+75000000+62400000+90000000-22400000-50000000</f>
        <v>235000000</v>
      </c>
      <c r="AA71" s="348">
        <v>65705000</v>
      </c>
      <c r="AB71" s="348">
        <v>26910000</v>
      </c>
      <c r="AC71" s="419"/>
      <c r="AD71" s="419"/>
      <c r="AE71" s="419"/>
      <c r="AF71" s="419"/>
      <c r="AG71" s="419"/>
      <c r="AH71" s="419"/>
      <c r="AI71" s="419"/>
      <c r="AJ71" s="419"/>
      <c r="AK71" s="419"/>
      <c r="AL71" s="419"/>
      <c r="AM71" s="419"/>
      <c r="AN71" s="419"/>
      <c r="AO71" s="419"/>
      <c r="AP71" s="419"/>
      <c r="AQ71" s="419"/>
      <c r="AR71" s="419"/>
      <c r="AS71" s="419"/>
      <c r="AT71" s="419"/>
      <c r="AU71" s="419"/>
      <c r="AV71" s="419"/>
      <c r="AW71" s="419"/>
      <c r="AX71" s="419"/>
      <c r="AY71" s="419"/>
      <c r="AZ71" s="419"/>
      <c r="BA71" s="419"/>
      <c r="BB71" s="419"/>
      <c r="BC71" s="419"/>
      <c r="BD71" s="401">
        <f>20000000-6000000</f>
        <v>14000000</v>
      </c>
      <c r="BE71" s="348"/>
      <c r="BF71" s="348"/>
      <c r="BG71" s="420"/>
      <c r="BH71" s="419"/>
      <c r="BI71" s="419"/>
      <c r="BJ71" s="419">
        <v>12090000</v>
      </c>
      <c r="BK71" s="419">
        <v>7800000</v>
      </c>
      <c r="BL71" s="419">
        <v>0</v>
      </c>
      <c r="BM71" s="419"/>
      <c r="BN71" s="419"/>
      <c r="BO71" s="419"/>
      <c r="BP71" s="403">
        <f t="shared" si="21"/>
        <v>261090000</v>
      </c>
      <c r="BQ71" s="403">
        <f t="shared" si="22"/>
        <v>73505000</v>
      </c>
      <c r="BR71" s="403">
        <f t="shared" si="23"/>
        <v>26910000</v>
      </c>
      <c r="BS71" s="349" t="s">
        <v>1658</v>
      </c>
      <c r="BT71" s="5"/>
    </row>
    <row r="72" spans="1:72" ht="100.5" customHeight="1" x14ac:dyDescent="0.2">
      <c r="A72" s="327">
        <v>310</v>
      </c>
      <c r="B72" s="326" t="s">
        <v>1628</v>
      </c>
      <c r="C72" s="323">
        <v>1</v>
      </c>
      <c r="D72" s="326" t="s">
        <v>1622</v>
      </c>
      <c r="E72" s="323">
        <v>33</v>
      </c>
      <c r="F72" s="417" t="s">
        <v>166</v>
      </c>
      <c r="G72" s="323">
        <v>3301</v>
      </c>
      <c r="H72" s="326" t="s">
        <v>167</v>
      </c>
      <c r="I72" s="323">
        <v>3301</v>
      </c>
      <c r="J72" s="326" t="s">
        <v>1606</v>
      </c>
      <c r="K72" s="326" t="s">
        <v>373</v>
      </c>
      <c r="L72" s="323">
        <v>3301100</v>
      </c>
      <c r="M72" s="326" t="s">
        <v>380</v>
      </c>
      <c r="N72" s="323">
        <v>3301100</v>
      </c>
      <c r="O72" s="326" t="s">
        <v>380</v>
      </c>
      <c r="P72" s="466" t="s">
        <v>381</v>
      </c>
      <c r="Q72" s="326" t="s">
        <v>382</v>
      </c>
      <c r="R72" s="466" t="s">
        <v>381</v>
      </c>
      <c r="S72" s="326" t="s">
        <v>382</v>
      </c>
      <c r="T72" s="349" t="s">
        <v>1691</v>
      </c>
      <c r="U72" s="103">
        <v>10</v>
      </c>
      <c r="V72" s="103">
        <v>4</v>
      </c>
      <c r="W72" s="427" t="s">
        <v>377</v>
      </c>
      <c r="X72" s="326" t="s">
        <v>378</v>
      </c>
      <c r="Y72" s="326" t="s">
        <v>379</v>
      </c>
      <c r="Z72" s="396">
        <f>103982494.6+40030803-40000000-40000000</f>
        <v>64013297.599999994</v>
      </c>
      <c r="AA72" s="348">
        <v>47240000</v>
      </c>
      <c r="AB72" s="348">
        <v>0</v>
      </c>
      <c r="AC72" s="419"/>
      <c r="AD72" s="419"/>
      <c r="AE72" s="419"/>
      <c r="AF72" s="419"/>
      <c r="AG72" s="419"/>
      <c r="AH72" s="419"/>
      <c r="AI72" s="419"/>
      <c r="AJ72" s="419"/>
      <c r="AK72" s="419"/>
      <c r="AL72" s="419"/>
      <c r="AM72" s="419"/>
      <c r="AN72" s="419"/>
      <c r="AO72" s="419"/>
      <c r="AP72" s="419"/>
      <c r="AQ72" s="419"/>
      <c r="AR72" s="419"/>
      <c r="AS72" s="419"/>
      <c r="AT72" s="419"/>
      <c r="AU72" s="419"/>
      <c r="AV72" s="419"/>
      <c r="AW72" s="419"/>
      <c r="AX72" s="419"/>
      <c r="AY72" s="419"/>
      <c r="AZ72" s="419"/>
      <c r="BA72" s="419"/>
      <c r="BB72" s="419"/>
      <c r="BC72" s="419"/>
      <c r="BD72" s="401">
        <f>18000000-10000000</f>
        <v>8000000</v>
      </c>
      <c r="BE72" s="420">
        <v>8000000</v>
      </c>
      <c r="BF72" s="420">
        <v>0</v>
      </c>
      <c r="BG72" s="420"/>
      <c r="BH72" s="419"/>
      <c r="BI72" s="419"/>
      <c r="BJ72" s="419"/>
      <c r="BK72" s="419"/>
      <c r="BL72" s="419"/>
      <c r="BM72" s="419"/>
      <c r="BN72" s="419"/>
      <c r="BO72" s="419"/>
      <c r="BP72" s="403">
        <f t="shared" si="21"/>
        <v>72013297.599999994</v>
      </c>
      <c r="BQ72" s="403">
        <f t="shared" si="22"/>
        <v>55240000</v>
      </c>
      <c r="BR72" s="403">
        <f t="shared" si="23"/>
        <v>0</v>
      </c>
      <c r="BS72" s="349" t="s">
        <v>1658</v>
      </c>
      <c r="BT72" s="5"/>
    </row>
    <row r="73" spans="1:72" ht="111.75" customHeight="1" x14ac:dyDescent="0.2">
      <c r="A73" s="327">
        <v>310</v>
      </c>
      <c r="B73" s="326" t="s">
        <v>1628</v>
      </c>
      <c r="C73" s="323">
        <v>1</v>
      </c>
      <c r="D73" s="326" t="s">
        <v>1622</v>
      </c>
      <c r="E73" s="323">
        <v>33</v>
      </c>
      <c r="F73" s="417" t="s">
        <v>166</v>
      </c>
      <c r="G73" s="323">
        <v>3301</v>
      </c>
      <c r="H73" s="326" t="s">
        <v>167</v>
      </c>
      <c r="I73" s="323">
        <v>3301</v>
      </c>
      <c r="J73" s="326" t="s">
        <v>1606</v>
      </c>
      <c r="K73" s="326" t="s">
        <v>168</v>
      </c>
      <c r="L73" s="323">
        <v>3301095</v>
      </c>
      <c r="M73" s="326" t="s">
        <v>383</v>
      </c>
      <c r="N73" s="323">
        <v>3301095</v>
      </c>
      <c r="O73" s="326" t="s">
        <v>383</v>
      </c>
      <c r="P73" s="323" t="s">
        <v>384</v>
      </c>
      <c r="Q73" s="326" t="s">
        <v>385</v>
      </c>
      <c r="R73" s="323" t="s">
        <v>384</v>
      </c>
      <c r="S73" s="326" t="s">
        <v>385</v>
      </c>
      <c r="T73" s="349" t="s">
        <v>1691</v>
      </c>
      <c r="U73" s="103">
        <v>150</v>
      </c>
      <c r="V73" s="103">
        <v>50</v>
      </c>
      <c r="W73" s="349" t="s">
        <v>386</v>
      </c>
      <c r="X73" s="324" t="s">
        <v>387</v>
      </c>
      <c r="Y73" s="324" t="s">
        <v>388</v>
      </c>
      <c r="Z73" s="465">
        <f>183982494.6+1217244586.92</f>
        <v>1401227081.52</v>
      </c>
      <c r="AA73" s="465">
        <v>1144764638</v>
      </c>
      <c r="AB73" s="465">
        <v>1144764638</v>
      </c>
      <c r="AC73" s="419"/>
      <c r="AD73" s="419"/>
      <c r="AE73" s="419"/>
      <c r="AF73" s="419"/>
      <c r="AG73" s="419"/>
      <c r="AH73" s="419"/>
      <c r="AI73" s="419"/>
      <c r="AJ73" s="419"/>
      <c r="AK73" s="419"/>
      <c r="AL73" s="419"/>
      <c r="AM73" s="419"/>
      <c r="AN73" s="419"/>
      <c r="AO73" s="419"/>
      <c r="AP73" s="419"/>
      <c r="AQ73" s="419"/>
      <c r="AR73" s="419"/>
      <c r="AS73" s="419"/>
      <c r="AT73" s="419"/>
      <c r="AU73" s="419"/>
      <c r="AV73" s="419"/>
      <c r="AW73" s="419"/>
      <c r="AX73" s="419"/>
      <c r="AY73" s="419"/>
      <c r="AZ73" s="419"/>
      <c r="BA73" s="419"/>
      <c r="BB73" s="419"/>
      <c r="BC73" s="419"/>
      <c r="BD73" s="348">
        <v>20000000</v>
      </c>
      <c r="BE73" s="348">
        <v>0</v>
      </c>
      <c r="BF73" s="348">
        <v>0</v>
      </c>
      <c r="BG73" s="420"/>
      <c r="BH73" s="419"/>
      <c r="BI73" s="419"/>
      <c r="BJ73" s="419"/>
      <c r="BK73" s="419"/>
      <c r="BL73" s="419"/>
      <c r="BM73" s="419"/>
      <c r="BN73" s="419"/>
      <c r="BO73" s="419"/>
      <c r="BP73" s="403">
        <f t="shared" si="21"/>
        <v>1421227081.52</v>
      </c>
      <c r="BQ73" s="403">
        <f t="shared" si="22"/>
        <v>1144764638</v>
      </c>
      <c r="BR73" s="403">
        <f t="shared" si="23"/>
        <v>1144764638</v>
      </c>
      <c r="BS73" s="349" t="s">
        <v>1658</v>
      </c>
      <c r="BT73" s="5"/>
    </row>
    <row r="74" spans="1:72" ht="123" customHeight="1" x14ac:dyDescent="0.2">
      <c r="A74" s="327">
        <v>310</v>
      </c>
      <c r="B74" s="326" t="s">
        <v>1628</v>
      </c>
      <c r="C74" s="323">
        <v>1</v>
      </c>
      <c r="D74" s="326" t="s">
        <v>1622</v>
      </c>
      <c r="E74" s="323">
        <v>33</v>
      </c>
      <c r="F74" s="417" t="s">
        <v>166</v>
      </c>
      <c r="G74" s="323">
        <v>3302</v>
      </c>
      <c r="H74" s="457" t="s">
        <v>389</v>
      </c>
      <c r="I74" s="323">
        <v>3302</v>
      </c>
      <c r="J74" s="457" t="s">
        <v>1607</v>
      </c>
      <c r="K74" s="326" t="s">
        <v>390</v>
      </c>
      <c r="L74" s="448">
        <v>3302042</v>
      </c>
      <c r="M74" s="326" t="s">
        <v>391</v>
      </c>
      <c r="N74" s="448">
        <v>3302042</v>
      </c>
      <c r="O74" s="326" t="s">
        <v>391</v>
      </c>
      <c r="P74" s="323" t="s">
        <v>392</v>
      </c>
      <c r="Q74" s="326" t="s">
        <v>393</v>
      </c>
      <c r="R74" s="323" t="s">
        <v>392</v>
      </c>
      <c r="S74" s="326" t="s">
        <v>393</v>
      </c>
      <c r="T74" s="349" t="s">
        <v>1691</v>
      </c>
      <c r="U74" s="103">
        <v>12</v>
      </c>
      <c r="V74" s="103">
        <v>8</v>
      </c>
      <c r="W74" s="427" t="s">
        <v>394</v>
      </c>
      <c r="X74" s="324" t="s">
        <v>395</v>
      </c>
      <c r="Y74" s="452" t="s">
        <v>396</v>
      </c>
      <c r="Z74" s="419"/>
      <c r="AA74" s="419"/>
      <c r="AB74" s="419"/>
      <c r="AC74" s="419"/>
      <c r="AD74" s="419"/>
      <c r="AE74" s="419"/>
      <c r="AF74" s="419"/>
      <c r="AG74" s="419"/>
      <c r="AH74" s="419"/>
      <c r="AI74" s="419"/>
      <c r="AJ74" s="419"/>
      <c r="AK74" s="419"/>
      <c r="AL74" s="419"/>
      <c r="AM74" s="419"/>
      <c r="AN74" s="419"/>
      <c r="AO74" s="419"/>
      <c r="AP74" s="419"/>
      <c r="AQ74" s="419"/>
      <c r="AR74" s="419"/>
      <c r="AS74" s="419"/>
      <c r="AT74" s="419"/>
      <c r="AU74" s="419"/>
      <c r="AV74" s="419"/>
      <c r="AW74" s="419"/>
      <c r="AX74" s="419"/>
      <c r="AY74" s="419"/>
      <c r="AZ74" s="419"/>
      <c r="BA74" s="419"/>
      <c r="BB74" s="419"/>
      <c r="BC74" s="419"/>
      <c r="BD74" s="348">
        <v>66500000</v>
      </c>
      <c r="BE74" s="348">
        <v>47410000</v>
      </c>
      <c r="BF74" s="348">
        <v>24740000</v>
      </c>
      <c r="BG74" s="420"/>
      <c r="BH74" s="449"/>
      <c r="BI74" s="449"/>
      <c r="BJ74" s="455"/>
      <c r="BK74" s="455"/>
      <c r="BL74" s="455"/>
      <c r="BM74" s="455"/>
      <c r="BN74" s="455"/>
      <c r="BO74" s="455"/>
      <c r="BP74" s="403">
        <f t="shared" ref="BP74:BR75" si="24">+Z74+AC74+AF74+AI74+AL74+AO74+AR74+AU74+AX74+BA74+BD74+BG74+BJ74</f>
        <v>66500000</v>
      </c>
      <c r="BQ74" s="403">
        <f t="shared" si="24"/>
        <v>47410000</v>
      </c>
      <c r="BR74" s="403">
        <f t="shared" si="24"/>
        <v>24740000</v>
      </c>
      <c r="BS74" s="349" t="s">
        <v>1658</v>
      </c>
      <c r="BT74" s="5"/>
    </row>
    <row r="75" spans="1:72" ht="130.5" customHeight="1" x14ac:dyDescent="0.2">
      <c r="A75" s="327">
        <v>310</v>
      </c>
      <c r="B75" s="326" t="s">
        <v>1628</v>
      </c>
      <c r="C75" s="323">
        <v>1</v>
      </c>
      <c r="D75" s="326" t="s">
        <v>1622</v>
      </c>
      <c r="E75" s="323">
        <v>33</v>
      </c>
      <c r="F75" s="417" t="s">
        <v>166</v>
      </c>
      <c r="G75" s="323">
        <v>3302</v>
      </c>
      <c r="H75" s="457" t="s">
        <v>389</v>
      </c>
      <c r="I75" s="323">
        <v>3302</v>
      </c>
      <c r="J75" s="457" t="s">
        <v>1607</v>
      </c>
      <c r="K75" s="326" t="s">
        <v>390</v>
      </c>
      <c r="L75" s="448">
        <v>3302070</v>
      </c>
      <c r="M75" s="326" t="s">
        <v>397</v>
      </c>
      <c r="N75" s="448">
        <v>3302070</v>
      </c>
      <c r="O75" s="326" t="s">
        <v>397</v>
      </c>
      <c r="P75" s="466" t="s">
        <v>398</v>
      </c>
      <c r="Q75" s="326" t="s">
        <v>382</v>
      </c>
      <c r="R75" s="466" t="s">
        <v>398</v>
      </c>
      <c r="S75" s="326" t="s">
        <v>382</v>
      </c>
      <c r="T75" s="349" t="s">
        <v>1689</v>
      </c>
      <c r="U75" s="103">
        <v>4</v>
      </c>
      <c r="V75" s="103">
        <v>3</v>
      </c>
      <c r="W75" s="427" t="s">
        <v>394</v>
      </c>
      <c r="X75" s="324" t="s">
        <v>395</v>
      </c>
      <c r="Y75" s="452" t="s">
        <v>396</v>
      </c>
      <c r="Z75" s="428"/>
      <c r="AA75" s="428"/>
      <c r="AB75" s="428"/>
      <c r="AC75" s="419"/>
      <c r="AD75" s="419"/>
      <c r="AE75" s="419"/>
      <c r="AF75" s="419"/>
      <c r="AG75" s="419"/>
      <c r="AH75" s="419"/>
      <c r="AI75" s="419"/>
      <c r="AJ75" s="419"/>
      <c r="AK75" s="419"/>
      <c r="AL75" s="419"/>
      <c r="AM75" s="419"/>
      <c r="AN75" s="419"/>
      <c r="AO75" s="419"/>
      <c r="AP75" s="419"/>
      <c r="AQ75" s="419"/>
      <c r="AR75" s="419"/>
      <c r="AS75" s="419"/>
      <c r="AT75" s="419"/>
      <c r="AU75" s="419"/>
      <c r="AV75" s="419"/>
      <c r="AW75" s="419"/>
      <c r="AX75" s="419"/>
      <c r="AY75" s="419"/>
      <c r="AZ75" s="419"/>
      <c r="BA75" s="419"/>
      <c r="BB75" s="419"/>
      <c r="BC75" s="419"/>
      <c r="BD75" s="348">
        <v>66500000</v>
      </c>
      <c r="BE75" s="348">
        <v>38155000</v>
      </c>
      <c r="BF75" s="348">
        <v>21738874</v>
      </c>
      <c r="BG75" s="401">
        <f>263038142+34433.3-121874339</f>
        <v>141198236.30000001</v>
      </c>
      <c r="BH75" s="467"/>
      <c r="BI75" s="467"/>
      <c r="BJ75" s="455"/>
      <c r="BK75" s="455"/>
      <c r="BL75" s="455"/>
      <c r="BM75" s="455"/>
      <c r="BN75" s="455"/>
      <c r="BO75" s="455"/>
      <c r="BP75" s="403">
        <f t="shared" si="24"/>
        <v>207698236.30000001</v>
      </c>
      <c r="BQ75" s="403">
        <f t="shared" si="24"/>
        <v>38155000</v>
      </c>
      <c r="BR75" s="403">
        <f t="shared" si="24"/>
        <v>21738874</v>
      </c>
      <c r="BS75" s="349" t="s">
        <v>1658</v>
      </c>
      <c r="BT75" s="5"/>
    </row>
    <row r="76" spans="1:72" ht="72.75" customHeight="1" x14ac:dyDescent="0.2">
      <c r="A76" s="327">
        <v>311</v>
      </c>
      <c r="B76" s="326" t="s">
        <v>1631</v>
      </c>
      <c r="C76" s="323">
        <v>2</v>
      </c>
      <c r="D76" s="326" t="s">
        <v>1629</v>
      </c>
      <c r="E76" s="323">
        <v>35</v>
      </c>
      <c r="F76" s="326" t="s">
        <v>401</v>
      </c>
      <c r="G76" s="323">
        <v>3502</v>
      </c>
      <c r="H76" s="326" t="s">
        <v>1591</v>
      </c>
      <c r="I76" s="323">
        <v>3502</v>
      </c>
      <c r="J76" s="326" t="s">
        <v>1590</v>
      </c>
      <c r="K76" s="326" t="s">
        <v>403</v>
      </c>
      <c r="L76" s="327">
        <v>3502006</v>
      </c>
      <c r="M76" s="326" t="s">
        <v>404</v>
      </c>
      <c r="N76" s="327">
        <v>3502006</v>
      </c>
      <c r="O76" s="326" t="s">
        <v>404</v>
      </c>
      <c r="P76" s="323" t="s">
        <v>405</v>
      </c>
      <c r="Q76" s="326" t="s">
        <v>406</v>
      </c>
      <c r="R76" s="323" t="s">
        <v>405</v>
      </c>
      <c r="S76" s="326" t="s">
        <v>406</v>
      </c>
      <c r="T76" s="349" t="s">
        <v>1691</v>
      </c>
      <c r="U76" s="103">
        <v>1</v>
      </c>
      <c r="V76" s="103">
        <v>0.8</v>
      </c>
      <c r="W76" s="427" t="s">
        <v>407</v>
      </c>
      <c r="X76" s="324" t="s">
        <v>408</v>
      </c>
      <c r="Y76" s="452" t="s">
        <v>409</v>
      </c>
      <c r="Z76" s="419"/>
      <c r="AA76" s="419"/>
      <c r="AB76" s="419"/>
      <c r="AC76" s="419"/>
      <c r="AD76" s="419"/>
      <c r="AE76" s="419"/>
      <c r="AF76" s="419"/>
      <c r="AG76" s="419"/>
      <c r="AH76" s="419"/>
      <c r="AI76" s="419"/>
      <c r="AJ76" s="419"/>
      <c r="AK76" s="419"/>
      <c r="AL76" s="419"/>
      <c r="AM76" s="419"/>
      <c r="AN76" s="419"/>
      <c r="AO76" s="419"/>
      <c r="AP76" s="419"/>
      <c r="AQ76" s="419"/>
      <c r="AR76" s="419"/>
      <c r="AS76" s="419"/>
      <c r="AT76" s="419"/>
      <c r="AU76" s="419"/>
      <c r="AV76" s="419"/>
      <c r="AW76" s="419"/>
      <c r="AX76" s="419"/>
      <c r="AY76" s="419"/>
      <c r="AZ76" s="419"/>
      <c r="BA76" s="419"/>
      <c r="BB76" s="419"/>
      <c r="BC76" s="419"/>
      <c r="BD76" s="424">
        <v>27000000</v>
      </c>
      <c r="BE76" s="424">
        <v>23100000</v>
      </c>
      <c r="BF76" s="424">
        <v>16500000</v>
      </c>
      <c r="BG76" s="419"/>
      <c r="BH76" s="419"/>
      <c r="BI76" s="419"/>
      <c r="BJ76" s="419"/>
      <c r="BK76" s="419"/>
      <c r="BL76" s="419"/>
      <c r="BM76" s="419"/>
      <c r="BN76" s="419"/>
      <c r="BO76" s="419"/>
      <c r="BP76" s="403">
        <f t="shared" ref="BP76:BR77" si="25">+Z76+AC76+AF76+AI76+AL76+AO76+AR76+AU76+AX76+BA76+BD76+BG76+BJ76</f>
        <v>27000000</v>
      </c>
      <c r="BQ76" s="403">
        <f t="shared" si="25"/>
        <v>23100000</v>
      </c>
      <c r="BR76" s="403">
        <f t="shared" si="25"/>
        <v>16500000</v>
      </c>
      <c r="BS76" s="397" t="s">
        <v>1659</v>
      </c>
      <c r="BT76" s="5"/>
    </row>
    <row r="77" spans="1:72" ht="87" customHeight="1" x14ac:dyDescent="0.2">
      <c r="A77" s="327">
        <v>311</v>
      </c>
      <c r="B77" s="326" t="s">
        <v>1631</v>
      </c>
      <c r="C77" s="323">
        <v>2</v>
      </c>
      <c r="D77" s="326" t="s">
        <v>1629</v>
      </c>
      <c r="E77" s="323">
        <v>35</v>
      </c>
      <c r="F77" s="326" t="s">
        <v>401</v>
      </c>
      <c r="G77" s="323">
        <v>3502</v>
      </c>
      <c r="H77" s="326" t="s">
        <v>1591</v>
      </c>
      <c r="I77" s="323">
        <v>3502</v>
      </c>
      <c r="J77" s="326" t="s">
        <v>1590</v>
      </c>
      <c r="K77" s="326" t="s">
        <v>403</v>
      </c>
      <c r="L77" s="327">
        <v>3502007</v>
      </c>
      <c r="M77" s="326" t="s">
        <v>410</v>
      </c>
      <c r="N77" s="327">
        <v>3502007</v>
      </c>
      <c r="O77" s="326" t="s">
        <v>410</v>
      </c>
      <c r="P77" s="323" t="s">
        <v>411</v>
      </c>
      <c r="Q77" s="326" t="s">
        <v>412</v>
      </c>
      <c r="R77" s="323" t="s">
        <v>411</v>
      </c>
      <c r="S77" s="326" t="s">
        <v>412</v>
      </c>
      <c r="T77" s="349" t="s">
        <v>1689</v>
      </c>
      <c r="U77" s="103">
        <v>7</v>
      </c>
      <c r="V77" s="103">
        <v>7</v>
      </c>
      <c r="W77" s="427" t="s">
        <v>407</v>
      </c>
      <c r="X77" s="324" t="s">
        <v>408</v>
      </c>
      <c r="Y77" s="452" t="s">
        <v>409</v>
      </c>
      <c r="Z77" s="419"/>
      <c r="AA77" s="419"/>
      <c r="AB77" s="419"/>
      <c r="AC77" s="419"/>
      <c r="AD77" s="419"/>
      <c r="AE77" s="419"/>
      <c r="AF77" s="419"/>
      <c r="AG77" s="419"/>
      <c r="AH77" s="419"/>
      <c r="AI77" s="419"/>
      <c r="AJ77" s="419"/>
      <c r="AK77" s="419"/>
      <c r="AL77" s="419"/>
      <c r="AM77" s="419"/>
      <c r="AN77" s="419"/>
      <c r="AO77" s="419"/>
      <c r="AP77" s="419"/>
      <c r="AQ77" s="419"/>
      <c r="AR77" s="419"/>
      <c r="AS77" s="419"/>
      <c r="AT77" s="419"/>
      <c r="AU77" s="419"/>
      <c r="AV77" s="419"/>
      <c r="AW77" s="419"/>
      <c r="AX77" s="419"/>
      <c r="AY77" s="419"/>
      <c r="AZ77" s="419"/>
      <c r="BA77" s="419"/>
      <c r="BB77" s="419"/>
      <c r="BC77" s="419"/>
      <c r="BD77" s="424">
        <v>50000000</v>
      </c>
      <c r="BE77" s="424">
        <v>42695000</v>
      </c>
      <c r="BF77" s="424">
        <v>14425000</v>
      </c>
      <c r="BG77" s="419"/>
      <c r="BH77" s="419"/>
      <c r="BI77" s="419"/>
      <c r="BJ77" s="419"/>
      <c r="BK77" s="419"/>
      <c r="BL77" s="419"/>
      <c r="BM77" s="419"/>
      <c r="BN77" s="419"/>
      <c r="BO77" s="419"/>
      <c r="BP77" s="403">
        <f t="shared" si="25"/>
        <v>50000000</v>
      </c>
      <c r="BQ77" s="403">
        <f t="shared" si="25"/>
        <v>42695000</v>
      </c>
      <c r="BR77" s="403">
        <f t="shared" si="25"/>
        <v>14425000</v>
      </c>
      <c r="BS77" s="397" t="s">
        <v>1659</v>
      </c>
      <c r="BT77" s="5"/>
    </row>
    <row r="78" spans="1:72" ht="68.25" customHeight="1" x14ac:dyDescent="0.2">
      <c r="A78" s="327">
        <v>311</v>
      </c>
      <c r="B78" s="326" t="s">
        <v>1631</v>
      </c>
      <c r="C78" s="323">
        <v>2</v>
      </c>
      <c r="D78" s="326" t="s">
        <v>1629</v>
      </c>
      <c r="E78" s="323">
        <v>35</v>
      </c>
      <c r="F78" s="326" t="s">
        <v>401</v>
      </c>
      <c r="G78" s="323">
        <v>3502</v>
      </c>
      <c r="H78" s="326" t="s">
        <v>1591</v>
      </c>
      <c r="I78" s="323">
        <v>3502</v>
      </c>
      <c r="J78" s="326" t="s">
        <v>1590</v>
      </c>
      <c r="K78" s="326" t="s">
        <v>403</v>
      </c>
      <c r="L78" s="435">
        <v>3502022</v>
      </c>
      <c r="M78" s="326" t="s">
        <v>1485</v>
      </c>
      <c r="N78" s="435">
        <v>3502022</v>
      </c>
      <c r="O78" s="326" t="s">
        <v>1485</v>
      </c>
      <c r="P78" s="99" t="s">
        <v>413</v>
      </c>
      <c r="Q78" s="326" t="s">
        <v>414</v>
      </c>
      <c r="R78" s="99" t="s">
        <v>413</v>
      </c>
      <c r="S78" s="326" t="s">
        <v>414</v>
      </c>
      <c r="T78" s="349" t="s">
        <v>1689</v>
      </c>
      <c r="U78" s="103">
        <v>14</v>
      </c>
      <c r="V78" s="103">
        <v>14</v>
      </c>
      <c r="W78" s="427" t="s">
        <v>415</v>
      </c>
      <c r="X78" s="324" t="s">
        <v>416</v>
      </c>
      <c r="Y78" s="452" t="s">
        <v>417</v>
      </c>
      <c r="Z78" s="419"/>
      <c r="AA78" s="419"/>
      <c r="AB78" s="419"/>
      <c r="AC78" s="419"/>
      <c r="AD78" s="419"/>
      <c r="AE78" s="419"/>
      <c r="AF78" s="419"/>
      <c r="AG78" s="419"/>
      <c r="AH78" s="419"/>
      <c r="AI78" s="419"/>
      <c r="AJ78" s="419"/>
      <c r="AK78" s="419"/>
      <c r="AL78" s="419"/>
      <c r="AM78" s="419"/>
      <c r="AN78" s="419"/>
      <c r="AO78" s="419"/>
      <c r="AP78" s="419"/>
      <c r="AQ78" s="419"/>
      <c r="AR78" s="419"/>
      <c r="AS78" s="419"/>
      <c r="AT78" s="419"/>
      <c r="AU78" s="419"/>
      <c r="AV78" s="419"/>
      <c r="AW78" s="419"/>
      <c r="AX78" s="419"/>
      <c r="AY78" s="419"/>
      <c r="AZ78" s="419"/>
      <c r="BA78" s="419"/>
      <c r="BB78" s="419"/>
      <c r="BC78" s="419"/>
      <c r="BD78" s="424">
        <v>90000000</v>
      </c>
      <c r="BE78" s="424">
        <v>20000000</v>
      </c>
      <c r="BF78" s="424">
        <v>13200000</v>
      </c>
      <c r="BG78" s="419"/>
      <c r="BH78" s="419"/>
      <c r="BI78" s="419"/>
      <c r="BJ78" s="419"/>
      <c r="BK78" s="419"/>
      <c r="BL78" s="419"/>
      <c r="BM78" s="419"/>
      <c r="BN78" s="419"/>
      <c r="BO78" s="419"/>
      <c r="BP78" s="403">
        <f t="shared" ref="BP78:BP83" si="26">+Z78+AC78+AF78+AI78+AL78+AO78+AR78+AU78+AX78+BA78+BD78+BG78+BJ78</f>
        <v>90000000</v>
      </c>
      <c r="BQ78" s="403">
        <f t="shared" ref="BQ78:BR83" si="27">+AA78+AD78+AG78+AJ78+AM78+AP78+AS78+AV78+AY78+BB78+BE78+BH78+BK78</f>
        <v>20000000</v>
      </c>
      <c r="BR78" s="403">
        <f t="shared" si="27"/>
        <v>13200000</v>
      </c>
      <c r="BS78" s="397" t="s">
        <v>1659</v>
      </c>
      <c r="BT78" s="5"/>
    </row>
    <row r="79" spans="1:72" ht="84.75" customHeight="1" x14ac:dyDescent="0.2">
      <c r="A79" s="327">
        <v>311</v>
      </c>
      <c r="B79" s="326" t="s">
        <v>1631</v>
      </c>
      <c r="C79" s="323">
        <v>2</v>
      </c>
      <c r="D79" s="326" t="s">
        <v>1629</v>
      </c>
      <c r="E79" s="323">
        <v>35</v>
      </c>
      <c r="F79" s="326" t="s">
        <v>401</v>
      </c>
      <c r="G79" s="323">
        <v>3502</v>
      </c>
      <c r="H79" s="326" t="s">
        <v>1591</v>
      </c>
      <c r="I79" s="323">
        <v>3502</v>
      </c>
      <c r="J79" s="326" t="s">
        <v>1590</v>
      </c>
      <c r="K79" s="326" t="s">
        <v>403</v>
      </c>
      <c r="L79" s="435">
        <v>3502047</v>
      </c>
      <c r="M79" s="326" t="s">
        <v>233</v>
      </c>
      <c r="N79" s="435">
        <v>3502047</v>
      </c>
      <c r="O79" s="326" t="s">
        <v>233</v>
      </c>
      <c r="P79" s="99" t="s">
        <v>418</v>
      </c>
      <c r="Q79" s="443" t="s">
        <v>235</v>
      </c>
      <c r="R79" s="99" t="s">
        <v>418</v>
      </c>
      <c r="S79" s="443" t="s">
        <v>235</v>
      </c>
      <c r="T79" s="349" t="s">
        <v>1691</v>
      </c>
      <c r="U79" s="103" t="s">
        <v>419</v>
      </c>
      <c r="V79" s="103">
        <v>0.45</v>
      </c>
      <c r="W79" s="427" t="s">
        <v>415</v>
      </c>
      <c r="X79" s="324" t="s">
        <v>416</v>
      </c>
      <c r="Y79" s="452" t="s">
        <v>417</v>
      </c>
      <c r="Z79" s="419"/>
      <c r="AA79" s="419"/>
      <c r="AB79" s="419"/>
      <c r="AC79" s="419"/>
      <c r="AD79" s="419"/>
      <c r="AE79" s="419"/>
      <c r="AF79" s="419"/>
      <c r="AG79" s="419"/>
      <c r="AH79" s="419"/>
      <c r="AI79" s="419"/>
      <c r="AJ79" s="419"/>
      <c r="AK79" s="419"/>
      <c r="AL79" s="419"/>
      <c r="AM79" s="419"/>
      <c r="AN79" s="419"/>
      <c r="AO79" s="419"/>
      <c r="AP79" s="419"/>
      <c r="AQ79" s="419"/>
      <c r="AR79" s="419"/>
      <c r="AS79" s="419"/>
      <c r="AT79" s="419"/>
      <c r="AU79" s="419"/>
      <c r="AV79" s="419"/>
      <c r="AW79" s="419"/>
      <c r="AX79" s="419"/>
      <c r="AY79" s="419"/>
      <c r="AZ79" s="419"/>
      <c r="BA79" s="419"/>
      <c r="BB79" s="419"/>
      <c r="BC79" s="419"/>
      <c r="BD79" s="424">
        <f>130000000+30000000</f>
        <v>160000000</v>
      </c>
      <c r="BE79" s="424">
        <v>86495000</v>
      </c>
      <c r="BF79" s="424">
        <v>27625000</v>
      </c>
      <c r="BG79" s="419"/>
      <c r="BH79" s="419"/>
      <c r="BI79" s="419"/>
      <c r="BJ79" s="419"/>
      <c r="BK79" s="419"/>
      <c r="BL79" s="419"/>
      <c r="BM79" s="419"/>
      <c r="BN79" s="419"/>
      <c r="BO79" s="419"/>
      <c r="BP79" s="403">
        <f t="shared" si="26"/>
        <v>160000000</v>
      </c>
      <c r="BQ79" s="403">
        <f t="shared" si="27"/>
        <v>86495000</v>
      </c>
      <c r="BR79" s="403">
        <f t="shared" si="27"/>
        <v>27625000</v>
      </c>
      <c r="BS79" s="397" t="s">
        <v>1659</v>
      </c>
      <c r="BT79" s="5"/>
    </row>
    <row r="80" spans="1:72" ht="126" customHeight="1" x14ac:dyDescent="0.2">
      <c r="A80" s="327">
        <v>311</v>
      </c>
      <c r="B80" s="326" t="s">
        <v>1631</v>
      </c>
      <c r="C80" s="323">
        <v>2</v>
      </c>
      <c r="D80" s="326" t="s">
        <v>1629</v>
      </c>
      <c r="E80" s="323">
        <v>35</v>
      </c>
      <c r="F80" s="326" t="s">
        <v>401</v>
      </c>
      <c r="G80" s="323">
        <v>3502</v>
      </c>
      <c r="H80" s="326" t="s">
        <v>1591</v>
      </c>
      <c r="I80" s="323">
        <v>3502</v>
      </c>
      <c r="J80" s="326" t="s">
        <v>1590</v>
      </c>
      <c r="K80" s="326" t="s">
        <v>420</v>
      </c>
      <c r="L80" s="435">
        <v>3502039</v>
      </c>
      <c r="M80" s="326" t="s">
        <v>421</v>
      </c>
      <c r="N80" s="435">
        <v>3502039</v>
      </c>
      <c r="O80" s="326" t="s">
        <v>421</v>
      </c>
      <c r="P80" s="323" t="s">
        <v>422</v>
      </c>
      <c r="Q80" s="326" t="s">
        <v>105</v>
      </c>
      <c r="R80" s="323" t="s">
        <v>422</v>
      </c>
      <c r="S80" s="326" t="s">
        <v>105</v>
      </c>
      <c r="T80" s="349" t="s">
        <v>1689</v>
      </c>
      <c r="U80" s="103">
        <v>12</v>
      </c>
      <c r="V80" s="103">
        <v>12</v>
      </c>
      <c r="W80" s="427" t="s">
        <v>423</v>
      </c>
      <c r="X80" s="324" t="s">
        <v>424</v>
      </c>
      <c r="Y80" s="452" t="s">
        <v>425</v>
      </c>
      <c r="Z80" s="419"/>
      <c r="AA80" s="419"/>
      <c r="AB80" s="419"/>
      <c r="AC80" s="419"/>
      <c r="AD80" s="419"/>
      <c r="AE80" s="419"/>
      <c r="AF80" s="419"/>
      <c r="AG80" s="419"/>
      <c r="AH80" s="419"/>
      <c r="AI80" s="419"/>
      <c r="AJ80" s="419"/>
      <c r="AK80" s="419"/>
      <c r="AL80" s="419"/>
      <c r="AM80" s="419"/>
      <c r="AN80" s="419"/>
      <c r="AO80" s="419"/>
      <c r="AP80" s="419"/>
      <c r="AQ80" s="419"/>
      <c r="AR80" s="419"/>
      <c r="AS80" s="419"/>
      <c r="AT80" s="419"/>
      <c r="AU80" s="419"/>
      <c r="AV80" s="419"/>
      <c r="AW80" s="419"/>
      <c r="AX80" s="419"/>
      <c r="AY80" s="419"/>
      <c r="AZ80" s="419"/>
      <c r="BA80" s="419"/>
      <c r="BB80" s="419"/>
      <c r="BC80" s="419"/>
      <c r="BD80" s="424">
        <f>80000000+55000000</f>
        <v>135000000</v>
      </c>
      <c r="BE80" s="424">
        <v>127490000</v>
      </c>
      <c r="BF80" s="424">
        <v>76165000</v>
      </c>
      <c r="BG80" s="419"/>
      <c r="BH80" s="419"/>
      <c r="BI80" s="419"/>
      <c r="BJ80" s="419"/>
      <c r="BK80" s="419"/>
      <c r="BL80" s="419"/>
      <c r="BM80" s="419"/>
      <c r="BN80" s="419"/>
      <c r="BO80" s="419"/>
      <c r="BP80" s="403">
        <f t="shared" si="26"/>
        <v>135000000</v>
      </c>
      <c r="BQ80" s="403">
        <f t="shared" si="27"/>
        <v>127490000</v>
      </c>
      <c r="BR80" s="403">
        <f t="shared" si="27"/>
        <v>76165000</v>
      </c>
      <c r="BS80" s="397" t="s">
        <v>1659</v>
      </c>
      <c r="BT80" s="5"/>
    </row>
    <row r="81" spans="1:110" ht="116.25" customHeight="1" x14ac:dyDescent="0.2">
      <c r="A81" s="327">
        <v>311</v>
      </c>
      <c r="B81" s="326" t="s">
        <v>1631</v>
      </c>
      <c r="C81" s="323">
        <v>2</v>
      </c>
      <c r="D81" s="326" t="s">
        <v>1629</v>
      </c>
      <c r="E81" s="323">
        <v>35</v>
      </c>
      <c r="F81" s="326" t="s">
        <v>401</v>
      </c>
      <c r="G81" s="323">
        <v>3502</v>
      </c>
      <c r="H81" s="326" t="s">
        <v>1591</v>
      </c>
      <c r="I81" s="323">
        <v>3502</v>
      </c>
      <c r="J81" s="326" t="s">
        <v>1590</v>
      </c>
      <c r="K81" s="326" t="s">
        <v>403</v>
      </c>
      <c r="L81" s="435">
        <v>3502047</v>
      </c>
      <c r="M81" s="326" t="s">
        <v>233</v>
      </c>
      <c r="N81" s="435">
        <v>3502047</v>
      </c>
      <c r="O81" s="326" t="s">
        <v>233</v>
      </c>
      <c r="P81" s="323" t="s">
        <v>418</v>
      </c>
      <c r="Q81" s="326" t="s">
        <v>235</v>
      </c>
      <c r="R81" s="323" t="s">
        <v>418</v>
      </c>
      <c r="S81" s="326" t="s">
        <v>235</v>
      </c>
      <c r="T81" s="349" t="s">
        <v>1691</v>
      </c>
      <c r="U81" s="103" t="s">
        <v>419</v>
      </c>
      <c r="V81" s="103">
        <v>0.5</v>
      </c>
      <c r="W81" s="427" t="s">
        <v>423</v>
      </c>
      <c r="X81" s="324" t="s">
        <v>424</v>
      </c>
      <c r="Y81" s="452" t="s">
        <v>425</v>
      </c>
      <c r="Z81" s="419"/>
      <c r="AA81" s="419"/>
      <c r="AB81" s="419"/>
      <c r="AC81" s="419"/>
      <c r="AD81" s="419"/>
      <c r="AE81" s="419"/>
      <c r="AF81" s="419"/>
      <c r="AG81" s="419"/>
      <c r="AH81" s="419"/>
      <c r="AI81" s="419"/>
      <c r="AJ81" s="419"/>
      <c r="AK81" s="419"/>
      <c r="AL81" s="419"/>
      <c r="AM81" s="419"/>
      <c r="AN81" s="419"/>
      <c r="AO81" s="419"/>
      <c r="AP81" s="419"/>
      <c r="AQ81" s="419"/>
      <c r="AR81" s="419"/>
      <c r="AS81" s="419"/>
      <c r="AT81" s="419"/>
      <c r="AU81" s="419"/>
      <c r="AV81" s="419"/>
      <c r="AW81" s="419"/>
      <c r="AX81" s="419"/>
      <c r="AY81" s="419"/>
      <c r="AZ81" s="419"/>
      <c r="BA81" s="419"/>
      <c r="BB81" s="419"/>
      <c r="BC81" s="419"/>
      <c r="BD81" s="424">
        <v>18000000</v>
      </c>
      <c r="BE81" s="424">
        <v>18000000</v>
      </c>
      <c r="BF81" s="424">
        <v>5525000</v>
      </c>
      <c r="BG81" s="419"/>
      <c r="BH81" s="419"/>
      <c r="BI81" s="419"/>
      <c r="BJ81" s="419"/>
      <c r="BK81" s="419"/>
      <c r="BL81" s="419"/>
      <c r="BM81" s="419"/>
      <c r="BN81" s="419"/>
      <c r="BO81" s="419"/>
      <c r="BP81" s="403">
        <f>+Z81+AC81+AF81+AI81+AL81+AO81+AR81+AU81+AX81+BA81+BD81+BG81+BJ81</f>
        <v>18000000</v>
      </c>
      <c r="BQ81" s="403">
        <f t="shared" si="27"/>
        <v>18000000</v>
      </c>
      <c r="BR81" s="403">
        <f t="shared" si="27"/>
        <v>5525000</v>
      </c>
      <c r="BS81" s="397" t="s">
        <v>1659</v>
      </c>
      <c r="BT81" s="5"/>
    </row>
    <row r="82" spans="1:110" s="2" customFormat="1" ht="111" customHeight="1" x14ac:dyDescent="0.2">
      <c r="A82" s="327">
        <v>311</v>
      </c>
      <c r="B82" s="326" t="s">
        <v>1631</v>
      </c>
      <c r="C82" s="323">
        <v>2</v>
      </c>
      <c r="D82" s="326" t="s">
        <v>1629</v>
      </c>
      <c r="E82" s="323">
        <v>35</v>
      </c>
      <c r="F82" s="326" t="s">
        <v>401</v>
      </c>
      <c r="G82" s="323">
        <v>3502</v>
      </c>
      <c r="H82" s="326" t="s">
        <v>1591</v>
      </c>
      <c r="I82" s="323">
        <v>3502</v>
      </c>
      <c r="J82" s="326" t="s">
        <v>1590</v>
      </c>
      <c r="K82" s="326" t="s">
        <v>420</v>
      </c>
      <c r="L82" s="435">
        <v>3502039</v>
      </c>
      <c r="M82" s="326" t="s">
        <v>421</v>
      </c>
      <c r="N82" s="435">
        <v>3502039</v>
      </c>
      <c r="O82" s="326" t="s">
        <v>421</v>
      </c>
      <c r="P82" s="99">
        <v>350203910</v>
      </c>
      <c r="Q82" s="326" t="s">
        <v>426</v>
      </c>
      <c r="R82" s="99">
        <v>350203910</v>
      </c>
      <c r="S82" s="326" t="s">
        <v>426</v>
      </c>
      <c r="T82" s="349" t="s">
        <v>1691</v>
      </c>
      <c r="U82" s="103">
        <v>1</v>
      </c>
      <c r="V82" s="103">
        <v>3</v>
      </c>
      <c r="W82" s="427" t="s">
        <v>423</v>
      </c>
      <c r="X82" s="324" t="s">
        <v>424</v>
      </c>
      <c r="Y82" s="452" t="s">
        <v>425</v>
      </c>
      <c r="Z82" s="419"/>
      <c r="AA82" s="419"/>
      <c r="AB82" s="419"/>
      <c r="AC82" s="419"/>
      <c r="AD82" s="419"/>
      <c r="AE82" s="419"/>
      <c r="AF82" s="419"/>
      <c r="AG82" s="419"/>
      <c r="AH82" s="419"/>
      <c r="AI82" s="419"/>
      <c r="AJ82" s="419"/>
      <c r="AK82" s="419"/>
      <c r="AL82" s="419"/>
      <c r="AM82" s="419"/>
      <c r="AN82" s="419"/>
      <c r="AO82" s="419"/>
      <c r="AP82" s="419"/>
      <c r="AQ82" s="419"/>
      <c r="AR82" s="419"/>
      <c r="AS82" s="419"/>
      <c r="AT82" s="419"/>
      <c r="AU82" s="419"/>
      <c r="AV82" s="419"/>
      <c r="AW82" s="419"/>
      <c r="AX82" s="419"/>
      <c r="AY82" s="419"/>
      <c r="AZ82" s="419"/>
      <c r="BA82" s="419"/>
      <c r="BB82" s="419"/>
      <c r="BC82" s="419"/>
      <c r="BD82" s="424">
        <f>100000000+1498856036</f>
        <v>1598856036</v>
      </c>
      <c r="BE82" s="424">
        <v>1598856036</v>
      </c>
      <c r="BF82" s="424"/>
      <c r="BG82" s="419"/>
      <c r="BH82" s="419"/>
      <c r="BI82" s="419"/>
      <c r="BJ82" s="419"/>
      <c r="BK82" s="419"/>
      <c r="BL82" s="419"/>
      <c r="BM82" s="419"/>
      <c r="BN82" s="419"/>
      <c r="BO82" s="419"/>
      <c r="BP82" s="403">
        <f t="shared" si="26"/>
        <v>1598856036</v>
      </c>
      <c r="BQ82" s="403">
        <f t="shared" si="27"/>
        <v>1598856036</v>
      </c>
      <c r="BR82" s="403">
        <f t="shared" si="27"/>
        <v>0</v>
      </c>
      <c r="BS82" s="397" t="s">
        <v>1659</v>
      </c>
      <c r="BT82" s="5"/>
    </row>
    <row r="83" spans="1:110" s="17" customFormat="1" ht="98.25" customHeight="1" x14ac:dyDescent="0.25">
      <c r="A83" s="327">
        <v>311</v>
      </c>
      <c r="B83" s="326" t="s">
        <v>1631</v>
      </c>
      <c r="C83" s="323">
        <v>2</v>
      </c>
      <c r="D83" s="326" t="s">
        <v>1629</v>
      </c>
      <c r="E83" s="323">
        <v>35</v>
      </c>
      <c r="F83" s="326" t="s">
        <v>401</v>
      </c>
      <c r="G83" s="323">
        <v>3502</v>
      </c>
      <c r="H83" s="326" t="s">
        <v>1591</v>
      </c>
      <c r="I83" s="323">
        <v>3502</v>
      </c>
      <c r="J83" s="326" t="s">
        <v>1590</v>
      </c>
      <c r="K83" s="326" t="s">
        <v>420</v>
      </c>
      <c r="L83" s="435">
        <v>3502046</v>
      </c>
      <c r="M83" s="326" t="s">
        <v>427</v>
      </c>
      <c r="N83" s="435">
        <v>3502046</v>
      </c>
      <c r="O83" s="326" t="s">
        <v>427</v>
      </c>
      <c r="P83" s="323" t="s">
        <v>428</v>
      </c>
      <c r="Q83" s="326" t="s">
        <v>429</v>
      </c>
      <c r="R83" s="323" t="s">
        <v>428</v>
      </c>
      <c r="S83" s="326" t="s">
        <v>429</v>
      </c>
      <c r="T83" s="349" t="s">
        <v>1691</v>
      </c>
      <c r="U83" s="103">
        <v>1</v>
      </c>
      <c r="V83" s="103">
        <v>0.75</v>
      </c>
      <c r="W83" s="427" t="s">
        <v>430</v>
      </c>
      <c r="X83" s="326" t="s">
        <v>431</v>
      </c>
      <c r="Y83" s="326" t="s">
        <v>432</v>
      </c>
      <c r="Z83" s="419"/>
      <c r="AA83" s="419"/>
      <c r="AB83" s="419"/>
      <c r="AC83" s="419"/>
      <c r="AD83" s="419"/>
      <c r="AE83" s="419"/>
      <c r="AF83" s="419"/>
      <c r="AG83" s="419"/>
      <c r="AH83" s="419"/>
      <c r="AI83" s="419"/>
      <c r="AJ83" s="419"/>
      <c r="AK83" s="419"/>
      <c r="AL83" s="419"/>
      <c r="AM83" s="419"/>
      <c r="AN83" s="419"/>
      <c r="AO83" s="419"/>
      <c r="AP83" s="419"/>
      <c r="AQ83" s="419"/>
      <c r="AR83" s="419"/>
      <c r="AS83" s="419"/>
      <c r="AT83" s="419"/>
      <c r="AU83" s="419"/>
      <c r="AV83" s="419"/>
      <c r="AW83" s="419"/>
      <c r="AX83" s="419"/>
      <c r="AY83" s="419"/>
      <c r="AZ83" s="419"/>
      <c r="BA83" s="419"/>
      <c r="BB83" s="419"/>
      <c r="BC83" s="419"/>
      <c r="BD83" s="424">
        <v>100000000</v>
      </c>
      <c r="BE83" s="424">
        <v>0</v>
      </c>
      <c r="BF83" s="424">
        <v>0</v>
      </c>
      <c r="BG83" s="454">
        <f>664872303.76+340359369.85</f>
        <v>1005231673.61</v>
      </c>
      <c r="BH83" s="454">
        <v>325901665</v>
      </c>
      <c r="BI83" s="454">
        <v>275718900</v>
      </c>
      <c r="BJ83" s="454"/>
      <c r="BK83" s="454"/>
      <c r="BL83" s="454"/>
      <c r="BM83" s="454"/>
      <c r="BN83" s="454"/>
      <c r="BO83" s="454"/>
      <c r="BP83" s="403">
        <f t="shared" si="26"/>
        <v>1105231673.6100001</v>
      </c>
      <c r="BQ83" s="403">
        <f t="shared" si="27"/>
        <v>325901665</v>
      </c>
      <c r="BR83" s="403">
        <f t="shared" si="27"/>
        <v>275718900</v>
      </c>
      <c r="BS83" s="397" t="s">
        <v>1659</v>
      </c>
      <c r="BT83" s="5"/>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row>
    <row r="84" spans="1:110" ht="84" customHeight="1" x14ac:dyDescent="0.2">
      <c r="A84" s="327">
        <v>311</v>
      </c>
      <c r="B84" s="326" t="s">
        <v>1631</v>
      </c>
      <c r="C84" s="323">
        <v>2</v>
      </c>
      <c r="D84" s="326" t="s">
        <v>1629</v>
      </c>
      <c r="E84" s="323">
        <v>36</v>
      </c>
      <c r="F84" s="323" t="s">
        <v>433</v>
      </c>
      <c r="G84" s="323">
        <v>3602</v>
      </c>
      <c r="H84" s="326" t="s">
        <v>434</v>
      </c>
      <c r="I84" s="323">
        <v>3602</v>
      </c>
      <c r="J84" s="326" t="s">
        <v>1608</v>
      </c>
      <c r="K84" s="326" t="s">
        <v>403</v>
      </c>
      <c r="L84" s="323">
        <v>3602018</v>
      </c>
      <c r="M84" s="326" t="s">
        <v>435</v>
      </c>
      <c r="N84" s="323">
        <v>3602018</v>
      </c>
      <c r="O84" s="326" t="s">
        <v>435</v>
      </c>
      <c r="P84" s="99" t="s">
        <v>436</v>
      </c>
      <c r="Q84" s="443" t="s">
        <v>437</v>
      </c>
      <c r="R84" s="99" t="s">
        <v>436</v>
      </c>
      <c r="S84" s="443" t="s">
        <v>437</v>
      </c>
      <c r="T84" s="349" t="s">
        <v>1691</v>
      </c>
      <c r="U84" s="103">
        <v>3</v>
      </c>
      <c r="V84" s="103">
        <v>0</v>
      </c>
      <c r="W84" s="427" t="s">
        <v>438</v>
      </c>
      <c r="X84" s="326" t="s">
        <v>439</v>
      </c>
      <c r="Y84" s="326" t="s">
        <v>440</v>
      </c>
      <c r="Z84" s="419"/>
      <c r="AA84" s="419"/>
      <c r="AB84" s="419"/>
      <c r="AC84" s="419"/>
      <c r="AD84" s="419"/>
      <c r="AE84" s="419"/>
      <c r="AF84" s="419"/>
      <c r="AG84" s="419"/>
      <c r="AH84" s="419"/>
      <c r="AI84" s="419"/>
      <c r="AJ84" s="419"/>
      <c r="AK84" s="419"/>
      <c r="AL84" s="419"/>
      <c r="AM84" s="419"/>
      <c r="AN84" s="419"/>
      <c r="AO84" s="419"/>
      <c r="AP84" s="419"/>
      <c r="AQ84" s="419"/>
      <c r="AR84" s="419"/>
      <c r="AS84" s="419"/>
      <c r="AT84" s="419"/>
      <c r="AU84" s="419"/>
      <c r="AV84" s="419"/>
      <c r="AW84" s="419"/>
      <c r="AX84" s="419"/>
      <c r="AY84" s="419"/>
      <c r="AZ84" s="419"/>
      <c r="BA84" s="419"/>
      <c r="BB84" s="419"/>
      <c r="BC84" s="419"/>
      <c r="BD84" s="347">
        <f>120000000-24000000</f>
        <v>96000000</v>
      </c>
      <c r="BE84" s="424">
        <v>8655000</v>
      </c>
      <c r="BF84" s="424">
        <v>2885000</v>
      </c>
      <c r="BG84" s="419"/>
      <c r="BH84" s="419"/>
      <c r="BI84" s="419"/>
      <c r="BJ84" s="419"/>
      <c r="BK84" s="419"/>
      <c r="BL84" s="419"/>
      <c r="BM84" s="419"/>
      <c r="BN84" s="419"/>
      <c r="BO84" s="419"/>
      <c r="BP84" s="403">
        <f>+Z84+AC84+AF84+AI84+AL84+AO84+AR84+AU84+AX84+BA84+BD84+BG84+BJ84</f>
        <v>96000000</v>
      </c>
      <c r="BQ84" s="403">
        <f t="shared" ref="BP84:BR87" si="28">+AA84+AD84+AG84+AJ84+AM84+AP84+AS84+AV84+AY84+BB84+BE84+BH84+BK84</f>
        <v>8655000</v>
      </c>
      <c r="BR84" s="403">
        <f t="shared" si="28"/>
        <v>2885000</v>
      </c>
      <c r="BS84" s="397" t="s">
        <v>1659</v>
      </c>
      <c r="BT84" s="5"/>
    </row>
    <row r="85" spans="1:110" ht="75.75" customHeight="1" x14ac:dyDescent="0.2">
      <c r="A85" s="327">
        <v>311</v>
      </c>
      <c r="B85" s="326" t="s">
        <v>1631</v>
      </c>
      <c r="C85" s="323">
        <v>2</v>
      </c>
      <c r="D85" s="326" t="s">
        <v>1629</v>
      </c>
      <c r="E85" s="323">
        <v>36</v>
      </c>
      <c r="F85" s="323" t="s">
        <v>433</v>
      </c>
      <c r="G85" s="323">
        <v>3602</v>
      </c>
      <c r="H85" s="326" t="s">
        <v>434</v>
      </c>
      <c r="I85" s="323">
        <v>3602</v>
      </c>
      <c r="J85" s="326" t="s">
        <v>1608</v>
      </c>
      <c r="K85" s="326" t="s">
        <v>403</v>
      </c>
      <c r="L85" s="327">
        <v>3602032</v>
      </c>
      <c r="M85" s="326" t="s">
        <v>441</v>
      </c>
      <c r="N85" s="327">
        <v>3602032</v>
      </c>
      <c r="O85" s="326" t="s">
        <v>441</v>
      </c>
      <c r="P85" s="99" t="s">
        <v>442</v>
      </c>
      <c r="Q85" s="443" t="s">
        <v>443</v>
      </c>
      <c r="R85" s="99" t="s">
        <v>442</v>
      </c>
      <c r="S85" s="443" t="s">
        <v>443</v>
      </c>
      <c r="T85" s="349" t="s">
        <v>1689</v>
      </c>
      <c r="U85" s="103">
        <v>14</v>
      </c>
      <c r="V85" s="103">
        <v>14</v>
      </c>
      <c r="W85" s="427" t="s">
        <v>438</v>
      </c>
      <c r="X85" s="326" t="s">
        <v>439</v>
      </c>
      <c r="Y85" s="326" t="s">
        <v>440</v>
      </c>
      <c r="Z85" s="419"/>
      <c r="AA85" s="419"/>
      <c r="AB85" s="419"/>
      <c r="AC85" s="419"/>
      <c r="AD85" s="419"/>
      <c r="AE85" s="419"/>
      <c r="AF85" s="419"/>
      <c r="AG85" s="419"/>
      <c r="AH85" s="419"/>
      <c r="AI85" s="419"/>
      <c r="AJ85" s="419"/>
      <c r="AK85" s="419"/>
      <c r="AL85" s="419"/>
      <c r="AM85" s="419"/>
      <c r="AN85" s="419"/>
      <c r="AO85" s="419"/>
      <c r="AP85" s="419"/>
      <c r="AQ85" s="419"/>
      <c r="AR85" s="419"/>
      <c r="AS85" s="419"/>
      <c r="AT85" s="419"/>
      <c r="AU85" s="419"/>
      <c r="AV85" s="419"/>
      <c r="AW85" s="419"/>
      <c r="AX85" s="419"/>
      <c r="AY85" s="419"/>
      <c r="AZ85" s="419"/>
      <c r="BA85" s="419"/>
      <c r="BB85" s="419"/>
      <c r="BC85" s="419"/>
      <c r="BD85" s="347">
        <f>60000000+31150000</f>
        <v>91150000</v>
      </c>
      <c r="BE85" s="424">
        <v>66602951</v>
      </c>
      <c r="BF85" s="424">
        <v>53628976</v>
      </c>
      <c r="BG85" s="419"/>
      <c r="BH85" s="419"/>
      <c r="BI85" s="419"/>
      <c r="BJ85" s="419"/>
      <c r="BK85" s="419"/>
      <c r="BL85" s="419"/>
      <c r="BM85" s="419"/>
      <c r="BN85" s="419"/>
      <c r="BO85" s="419"/>
      <c r="BP85" s="403">
        <f t="shared" si="28"/>
        <v>91150000</v>
      </c>
      <c r="BQ85" s="403">
        <f t="shared" si="28"/>
        <v>66602951</v>
      </c>
      <c r="BR85" s="403">
        <f t="shared" si="28"/>
        <v>53628976</v>
      </c>
      <c r="BS85" s="397" t="s">
        <v>1659</v>
      </c>
      <c r="BT85" s="5"/>
    </row>
    <row r="86" spans="1:110" ht="81" customHeight="1" x14ac:dyDescent="0.2">
      <c r="A86" s="327">
        <v>311</v>
      </c>
      <c r="B86" s="326" t="s">
        <v>1631</v>
      </c>
      <c r="C86" s="323">
        <v>2</v>
      </c>
      <c r="D86" s="326" t="s">
        <v>1629</v>
      </c>
      <c r="E86" s="323">
        <v>36</v>
      </c>
      <c r="F86" s="323" t="s">
        <v>433</v>
      </c>
      <c r="G86" s="323">
        <v>3602</v>
      </c>
      <c r="H86" s="326" t="s">
        <v>434</v>
      </c>
      <c r="I86" s="323">
        <v>3602</v>
      </c>
      <c r="J86" s="326" t="s">
        <v>1608</v>
      </c>
      <c r="K86" s="326" t="s">
        <v>403</v>
      </c>
      <c r="L86" s="327">
        <v>3602029</v>
      </c>
      <c r="M86" s="326" t="s">
        <v>444</v>
      </c>
      <c r="N86" s="327">
        <v>3602029</v>
      </c>
      <c r="O86" s="326" t="s">
        <v>444</v>
      </c>
      <c r="P86" s="99" t="s">
        <v>445</v>
      </c>
      <c r="Q86" s="443" t="s">
        <v>446</v>
      </c>
      <c r="R86" s="99" t="s">
        <v>445</v>
      </c>
      <c r="S86" s="443" t="s">
        <v>446</v>
      </c>
      <c r="T86" s="349" t="s">
        <v>1691</v>
      </c>
      <c r="U86" s="103">
        <v>12</v>
      </c>
      <c r="V86" s="103">
        <v>11</v>
      </c>
      <c r="W86" s="427" t="s">
        <v>438</v>
      </c>
      <c r="X86" s="326" t="s">
        <v>439</v>
      </c>
      <c r="Y86" s="326" t="s">
        <v>440</v>
      </c>
      <c r="Z86" s="419"/>
      <c r="AA86" s="419"/>
      <c r="AB86" s="419"/>
      <c r="AC86" s="419"/>
      <c r="AD86" s="419"/>
      <c r="AE86" s="419"/>
      <c r="AF86" s="419"/>
      <c r="AG86" s="419"/>
      <c r="AH86" s="419"/>
      <c r="AI86" s="419"/>
      <c r="AJ86" s="419"/>
      <c r="AK86" s="419"/>
      <c r="AL86" s="419"/>
      <c r="AM86" s="419"/>
      <c r="AN86" s="419"/>
      <c r="AO86" s="419"/>
      <c r="AP86" s="419"/>
      <c r="AQ86" s="419"/>
      <c r="AR86" s="419"/>
      <c r="AS86" s="419"/>
      <c r="AT86" s="419"/>
      <c r="AU86" s="419"/>
      <c r="AV86" s="419"/>
      <c r="AW86" s="419"/>
      <c r="AX86" s="419"/>
      <c r="AY86" s="419"/>
      <c r="AZ86" s="419"/>
      <c r="BA86" s="419"/>
      <c r="BB86" s="419"/>
      <c r="BC86" s="419"/>
      <c r="BD86" s="347">
        <v>22500000</v>
      </c>
      <c r="BE86" s="424">
        <v>12655000</v>
      </c>
      <c r="BF86" s="424">
        <v>6885000</v>
      </c>
      <c r="BG86" s="419"/>
      <c r="BH86" s="419"/>
      <c r="BI86" s="419"/>
      <c r="BJ86" s="419"/>
      <c r="BK86" s="419"/>
      <c r="BL86" s="419"/>
      <c r="BM86" s="419"/>
      <c r="BN86" s="419"/>
      <c r="BO86" s="419"/>
      <c r="BP86" s="403">
        <f t="shared" si="28"/>
        <v>22500000</v>
      </c>
      <c r="BQ86" s="403">
        <f t="shared" si="28"/>
        <v>12655000</v>
      </c>
      <c r="BR86" s="403">
        <f t="shared" si="28"/>
        <v>6885000</v>
      </c>
      <c r="BS86" s="397" t="s">
        <v>1659</v>
      </c>
      <c r="BT86" s="5"/>
    </row>
    <row r="87" spans="1:110" ht="78" customHeight="1" x14ac:dyDescent="0.2">
      <c r="A87" s="327">
        <v>311</v>
      </c>
      <c r="B87" s="326" t="s">
        <v>1631</v>
      </c>
      <c r="C87" s="323">
        <v>2</v>
      </c>
      <c r="D87" s="326" t="s">
        <v>1629</v>
      </c>
      <c r="E87" s="323">
        <v>36</v>
      </c>
      <c r="F87" s="323" t="s">
        <v>433</v>
      </c>
      <c r="G87" s="323">
        <v>3602</v>
      </c>
      <c r="H87" s="326" t="s">
        <v>434</v>
      </c>
      <c r="I87" s="323">
        <v>3602</v>
      </c>
      <c r="J87" s="326" t="s">
        <v>1608</v>
      </c>
      <c r="K87" s="326" t="s">
        <v>403</v>
      </c>
      <c r="L87" s="327">
        <v>3602030</v>
      </c>
      <c r="M87" s="326" t="s">
        <v>447</v>
      </c>
      <c r="N87" s="327">
        <v>3602030</v>
      </c>
      <c r="O87" s="326" t="s">
        <v>447</v>
      </c>
      <c r="P87" s="99" t="s">
        <v>448</v>
      </c>
      <c r="Q87" s="443" t="s">
        <v>449</v>
      </c>
      <c r="R87" s="99" t="s">
        <v>448</v>
      </c>
      <c r="S87" s="443" t="s">
        <v>449</v>
      </c>
      <c r="T87" s="349" t="s">
        <v>1691</v>
      </c>
      <c r="U87" s="103">
        <v>3</v>
      </c>
      <c r="V87" s="103">
        <v>1.5</v>
      </c>
      <c r="W87" s="427" t="s">
        <v>438</v>
      </c>
      <c r="X87" s="326" t="s">
        <v>439</v>
      </c>
      <c r="Y87" s="326" t="s">
        <v>440</v>
      </c>
      <c r="Z87" s="419"/>
      <c r="AA87" s="419"/>
      <c r="AB87" s="419"/>
      <c r="AC87" s="419"/>
      <c r="AD87" s="419"/>
      <c r="AE87" s="419"/>
      <c r="AF87" s="419"/>
      <c r="AG87" s="419"/>
      <c r="AH87" s="419"/>
      <c r="AI87" s="419"/>
      <c r="AJ87" s="419"/>
      <c r="AK87" s="419"/>
      <c r="AL87" s="419"/>
      <c r="AM87" s="419"/>
      <c r="AN87" s="419"/>
      <c r="AO87" s="419"/>
      <c r="AP87" s="419"/>
      <c r="AQ87" s="419"/>
      <c r="AR87" s="419"/>
      <c r="AS87" s="419"/>
      <c r="AT87" s="419"/>
      <c r="AU87" s="419"/>
      <c r="AV87" s="419"/>
      <c r="AW87" s="419"/>
      <c r="AX87" s="419"/>
      <c r="AY87" s="419"/>
      <c r="AZ87" s="419"/>
      <c r="BA87" s="419"/>
      <c r="BB87" s="419"/>
      <c r="BC87" s="419"/>
      <c r="BD87" s="347">
        <f>35000000-7150000</f>
        <v>27850000</v>
      </c>
      <c r="BE87" s="424">
        <v>14555000</v>
      </c>
      <c r="BF87" s="424">
        <v>5070000</v>
      </c>
      <c r="BG87" s="419"/>
      <c r="BH87" s="419"/>
      <c r="BI87" s="419"/>
      <c r="BJ87" s="419"/>
      <c r="BK87" s="419"/>
      <c r="BL87" s="419"/>
      <c r="BM87" s="419"/>
      <c r="BN87" s="419"/>
      <c r="BO87" s="419"/>
      <c r="BP87" s="403">
        <f t="shared" si="28"/>
        <v>27850000</v>
      </c>
      <c r="BQ87" s="403">
        <f t="shared" si="28"/>
        <v>14555000</v>
      </c>
      <c r="BR87" s="403">
        <f t="shared" si="28"/>
        <v>5070000</v>
      </c>
      <c r="BS87" s="397" t="s">
        <v>1659</v>
      </c>
      <c r="BT87" s="5"/>
    </row>
    <row r="88" spans="1:110" ht="88.5" customHeight="1" x14ac:dyDescent="0.2">
      <c r="A88" s="327">
        <v>312</v>
      </c>
      <c r="B88" s="326" t="s">
        <v>1630</v>
      </c>
      <c r="C88" s="323">
        <v>2</v>
      </c>
      <c r="D88" s="326" t="s">
        <v>1629</v>
      </c>
      <c r="E88" s="323">
        <v>17</v>
      </c>
      <c r="F88" s="326" t="s">
        <v>451</v>
      </c>
      <c r="G88" s="323">
        <v>1702</v>
      </c>
      <c r="H88" s="326" t="s">
        <v>452</v>
      </c>
      <c r="I88" s="323">
        <v>1702</v>
      </c>
      <c r="J88" s="326" t="s">
        <v>1583</v>
      </c>
      <c r="K88" s="326" t="s">
        <v>453</v>
      </c>
      <c r="L88" s="435">
        <v>1702011</v>
      </c>
      <c r="M88" s="326" t="s">
        <v>454</v>
      </c>
      <c r="N88" s="435">
        <v>1702011</v>
      </c>
      <c r="O88" s="326" t="s">
        <v>454</v>
      </c>
      <c r="P88" s="323" t="s">
        <v>455</v>
      </c>
      <c r="Q88" s="326" t="s">
        <v>456</v>
      </c>
      <c r="R88" s="323" t="s">
        <v>455</v>
      </c>
      <c r="S88" s="326" t="s">
        <v>456</v>
      </c>
      <c r="T88" s="349" t="s">
        <v>1689</v>
      </c>
      <c r="U88" s="103">
        <v>30</v>
      </c>
      <c r="V88" s="103">
        <v>29</v>
      </c>
      <c r="W88" s="427" t="s">
        <v>457</v>
      </c>
      <c r="X88" s="326" t="s">
        <v>458</v>
      </c>
      <c r="Y88" s="326" t="s">
        <v>459</v>
      </c>
      <c r="Z88" s="419"/>
      <c r="AA88" s="419"/>
      <c r="AB88" s="419"/>
      <c r="AC88" s="419"/>
      <c r="AD88" s="419"/>
      <c r="AE88" s="419"/>
      <c r="AF88" s="419"/>
      <c r="AG88" s="419"/>
      <c r="AH88" s="419"/>
      <c r="AI88" s="419"/>
      <c r="AJ88" s="419"/>
      <c r="AK88" s="419"/>
      <c r="AL88" s="419"/>
      <c r="AM88" s="419"/>
      <c r="AN88" s="419"/>
      <c r="AO88" s="419"/>
      <c r="AP88" s="419"/>
      <c r="AQ88" s="419"/>
      <c r="AR88" s="419"/>
      <c r="AS88" s="419"/>
      <c r="AT88" s="419"/>
      <c r="AU88" s="419"/>
      <c r="AV88" s="419"/>
      <c r="AW88" s="419"/>
      <c r="AX88" s="419"/>
      <c r="AY88" s="419"/>
      <c r="AZ88" s="419"/>
      <c r="BA88" s="419"/>
      <c r="BB88" s="419"/>
      <c r="BC88" s="419"/>
      <c r="BD88" s="348">
        <v>226000000</v>
      </c>
      <c r="BE88" s="348">
        <v>131310000</v>
      </c>
      <c r="BF88" s="348">
        <v>85655000</v>
      </c>
      <c r="BG88" s="468"/>
      <c r="BH88" s="468"/>
      <c r="BI88" s="468"/>
      <c r="BJ88" s="468"/>
      <c r="BK88" s="468"/>
      <c r="BL88" s="468"/>
      <c r="BM88" s="468"/>
      <c r="BN88" s="468"/>
      <c r="BO88" s="468"/>
      <c r="BP88" s="403">
        <f t="shared" ref="BP88:BP104" si="29">+Z88+AC88+AF88+AI88+AL88+AO88+AR88+AU88+AX88+BA88+BD88+BG88+BJ88</f>
        <v>226000000</v>
      </c>
      <c r="BQ88" s="403">
        <f t="shared" ref="BQ88:BQ98" si="30">+AA88+AD88+AG88+AJ88+AM88+AP88+AS88+AV88+AY88+BB88+BE88+BH88+BK88</f>
        <v>131310000</v>
      </c>
      <c r="BR88" s="403">
        <f t="shared" ref="BR88:BR98" si="31">+AB88+AE88+AH88+AK88+AN88+AQ88+AT88+AW88+AZ88+BC88+BF88+BI88+BL88</f>
        <v>85655000</v>
      </c>
      <c r="BS88" s="360" t="s">
        <v>1660</v>
      </c>
      <c r="BT88" s="5"/>
    </row>
    <row r="89" spans="1:110" ht="86.25" customHeight="1" x14ac:dyDescent="0.2">
      <c r="A89" s="327">
        <v>312</v>
      </c>
      <c r="B89" s="326" t="s">
        <v>1630</v>
      </c>
      <c r="C89" s="323">
        <v>2</v>
      </c>
      <c r="D89" s="326" t="s">
        <v>1629</v>
      </c>
      <c r="E89" s="323">
        <v>17</v>
      </c>
      <c r="F89" s="326" t="s">
        <v>451</v>
      </c>
      <c r="G89" s="323">
        <v>1702</v>
      </c>
      <c r="H89" s="326" t="s">
        <v>452</v>
      </c>
      <c r="I89" s="323">
        <v>1702</v>
      </c>
      <c r="J89" s="326" t="s">
        <v>1583</v>
      </c>
      <c r="K89" s="326" t="s">
        <v>453</v>
      </c>
      <c r="L89" s="435">
        <v>1702007</v>
      </c>
      <c r="M89" s="326" t="s">
        <v>460</v>
      </c>
      <c r="N89" s="435">
        <v>1702007</v>
      </c>
      <c r="O89" s="326" t="s">
        <v>460</v>
      </c>
      <c r="P89" s="99" t="s">
        <v>461</v>
      </c>
      <c r="Q89" s="326" t="s">
        <v>462</v>
      </c>
      <c r="R89" s="99" t="s">
        <v>461</v>
      </c>
      <c r="S89" s="326" t="s">
        <v>462</v>
      </c>
      <c r="T89" s="349" t="s">
        <v>1691</v>
      </c>
      <c r="U89" s="103">
        <v>4</v>
      </c>
      <c r="V89" s="103">
        <v>0</v>
      </c>
      <c r="W89" s="427" t="s">
        <v>457</v>
      </c>
      <c r="X89" s="326" t="s">
        <v>458</v>
      </c>
      <c r="Y89" s="326" t="s">
        <v>459</v>
      </c>
      <c r="Z89" s="469"/>
      <c r="AA89" s="469"/>
      <c r="AB89" s="469"/>
      <c r="AC89" s="469"/>
      <c r="AD89" s="469"/>
      <c r="AE89" s="469"/>
      <c r="AF89" s="469"/>
      <c r="AG89" s="469"/>
      <c r="AH89" s="469"/>
      <c r="AI89" s="469"/>
      <c r="AJ89" s="469"/>
      <c r="AK89" s="469"/>
      <c r="AL89" s="469"/>
      <c r="AM89" s="469"/>
      <c r="AN89" s="469"/>
      <c r="AO89" s="469"/>
      <c r="AP89" s="469"/>
      <c r="AQ89" s="469"/>
      <c r="AR89" s="469"/>
      <c r="AS89" s="469"/>
      <c r="AT89" s="469"/>
      <c r="AU89" s="469"/>
      <c r="AV89" s="469"/>
      <c r="AW89" s="469"/>
      <c r="AX89" s="469"/>
      <c r="AY89" s="469"/>
      <c r="AZ89" s="469"/>
      <c r="BA89" s="469"/>
      <c r="BB89" s="469"/>
      <c r="BC89" s="469"/>
      <c r="BD89" s="348">
        <v>123000000</v>
      </c>
      <c r="BE89" s="348">
        <v>0</v>
      </c>
      <c r="BF89" s="348">
        <v>0</v>
      </c>
      <c r="BG89" s="468"/>
      <c r="BH89" s="468"/>
      <c r="BI89" s="468"/>
      <c r="BJ89" s="468"/>
      <c r="BK89" s="468"/>
      <c r="BL89" s="468"/>
      <c r="BM89" s="468"/>
      <c r="BN89" s="468"/>
      <c r="BO89" s="468"/>
      <c r="BP89" s="403">
        <f t="shared" si="29"/>
        <v>123000000</v>
      </c>
      <c r="BQ89" s="403">
        <f t="shared" si="30"/>
        <v>0</v>
      </c>
      <c r="BR89" s="403">
        <f t="shared" si="31"/>
        <v>0</v>
      </c>
      <c r="BS89" s="360" t="s">
        <v>1660</v>
      </c>
      <c r="BT89" s="5"/>
    </row>
    <row r="90" spans="1:110" ht="84.75" customHeight="1" x14ac:dyDescent="0.2">
      <c r="A90" s="327">
        <v>312</v>
      </c>
      <c r="B90" s="326" t="s">
        <v>1630</v>
      </c>
      <c r="C90" s="323">
        <v>2</v>
      </c>
      <c r="D90" s="326" t="s">
        <v>1629</v>
      </c>
      <c r="E90" s="323">
        <v>17</v>
      </c>
      <c r="F90" s="326" t="s">
        <v>451</v>
      </c>
      <c r="G90" s="323">
        <v>1702</v>
      </c>
      <c r="H90" s="326" t="s">
        <v>452</v>
      </c>
      <c r="I90" s="323">
        <v>1702</v>
      </c>
      <c r="J90" s="326" t="s">
        <v>1583</v>
      </c>
      <c r="K90" s="326" t="s">
        <v>453</v>
      </c>
      <c r="L90" s="435">
        <v>1702009</v>
      </c>
      <c r="M90" s="326" t="s">
        <v>463</v>
      </c>
      <c r="N90" s="435">
        <v>1702009</v>
      </c>
      <c r="O90" s="326" t="s">
        <v>463</v>
      </c>
      <c r="P90" s="99" t="s">
        <v>464</v>
      </c>
      <c r="Q90" s="443" t="s">
        <v>465</v>
      </c>
      <c r="R90" s="99" t="s">
        <v>464</v>
      </c>
      <c r="S90" s="443" t="s">
        <v>465</v>
      </c>
      <c r="T90" s="349" t="s">
        <v>1691</v>
      </c>
      <c r="U90" s="103">
        <v>168</v>
      </c>
      <c r="V90" s="103">
        <v>105</v>
      </c>
      <c r="W90" s="427" t="s">
        <v>457</v>
      </c>
      <c r="X90" s="326" t="s">
        <v>458</v>
      </c>
      <c r="Y90" s="326" t="s">
        <v>459</v>
      </c>
      <c r="Z90" s="469"/>
      <c r="AA90" s="469"/>
      <c r="AB90" s="469"/>
      <c r="AC90" s="469"/>
      <c r="AD90" s="469"/>
      <c r="AE90" s="469"/>
      <c r="AF90" s="469"/>
      <c r="AG90" s="469"/>
      <c r="AH90" s="469"/>
      <c r="AI90" s="469"/>
      <c r="AJ90" s="469"/>
      <c r="AK90" s="469"/>
      <c r="AL90" s="469"/>
      <c r="AM90" s="469"/>
      <c r="AN90" s="469"/>
      <c r="AO90" s="469"/>
      <c r="AP90" s="469"/>
      <c r="AQ90" s="469"/>
      <c r="AR90" s="469"/>
      <c r="AS90" s="469"/>
      <c r="AT90" s="469"/>
      <c r="AU90" s="469"/>
      <c r="AV90" s="469"/>
      <c r="AW90" s="469"/>
      <c r="AX90" s="469"/>
      <c r="AY90" s="469"/>
      <c r="AZ90" s="469"/>
      <c r="BA90" s="469"/>
      <c r="BB90" s="469"/>
      <c r="BC90" s="469"/>
      <c r="BD90" s="348">
        <v>90000000</v>
      </c>
      <c r="BE90" s="348">
        <v>50000000</v>
      </c>
      <c r="BF90" s="348">
        <v>0</v>
      </c>
      <c r="BG90" s="468"/>
      <c r="BH90" s="468"/>
      <c r="BI90" s="468"/>
      <c r="BJ90" s="468"/>
      <c r="BK90" s="468"/>
      <c r="BL90" s="468"/>
      <c r="BM90" s="348">
        <v>300000000</v>
      </c>
      <c r="BN90" s="420">
        <v>300000000</v>
      </c>
      <c r="BO90" s="420">
        <v>300000000</v>
      </c>
      <c r="BP90" s="403">
        <f>+Z90+AC90+AF90+AI90+AL90+AO90+AR90+AU90+AX90+BA90+BD90+BG90+BJ90+BM90</f>
        <v>390000000</v>
      </c>
      <c r="BQ90" s="403">
        <f t="shared" ref="BQ90:BR90" si="32">+AA90+AD90+AG90+AJ90+AM90+AP90+AS90+AV90+AY90+BB90+BE90+BH90+BK90+BN90</f>
        <v>350000000</v>
      </c>
      <c r="BR90" s="403">
        <f t="shared" si="32"/>
        <v>300000000</v>
      </c>
      <c r="BS90" s="360" t="s">
        <v>1660</v>
      </c>
      <c r="BT90" s="5"/>
    </row>
    <row r="91" spans="1:110" ht="156.75" customHeight="1" x14ac:dyDescent="0.2">
      <c r="A91" s="327">
        <v>312</v>
      </c>
      <c r="B91" s="326" t="s">
        <v>1630</v>
      </c>
      <c r="C91" s="323">
        <v>2</v>
      </c>
      <c r="D91" s="326" t="s">
        <v>1629</v>
      </c>
      <c r="E91" s="323">
        <v>17</v>
      </c>
      <c r="F91" s="326" t="s">
        <v>451</v>
      </c>
      <c r="G91" s="323">
        <v>1702</v>
      </c>
      <c r="H91" s="326" t="s">
        <v>452</v>
      </c>
      <c r="I91" s="323">
        <v>1702</v>
      </c>
      <c r="J91" s="326" t="s">
        <v>1583</v>
      </c>
      <c r="K91" s="326" t="s">
        <v>453</v>
      </c>
      <c r="L91" s="470">
        <v>1702017</v>
      </c>
      <c r="M91" s="326" t="s">
        <v>466</v>
      </c>
      <c r="N91" s="470">
        <v>1702017</v>
      </c>
      <c r="O91" s="326" t="s">
        <v>466</v>
      </c>
      <c r="P91" s="99" t="s">
        <v>467</v>
      </c>
      <c r="Q91" s="326" t="s">
        <v>468</v>
      </c>
      <c r="R91" s="99" t="s">
        <v>467</v>
      </c>
      <c r="S91" s="326" t="s">
        <v>468</v>
      </c>
      <c r="T91" s="349" t="s">
        <v>1691</v>
      </c>
      <c r="U91" s="103">
        <v>750</v>
      </c>
      <c r="V91" s="103">
        <v>240</v>
      </c>
      <c r="W91" s="427" t="s">
        <v>469</v>
      </c>
      <c r="X91" s="326" t="s">
        <v>470</v>
      </c>
      <c r="Y91" s="326" t="s">
        <v>471</v>
      </c>
      <c r="Z91" s="469"/>
      <c r="AA91" s="469"/>
      <c r="AB91" s="469"/>
      <c r="AC91" s="469"/>
      <c r="AD91" s="469"/>
      <c r="AE91" s="469"/>
      <c r="AF91" s="469"/>
      <c r="AG91" s="469"/>
      <c r="AH91" s="469"/>
      <c r="AI91" s="469"/>
      <c r="AJ91" s="469"/>
      <c r="AK91" s="469"/>
      <c r="AL91" s="469"/>
      <c r="AM91" s="469"/>
      <c r="AN91" s="469"/>
      <c r="AO91" s="469"/>
      <c r="AP91" s="469"/>
      <c r="AQ91" s="469"/>
      <c r="AR91" s="469"/>
      <c r="AS91" s="469"/>
      <c r="AT91" s="469"/>
      <c r="AU91" s="469"/>
      <c r="AV91" s="469"/>
      <c r="AW91" s="469"/>
      <c r="AX91" s="469"/>
      <c r="AY91" s="469"/>
      <c r="AZ91" s="469"/>
      <c r="BA91" s="469"/>
      <c r="BB91" s="469"/>
      <c r="BC91" s="469"/>
      <c r="BD91" s="348">
        <f>130000000+335052526.97</f>
        <v>465052526.97000003</v>
      </c>
      <c r="BE91" s="348">
        <v>73957500</v>
      </c>
      <c r="BF91" s="348">
        <v>32355000</v>
      </c>
      <c r="BG91" s="468"/>
      <c r="BH91" s="468"/>
      <c r="BI91" s="468"/>
      <c r="BJ91" s="468"/>
      <c r="BK91" s="468"/>
      <c r="BL91" s="468"/>
      <c r="BM91" s="468"/>
      <c r="BN91" s="468"/>
      <c r="BO91" s="468"/>
      <c r="BP91" s="403">
        <f t="shared" si="29"/>
        <v>465052526.97000003</v>
      </c>
      <c r="BQ91" s="403">
        <f t="shared" si="30"/>
        <v>73957500</v>
      </c>
      <c r="BR91" s="403">
        <f t="shared" si="31"/>
        <v>32355000</v>
      </c>
      <c r="BS91" s="360" t="s">
        <v>1660</v>
      </c>
      <c r="BT91" s="5"/>
    </row>
    <row r="92" spans="1:110" ht="141" customHeight="1" x14ac:dyDescent="0.2">
      <c r="A92" s="327">
        <v>312</v>
      </c>
      <c r="B92" s="326" t="s">
        <v>1630</v>
      </c>
      <c r="C92" s="323">
        <v>2</v>
      </c>
      <c r="D92" s="326" t="s">
        <v>1629</v>
      </c>
      <c r="E92" s="323">
        <v>17</v>
      </c>
      <c r="F92" s="326" t="s">
        <v>451</v>
      </c>
      <c r="G92" s="323">
        <v>1702</v>
      </c>
      <c r="H92" s="326" t="s">
        <v>452</v>
      </c>
      <c r="I92" s="323">
        <v>1702</v>
      </c>
      <c r="J92" s="326" t="s">
        <v>1583</v>
      </c>
      <c r="K92" s="326" t="s">
        <v>453</v>
      </c>
      <c r="L92" s="435">
        <v>1702014</v>
      </c>
      <c r="M92" s="326" t="s">
        <v>472</v>
      </c>
      <c r="N92" s="435">
        <v>1702014</v>
      </c>
      <c r="O92" s="326" t="s">
        <v>472</v>
      </c>
      <c r="P92" s="99" t="s">
        <v>473</v>
      </c>
      <c r="Q92" s="443" t="s">
        <v>474</v>
      </c>
      <c r="R92" s="99" t="s">
        <v>473</v>
      </c>
      <c r="S92" s="443" t="s">
        <v>474</v>
      </c>
      <c r="T92" s="349" t="s">
        <v>1691</v>
      </c>
      <c r="U92" s="103">
        <v>25</v>
      </c>
      <c r="V92" s="103">
        <v>0</v>
      </c>
      <c r="W92" s="427" t="s">
        <v>469</v>
      </c>
      <c r="X92" s="326" t="s">
        <v>470</v>
      </c>
      <c r="Y92" s="326" t="s">
        <v>471</v>
      </c>
      <c r="Z92" s="469"/>
      <c r="AA92" s="469"/>
      <c r="AB92" s="469"/>
      <c r="AC92" s="469"/>
      <c r="AD92" s="469"/>
      <c r="AE92" s="469"/>
      <c r="AF92" s="469"/>
      <c r="AG92" s="469"/>
      <c r="AH92" s="469"/>
      <c r="AI92" s="469"/>
      <c r="AJ92" s="469"/>
      <c r="AK92" s="469"/>
      <c r="AL92" s="469"/>
      <c r="AM92" s="469"/>
      <c r="AN92" s="469"/>
      <c r="AO92" s="469"/>
      <c r="AP92" s="469"/>
      <c r="AQ92" s="469"/>
      <c r="AR92" s="469"/>
      <c r="AS92" s="469"/>
      <c r="AT92" s="469"/>
      <c r="AU92" s="469"/>
      <c r="AV92" s="469"/>
      <c r="AW92" s="469"/>
      <c r="AX92" s="469"/>
      <c r="AY92" s="469"/>
      <c r="AZ92" s="469"/>
      <c r="BA92" s="469"/>
      <c r="BB92" s="469"/>
      <c r="BC92" s="469"/>
      <c r="BD92" s="348">
        <v>45000000</v>
      </c>
      <c r="BE92" s="348"/>
      <c r="BF92" s="348"/>
      <c r="BG92" s="468"/>
      <c r="BH92" s="468"/>
      <c r="BI92" s="468"/>
      <c r="BJ92" s="468"/>
      <c r="BK92" s="468"/>
      <c r="BL92" s="468"/>
      <c r="BM92" s="468"/>
      <c r="BN92" s="468"/>
      <c r="BO92" s="468"/>
      <c r="BP92" s="403">
        <f t="shared" si="29"/>
        <v>45000000</v>
      </c>
      <c r="BQ92" s="403">
        <f t="shared" si="30"/>
        <v>0</v>
      </c>
      <c r="BR92" s="403">
        <f t="shared" si="31"/>
        <v>0</v>
      </c>
      <c r="BS92" s="360" t="s">
        <v>1660</v>
      </c>
      <c r="BT92" s="5"/>
    </row>
    <row r="93" spans="1:110" ht="147" customHeight="1" x14ac:dyDescent="0.2">
      <c r="A93" s="327">
        <v>312</v>
      </c>
      <c r="B93" s="326" t="s">
        <v>1630</v>
      </c>
      <c r="C93" s="323">
        <v>2</v>
      </c>
      <c r="D93" s="326" t="s">
        <v>1629</v>
      </c>
      <c r="E93" s="323">
        <v>17</v>
      </c>
      <c r="F93" s="326" t="s">
        <v>451</v>
      </c>
      <c r="G93" s="323">
        <v>1702</v>
      </c>
      <c r="H93" s="326" t="s">
        <v>452</v>
      </c>
      <c r="I93" s="323">
        <v>1702</v>
      </c>
      <c r="J93" s="326" t="s">
        <v>1583</v>
      </c>
      <c r="K93" s="326" t="s">
        <v>453</v>
      </c>
      <c r="L93" s="435">
        <v>1702021</v>
      </c>
      <c r="M93" s="326" t="s">
        <v>475</v>
      </c>
      <c r="N93" s="435">
        <v>1702021</v>
      </c>
      <c r="O93" s="326" t="s">
        <v>475</v>
      </c>
      <c r="P93" s="99" t="s">
        <v>476</v>
      </c>
      <c r="Q93" s="443" t="s">
        <v>477</v>
      </c>
      <c r="R93" s="99" t="s">
        <v>476</v>
      </c>
      <c r="S93" s="443" t="s">
        <v>477</v>
      </c>
      <c r="T93" s="349" t="s">
        <v>1691</v>
      </c>
      <c r="U93" s="103">
        <v>150</v>
      </c>
      <c r="V93" s="103">
        <v>120</v>
      </c>
      <c r="W93" s="427" t="s">
        <v>469</v>
      </c>
      <c r="X93" s="326" t="s">
        <v>470</v>
      </c>
      <c r="Y93" s="326" t="s">
        <v>471</v>
      </c>
      <c r="Z93" s="469"/>
      <c r="AA93" s="469"/>
      <c r="AB93" s="469"/>
      <c r="AC93" s="469"/>
      <c r="AD93" s="469"/>
      <c r="AE93" s="469"/>
      <c r="AF93" s="469"/>
      <c r="AG93" s="469"/>
      <c r="AH93" s="469"/>
      <c r="AI93" s="469"/>
      <c r="AJ93" s="469"/>
      <c r="AK93" s="469"/>
      <c r="AL93" s="469"/>
      <c r="AM93" s="469"/>
      <c r="AN93" s="469"/>
      <c r="AO93" s="469"/>
      <c r="AP93" s="469"/>
      <c r="AQ93" s="469"/>
      <c r="AR93" s="469"/>
      <c r="AS93" s="469"/>
      <c r="AT93" s="469"/>
      <c r="AU93" s="469"/>
      <c r="AV93" s="469"/>
      <c r="AW93" s="469"/>
      <c r="AX93" s="469"/>
      <c r="AY93" s="469"/>
      <c r="AZ93" s="469"/>
      <c r="BA93" s="469"/>
      <c r="BB93" s="469"/>
      <c r="BC93" s="469"/>
      <c r="BD93" s="348">
        <v>20000000</v>
      </c>
      <c r="BE93" s="348">
        <v>7420000</v>
      </c>
      <c r="BF93" s="348">
        <v>7420000</v>
      </c>
      <c r="BG93" s="468"/>
      <c r="BH93" s="468"/>
      <c r="BI93" s="468"/>
      <c r="BJ93" s="468"/>
      <c r="BK93" s="468"/>
      <c r="BL93" s="468"/>
      <c r="BM93" s="468"/>
      <c r="BN93" s="468"/>
      <c r="BO93" s="468"/>
      <c r="BP93" s="403">
        <f t="shared" si="29"/>
        <v>20000000</v>
      </c>
      <c r="BQ93" s="403">
        <f t="shared" si="30"/>
        <v>7420000</v>
      </c>
      <c r="BR93" s="403">
        <f t="shared" si="31"/>
        <v>7420000</v>
      </c>
      <c r="BS93" s="360" t="s">
        <v>1660</v>
      </c>
      <c r="BT93" s="5"/>
    </row>
    <row r="94" spans="1:110" ht="125.25" customHeight="1" x14ac:dyDescent="0.2">
      <c r="A94" s="327">
        <v>312</v>
      </c>
      <c r="B94" s="326" t="s">
        <v>1630</v>
      </c>
      <c r="C94" s="323">
        <v>2</v>
      </c>
      <c r="D94" s="326" t="s">
        <v>1629</v>
      </c>
      <c r="E94" s="323">
        <v>17</v>
      </c>
      <c r="F94" s="326" t="s">
        <v>451</v>
      </c>
      <c r="G94" s="323">
        <v>1702</v>
      </c>
      <c r="H94" s="326" t="s">
        <v>452</v>
      </c>
      <c r="I94" s="323">
        <v>1702</v>
      </c>
      <c r="J94" s="326" t="s">
        <v>1583</v>
      </c>
      <c r="K94" s="326" t="s">
        <v>453</v>
      </c>
      <c r="L94" s="435">
        <v>1702038</v>
      </c>
      <c r="M94" s="326" t="s">
        <v>478</v>
      </c>
      <c r="N94" s="435">
        <v>1702038</v>
      </c>
      <c r="O94" s="326" t="s">
        <v>478</v>
      </c>
      <c r="P94" s="323" t="s">
        <v>479</v>
      </c>
      <c r="Q94" s="326" t="s">
        <v>480</v>
      </c>
      <c r="R94" s="323" t="s">
        <v>479</v>
      </c>
      <c r="S94" s="326" t="s">
        <v>480</v>
      </c>
      <c r="T94" s="349" t="s">
        <v>1689</v>
      </c>
      <c r="U94" s="103">
        <v>30</v>
      </c>
      <c r="V94" s="103">
        <v>28</v>
      </c>
      <c r="W94" s="427" t="s">
        <v>481</v>
      </c>
      <c r="X94" s="427" t="s">
        <v>482</v>
      </c>
      <c r="Y94" s="326" t="s">
        <v>483</v>
      </c>
      <c r="Z94" s="469"/>
      <c r="AA94" s="469"/>
      <c r="AB94" s="469"/>
      <c r="AC94" s="469"/>
      <c r="AD94" s="469"/>
      <c r="AE94" s="469"/>
      <c r="AF94" s="469"/>
      <c r="AG94" s="469"/>
      <c r="AH94" s="469"/>
      <c r="AI94" s="469"/>
      <c r="AJ94" s="469"/>
      <c r="AK94" s="469"/>
      <c r="AL94" s="469"/>
      <c r="AM94" s="469"/>
      <c r="AN94" s="469"/>
      <c r="AO94" s="469"/>
      <c r="AP94" s="469"/>
      <c r="AQ94" s="469"/>
      <c r="AR94" s="469"/>
      <c r="AS94" s="469"/>
      <c r="AT94" s="469"/>
      <c r="AU94" s="469"/>
      <c r="AV94" s="469"/>
      <c r="AW94" s="469"/>
      <c r="AX94" s="469"/>
      <c r="AY94" s="469"/>
      <c r="AZ94" s="469"/>
      <c r="BA94" s="469"/>
      <c r="BB94" s="469"/>
      <c r="BC94" s="469"/>
      <c r="BD94" s="348">
        <v>65000000</v>
      </c>
      <c r="BE94" s="348">
        <v>33790000</v>
      </c>
      <c r="BF94" s="348">
        <v>29340000</v>
      </c>
      <c r="BG94" s="396"/>
      <c r="BH94" s="468"/>
      <c r="BI94" s="468"/>
      <c r="BJ94" s="468"/>
      <c r="BK94" s="468"/>
      <c r="BL94" s="468"/>
      <c r="BM94" s="348">
        <v>105606585.66</v>
      </c>
      <c r="BN94" s="468"/>
      <c r="BO94" s="468"/>
      <c r="BP94" s="403">
        <f>+Z94+AC94+AF94+AI94+AL94+AO94+AR94+AU94+AX94+BA94+BD94+BG94+BJ94+BM94</f>
        <v>170606585.66</v>
      </c>
      <c r="BQ94" s="403">
        <f t="shared" ref="BQ94:BR94" si="33">+AA94+AD94+AG94+AJ94+AM94+AP94+AS94+AV94+AY94+BB94+BE94+BH94+BK94+BN94</f>
        <v>33790000</v>
      </c>
      <c r="BR94" s="403">
        <f t="shared" si="33"/>
        <v>29340000</v>
      </c>
      <c r="BS94" s="360" t="s">
        <v>1660</v>
      </c>
      <c r="BT94" s="5"/>
    </row>
    <row r="95" spans="1:110" ht="120" customHeight="1" x14ac:dyDescent="0.2">
      <c r="A95" s="327">
        <v>312</v>
      </c>
      <c r="B95" s="326" t="s">
        <v>1630</v>
      </c>
      <c r="C95" s="323">
        <v>2</v>
      </c>
      <c r="D95" s="326" t="s">
        <v>1629</v>
      </c>
      <c r="E95" s="323">
        <v>17</v>
      </c>
      <c r="F95" s="326" t="s">
        <v>451</v>
      </c>
      <c r="G95" s="323">
        <v>1702</v>
      </c>
      <c r="H95" s="324" t="s">
        <v>452</v>
      </c>
      <c r="I95" s="323">
        <v>1702</v>
      </c>
      <c r="J95" s="324" t="s">
        <v>1583</v>
      </c>
      <c r="K95" s="326" t="s">
        <v>453</v>
      </c>
      <c r="L95" s="435">
        <v>1702038</v>
      </c>
      <c r="M95" s="326" t="s">
        <v>478</v>
      </c>
      <c r="N95" s="435">
        <v>1702038</v>
      </c>
      <c r="O95" s="326" t="s">
        <v>478</v>
      </c>
      <c r="P95" s="323" t="s">
        <v>484</v>
      </c>
      <c r="Q95" s="326" t="s">
        <v>485</v>
      </c>
      <c r="R95" s="323" t="s">
        <v>484</v>
      </c>
      <c r="S95" s="326" t="s">
        <v>485</v>
      </c>
      <c r="T95" s="349" t="s">
        <v>1691</v>
      </c>
      <c r="U95" s="103">
        <v>80</v>
      </c>
      <c r="V95" s="103">
        <v>0</v>
      </c>
      <c r="W95" s="427" t="s">
        <v>481</v>
      </c>
      <c r="X95" s="427" t="s">
        <v>482</v>
      </c>
      <c r="Y95" s="326" t="s">
        <v>483</v>
      </c>
      <c r="Z95" s="469"/>
      <c r="AA95" s="469"/>
      <c r="AB95" s="469"/>
      <c r="AC95" s="469"/>
      <c r="AD95" s="469"/>
      <c r="AE95" s="469"/>
      <c r="AF95" s="469"/>
      <c r="AG95" s="469"/>
      <c r="AH95" s="469"/>
      <c r="AI95" s="469"/>
      <c r="AJ95" s="469"/>
      <c r="AK95" s="469"/>
      <c r="AL95" s="469"/>
      <c r="AM95" s="469"/>
      <c r="AN95" s="469"/>
      <c r="AO95" s="469"/>
      <c r="AP95" s="469"/>
      <c r="AQ95" s="469"/>
      <c r="AR95" s="469"/>
      <c r="AS95" s="469"/>
      <c r="AT95" s="469"/>
      <c r="AU95" s="469"/>
      <c r="AV95" s="469"/>
      <c r="AW95" s="469"/>
      <c r="AX95" s="469"/>
      <c r="AY95" s="469"/>
      <c r="AZ95" s="469"/>
      <c r="BA95" s="469"/>
      <c r="BB95" s="469"/>
      <c r="BC95" s="469"/>
      <c r="BD95" s="348">
        <v>18000000</v>
      </c>
      <c r="BE95" s="348"/>
      <c r="BF95" s="348"/>
      <c r="BG95" s="468"/>
      <c r="BH95" s="468"/>
      <c r="BI95" s="468"/>
      <c r="BJ95" s="468"/>
      <c r="BK95" s="468"/>
      <c r="BL95" s="468"/>
      <c r="BM95" s="468"/>
      <c r="BN95" s="468"/>
      <c r="BO95" s="468"/>
      <c r="BP95" s="403">
        <f t="shared" si="29"/>
        <v>18000000</v>
      </c>
      <c r="BQ95" s="403">
        <f t="shared" si="30"/>
        <v>0</v>
      </c>
      <c r="BR95" s="403">
        <f t="shared" si="31"/>
        <v>0</v>
      </c>
      <c r="BS95" s="360" t="s">
        <v>1660</v>
      </c>
      <c r="BT95" s="5"/>
    </row>
    <row r="96" spans="1:110" ht="115.5" customHeight="1" x14ac:dyDescent="0.2">
      <c r="A96" s="327">
        <v>312</v>
      </c>
      <c r="B96" s="326" t="s">
        <v>1630</v>
      </c>
      <c r="C96" s="323">
        <v>2</v>
      </c>
      <c r="D96" s="326" t="s">
        <v>1629</v>
      </c>
      <c r="E96" s="323">
        <v>17</v>
      </c>
      <c r="F96" s="326" t="s">
        <v>451</v>
      </c>
      <c r="G96" s="323">
        <v>1702</v>
      </c>
      <c r="H96" s="326" t="s">
        <v>452</v>
      </c>
      <c r="I96" s="323">
        <v>1702</v>
      </c>
      <c r="J96" s="326" t="s">
        <v>1583</v>
      </c>
      <c r="K96" s="326" t="s">
        <v>453</v>
      </c>
      <c r="L96" s="435">
        <v>1702023</v>
      </c>
      <c r="M96" s="326" t="s">
        <v>233</v>
      </c>
      <c r="N96" s="435">
        <v>1702023</v>
      </c>
      <c r="O96" s="326" t="s">
        <v>233</v>
      </c>
      <c r="P96" s="323" t="s">
        <v>486</v>
      </c>
      <c r="Q96" s="326" t="s">
        <v>487</v>
      </c>
      <c r="R96" s="323" t="s">
        <v>486</v>
      </c>
      <c r="S96" s="326" t="s">
        <v>487</v>
      </c>
      <c r="T96" s="349" t="s">
        <v>1689</v>
      </c>
      <c r="U96" s="103">
        <v>1</v>
      </c>
      <c r="V96" s="103">
        <v>1</v>
      </c>
      <c r="W96" s="427" t="s">
        <v>488</v>
      </c>
      <c r="X96" s="326" t="s">
        <v>489</v>
      </c>
      <c r="Y96" s="326" t="s">
        <v>490</v>
      </c>
      <c r="Z96" s="469"/>
      <c r="AA96" s="469"/>
      <c r="AB96" s="469"/>
      <c r="AC96" s="469"/>
      <c r="AD96" s="469"/>
      <c r="AE96" s="469"/>
      <c r="AF96" s="469"/>
      <c r="AG96" s="469"/>
      <c r="AH96" s="469"/>
      <c r="AI96" s="469"/>
      <c r="AJ96" s="469"/>
      <c r="AK96" s="469"/>
      <c r="AL96" s="469"/>
      <c r="AM96" s="469"/>
      <c r="AN96" s="469"/>
      <c r="AO96" s="469"/>
      <c r="AP96" s="469"/>
      <c r="AQ96" s="469"/>
      <c r="AR96" s="469"/>
      <c r="AS96" s="469"/>
      <c r="AT96" s="469"/>
      <c r="AU96" s="469"/>
      <c r="AV96" s="469"/>
      <c r="AW96" s="469"/>
      <c r="AX96" s="469"/>
      <c r="AY96" s="469"/>
      <c r="AZ96" s="469"/>
      <c r="BA96" s="469"/>
      <c r="BB96" s="469"/>
      <c r="BC96" s="469"/>
      <c r="BD96" s="348">
        <v>45000000</v>
      </c>
      <c r="BE96" s="348">
        <v>32310000</v>
      </c>
      <c r="BF96" s="348">
        <v>32310000</v>
      </c>
      <c r="BG96" s="468"/>
      <c r="BH96" s="468"/>
      <c r="BI96" s="468"/>
      <c r="BJ96" s="468"/>
      <c r="BK96" s="468"/>
      <c r="BL96" s="468"/>
      <c r="BM96" s="468"/>
      <c r="BN96" s="468"/>
      <c r="BO96" s="468"/>
      <c r="BP96" s="403">
        <f t="shared" si="29"/>
        <v>45000000</v>
      </c>
      <c r="BQ96" s="403">
        <f t="shared" si="30"/>
        <v>32310000</v>
      </c>
      <c r="BR96" s="403">
        <f t="shared" si="31"/>
        <v>32310000</v>
      </c>
      <c r="BS96" s="360" t="s">
        <v>1660</v>
      </c>
      <c r="BT96" s="5"/>
    </row>
    <row r="97" spans="1:110" ht="108" customHeight="1" x14ac:dyDescent="0.2">
      <c r="A97" s="327">
        <v>312</v>
      </c>
      <c r="B97" s="326" t="s">
        <v>1630</v>
      </c>
      <c r="C97" s="323">
        <v>2</v>
      </c>
      <c r="D97" s="326" t="s">
        <v>1629</v>
      </c>
      <c r="E97" s="323">
        <v>17</v>
      </c>
      <c r="F97" s="326" t="s">
        <v>451</v>
      </c>
      <c r="G97" s="323">
        <v>1702</v>
      </c>
      <c r="H97" s="326" t="s">
        <v>452</v>
      </c>
      <c r="I97" s="323">
        <v>1702</v>
      </c>
      <c r="J97" s="326" t="s">
        <v>1583</v>
      </c>
      <c r="K97" s="326" t="s">
        <v>453</v>
      </c>
      <c r="L97" s="435">
        <v>1702024</v>
      </c>
      <c r="M97" s="326" t="s">
        <v>491</v>
      </c>
      <c r="N97" s="435">
        <v>1702024</v>
      </c>
      <c r="O97" s="326" t="s">
        <v>491</v>
      </c>
      <c r="P97" s="99" t="s">
        <v>492</v>
      </c>
      <c r="Q97" s="326" t="s">
        <v>493</v>
      </c>
      <c r="R97" s="99" t="s">
        <v>492</v>
      </c>
      <c r="S97" s="326" t="s">
        <v>493</v>
      </c>
      <c r="T97" s="349" t="s">
        <v>1689</v>
      </c>
      <c r="U97" s="103">
        <v>12</v>
      </c>
      <c r="V97" s="103">
        <v>8</v>
      </c>
      <c r="W97" s="427" t="s">
        <v>488</v>
      </c>
      <c r="X97" s="326" t="s">
        <v>489</v>
      </c>
      <c r="Y97" s="326" t="s">
        <v>490</v>
      </c>
      <c r="Z97" s="469"/>
      <c r="AA97" s="469"/>
      <c r="AB97" s="469"/>
      <c r="AC97" s="469"/>
      <c r="AD97" s="469"/>
      <c r="AE97" s="469"/>
      <c r="AF97" s="469"/>
      <c r="AG97" s="469"/>
      <c r="AH97" s="469"/>
      <c r="AI97" s="469"/>
      <c r="AJ97" s="469"/>
      <c r="AK97" s="469"/>
      <c r="AL97" s="469"/>
      <c r="AM97" s="469"/>
      <c r="AN97" s="469"/>
      <c r="AO97" s="469"/>
      <c r="AP97" s="469"/>
      <c r="AQ97" s="469"/>
      <c r="AR97" s="469"/>
      <c r="AS97" s="469"/>
      <c r="AT97" s="469"/>
      <c r="AU97" s="469"/>
      <c r="AV97" s="469"/>
      <c r="AW97" s="469"/>
      <c r="AX97" s="469"/>
      <c r="AY97" s="469"/>
      <c r="AZ97" s="469"/>
      <c r="BA97" s="469"/>
      <c r="BB97" s="469"/>
      <c r="BC97" s="469"/>
      <c r="BD97" s="348">
        <v>45000000</v>
      </c>
      <c r="BE97" s="348">
        <v>44755000</v>
      </c>
      <c r="BF97" s="348">
        <v>36100000</v>
      </c>
      <c r="BG97" s="468"/>
      <c r="BH97" s="468"/>
      <c r="BI97" s="468"/>
      <c r="BJ97" s="468"/>
      <c r="BK97" s="468"/>
      <c r="BL97" s="468"/>
      <c r="BM97" s="468"/>
      <c r="BN97" s="468"/>
      <c r="BO97" s="468"/>
      <c r="BP97" s="403">
        <f t="shared" si="29"/>
        <v>45000000</v>
      </c>
      <c r="BQ97" s="403">
        <f t="shared" si="30"/>
        <v>44755000</v>
      </c>
      <c r="BR97" s="403">
        <f t="shared" si="31"/>
        <v>36100000</v>
      </c>
      <c r="BS97" s="360" t="s">
        <v>1660</v>
      </c>
      <c r="BT97" s="5"/>
    </row>
    <row r="98" spans="1:110" ht="150" customHeight="1" x14ac:dyDescent="0.2">
      <c r="A98" s="327">
        <v>312</v>
      </c>
      <c r="B98" s="326" t="s">
        <v>1630</v>
      </c>
      <c r="C98" s="323">
        <v>2</v>
      </c>
      <c r="D98" s="326" t="s">
        <v>1629</v>
      </c>
      <c r="E98" s="323">
        <v>17</v>
      </c>
      <c r="F98" s="326" t="s">
        <v>451</v>
      </c>
      <c r="G98" s="323">
        <v>1702</v>
      </c>
      <c r="H98" s="326" t="s">
        <v>452</v>
      </c>
      <c r="I98" s="323">
        <v>1702</v>
      </c>
      <c r="J98" s="326" t="s">
        <v>1583</v>
      </c>
      <c r="K98" s="326" t="s">
        <v>453</v>
      </c>
      <c r="L98" s="435">
        <v>1702025</v>
      </c>
      <c r="M98" s="326" t="s">
        <v>494</v>
      </c>
      <c r="N98" s="435">
        <v>1702025</v>
      </c>
      <c r="O98" s="326" t="s">
        <v>494</v>
      </c>
      <c r="P98" s="99" t="s">
        <v>495</v>
      </c>
      <c r="Q98" s="443" t="s">
        <v>496</v>
      </c>
      <c r="R98" s="99" t="s">
        <v>495</v>
      </c>
      <c r="S98" s="443" t="s">
        <v>496</v>
      </c>
      <c r="T98" s="349" t="s">
        <v>1691</v>
      </c>
      <c r="U98" s="103">
        <v>25</v>
      </c>
      <c r="V98" s="103">
        <v>25</v>
      </c>
      <c r="W98" s="349" t="s">
        <v>497</v>
      </c>
      <c r="X98" s="324" t="s">
        <v>498</v>
      </c>
      <c r="Y98" s="326" t="s">
        <v>499</v>
      </c>
      <c r="Z98" s="469"/>
      <c r="AA98" s="469"/>
      <c r="AB98" s="469"/>
      <c r="AC98" s="469"/>
      <c r="AD98" s="469"/>
      <c r="AE98" s="469"/>
      <c r="AF98" s="469"/>
      <c r="AG98" s="469"/>
      <c r="AH98" s="469"/>
      <c r="AI98" s="469"/>
      <c r="AJ98" s="469"/>
      <c r="AK98" s="469"/>
      <c r="AL98" s="469"/>
      <c r="AM98" s="469"/>
      <c r="AN98" s="469"/>
      <c r="AO98" s="469"/>
      <c r="AP98" s="469"/>
      <c r="AQ98" s="469"/>
      <c r="AR98" s="469"/>
      <c r="AS98" s="469"/>
      <c r="AT98" s="469"/>
      <c r="AU98" s="469"/>
      <c r="AV98" s="469"/>
      <c r="AW98" s="469"/>
      <c r="AX98" s="469"/>
      <c r="AY98" s="469"/>
      <c r="AZ98" s="469"/>
      <c r="BA98" s="469"/>
      <c r="BB98" s="469"/>
      <c r="BC98" s="469"/>
      <c r="BD98" s="348">
        <v>27000000</v>
      </c>
      <c r="BE98" s="348">
        <v>26940000</v>
      </c>
      <c r="BF98" s="348">
        <v>26940000</v>
      </c>
      <c r="BG98" s="468"/>
      <c r="BH98" s="468"/>
      <c r="BI98" s="468"/>
      <c r="BJ98" s="468"/>
      <c r="BK98" s="468"/>
      <c r="BL98" s="468"/>
      <c r="BM98" s="468"/>
      <c r="BN98" s="468"/>
      <c r="BO98" s="468"/>
      <c r="BP98" s="403">
        <f t="shared" si="29"/>
        <v>27000000</v>
      </c>
      <c r="BQ98" s="403">
        <f t="shared" si="30"/>
        <v>26940000</v>
      </c>
      <c r="BR98" s="403">
        <f t="shared" si="31"/>
        <v>26940000</v>
      </c>
      <c r="BS98" s="360" t="s">
        <v>1660</v>
      </c>
      <c r="BT98" s="5"/>
    </row>
    <row r="99" spans="1:110" ht="187.5" customHeight="1" x14ac:dyDescent="0.2">
      <c r="A99" s="327">
        <v>312</v>
      </c>
      <c r="B99" s="326" t="s">
        <v>1630</v>
      </c>
      <c r="C99" s="323">
        <v>2</v>
      </c>
      <c r="D99" s="326" t="s">
        <v>1629</v>
      </c>
      <c r="E99" s="323">
        <v>17</v>
      </c>
      <c r="F99" s="326" t="s">
        <v>451</v>
      </c>
      <c r="G99" s="323">
        <v>1703</v>
      </c>
      <c r="H99" s="326" t="s">
        <v>500</v>
      </c>
      <c r="I99" s="323">
        <v>1703</v>
      </c>
      <c r="J99" s="326" t="s">
        <v>1584</v>
      </c>
      <c r="K99" s="326" t="s">
        <v>453</v>
      </c>
      <c r="L99" s="435">
        <v>1703013</v>
      </c>
      <c r="M99" s="326" t="s">
        <v>501</v>
      </c>
      <c r="N99" s="435">
        <v>1703013</v>
      </c>
      <c r="O99" s="326" t="s">
        <v>501</v>
      </c>
      <c r="P99" s="99" t="s">
        <v>502</v>
      </c>
      <c r="Q99" s="443" t="s">
        <v>503</v>
      </c>
      <c r="R99" s="99" t="s">
        <v>502</v>
      </c>
      <c r="S99" s="443" t="s">
        <v>503</v>
      </c>
      <c r="T99" s="349" t="s">
        <v>1691</v>
      </c>
      <c r="U99" s="103">
        <v>100</v>
      </c>
      <c r="V99" s="103">
        <v>100</v>
      </c>
      <c r="W99" s="349" t="s">
        <v>504</v>
      </c>
      <c r="X99" s="324" t="s">
        <v>505</v>
      </c>
      <c r="Y99" s="326" t="s">
        <v>506</v>
      </c>
      <c r="Z99" s="469"/>
      <c r="AA99" s="469"/>
      <c r="AB99" s="469"/>
      <c r="AC99" s="469"/>
      <c r="AD99" s="469"/>
      <c r="AE99" s="469"/>
      <c r="AF99" s="469"/>
      <c r="AG99" s="469"/>
      <c r="AH99" s="469"/>
      <c r="AI99" s="469"/>
      <c r="AJ99" s="469"/>
      <c r="AK99" s="469"/>
      <c r="AL99" s="469"/>
      <c r="AM99" s="469"/>
      <c r="AN99" s="469"/>
      <c r="AO99" s="469"/>
      <c r="AP99" s="469"/>
      <c r="AQ99" s="469"/>
      <c r="AR99" s="469"/>
      <c r="AS99" s="469"/>
      <c r="AT99" s="469"/>
      <c r="AU99" s="469"/>
      <c r="AV99" s="469"/>
      <c r="AW99" s="469"/>
      <c r="AX99" s="469"/>
      <c r="AY99" s="469"/>
      <c r="AZ99" s="469"/>
      <c r="BA99" s="469"/>
      <c r="BB99" s="469"/>
      <c r="BC99" s="469"/>
      <c r="BD99" s="348">
        <v>75000000</v>
      </c>
      <c r="BE99" s="348">
        <v>74995000</v>
      </c>
      <c r="BF99" s="348">
        <v>66350000</v>
      </c>
      <c r="BG99" s="396"/>
      <c r="BH99" s="420"/>
      <c r="BI99" s="420">
        <v>0</v>
      </c>
      <c r="BJ99" s="468"/>
      <c r="BK99" s="468"/>
      <c r="BL99" s="468"/>
      <c r="BM99" s="348">
        <v>250000000</v>
      </c>
      <c r="BN99" s="348">
        <v>250000000</v>
      </c>
      <c r="BO99" s="420">
        <v>250000000</v>
      </c>
      <c r="BP99" s="403">
        <f>+Z99+AC99+AF99+AI99+AL99+AO99+AR99+AU99+AX99+BA99+BD99+BG99+BJ99+BM99</f>
        <v>325000000</v>
      </c>
      <c r="BQ99" s="403">
        <f t="shared" ref="BQ99:BR99" si="34">+AA99+AD99+AG99+AJ99+AM99+AP99+AS99+AV99+AY99+BB99+BE99+BH99+BK99+BN99</f>
        <v>324995000</v>
      </c>
      <c r="BR99" s="403">
        <f t="shared" si="34"/>
        <v>316350000</v>
      </c>
      <c r="BS99" s="360" t="s">
        <v>1660</v>
      </c>
      <c r="BT99" s="5"/>
    </row>
    <row r="100" spans="1:110" ht="136.5" customHeight="1" x14ac:dyDescent="0.2">
      <c r="A100" s="327">
        <v>312</v>
      </c>
      <c r="B100" s="326" t="s">
        <v>1630</v>
      </c>
      <c r="C100" s="323">
        <v>2</v>
      </c>
      <c r="D100" s="326" t="s">
        <v>1629</v>
      </c>
      <c r="E100" s="323">
        <v>17</v>
      </c>
      <c r="F100" s="326" t="s">
        <v>451</v>
      </c>
      <c r="G100" s="327">
        <v>1704</v>
      </c>
      <c r="H100" s="326" t="s">
        <v>507</v>
      </c>
      <c r="I100" s="327">
        <v>1704</v>
      </c>
      <c r="J100" s="326" t="s">
        <v>1585</v>
      </c>
      <c r="K100" s="326" t="s">
        <v>453</v>
      </c>
      <c r="L100" s="435">
        <v>1704002</v>
      </c>
      <c r="M100" s="326" t="s">
        <v>84</v>
      </c>
      <c r="N100" s="435">
        <v>1704002</v>
      </c>
      <c r="O100" s="326" t="s">
        <v>84</v>
      </c>
      <c r="P100" s="323" t="s">
        <v>508</v>
      </c>
      <c r="Q100" s="326" t="s">
        <v>509</v>
      </c>
      <c r="R100" s="323" t="s">
        <v>508</v>
      </c>
      <c r="S100" s="326" t="s">
        <v>509</v>
      </c>
      <c r="T100" s="349" t="s">
        <v>1689</v>
      </c>
      <c r="U100" s="103">
        <v>1</v>
      </c>
      <c r="V100" s="103">
        <v>1</v>
      </c>
      <c r="W100" s="427" t="s">
        <v>510</v>
      </c>
      <c r="X100" s="324" t="s">
        <v>511</v>
      </c>
      <c r="Y100" s="326" t="s">
        <v>512</v>
      </c>
      <c r="Z100" s="428"/>
      <c r="AA100" s="428"/>
      <c r="AB100" s="428"/>
      <c r="AC100" s="428"/>
      <c r="AD100" s="428"/>
      <c r="AE100" s="428"/>
      <c r="AF100" s="428"/>
      <c r="AG100" s="428"/>
      <c r="AH100" s="428"/>
      <c r="AI100" s="428"/>
      <c r="AJ100" s="428"/>
      <c r="AK100" s="428"/>
      <c r="AL100" s="428"/>
      <c r="AM100" s="428"/>
      <c r="AN100" s="428"/>
      <c r="AO100" s="428"/>
      <c r="AP100" s="428"/>
      <c r="AQ100" s="428"/>
      <c r="AR100" s="428"/>
      <c r="AS100" s="428"/>
      <c r="AT100" s="428"/>
      <c r="AU100" s="428"/>
      <c r="AV100" s="428"/>
      <c r="AW100" s="428"/>
      <c r="AX100" s="428"/>
      <c r="AY100" s="428"/>
      <c r="AZ100" s="428"/>
      <c r="BA100" s="428"/>
      <c r="BB100" s="428"/>
      <c r="BC100" s="428"/>
      <c r="BD100" s="420">
        <v>42000000</v>
      </c>
      <c r="BE100" s="420">
        <v>34620000</v>
      </c>
      <c r="BF100" s="420">
        <v>25965000</v>
      </c>
      <c r="BG100" s="468"/>
      <c r="BH100" s="468"/>
      <c r="BI100" s="468"/>
      <c r="BJ100" s="468"/>
      <c r="BK100" s="468"/>
      <c r="BL100" s="468"/>
      <c r="BM100" s="468"/>
      <c r="BN100" s="468"/>
      <c r="BO100" s="468"/>
      <c r="BP100" s="403">
        <f t="shared" si="29"/>
        <v>42000000</v>
      </c>
      <c r="BQ100" s="403">
        <f t="shared" ref="BQ100:BQ101" si="35">+AA100+AD100+AG100+AJ100+AM100+AP100+AS100+AV100+AY100+BB100+BE100+BH100+BK100</f>
        <v>34620000</v>
      </c>
      <c r="BR100" s="403">
        <f t="shared" ref="BR100:BR101" si="36">+AB100+AE100+AH100+AK100+AN100+AQ100+AT100+AW100+AZ100+BC100+BF100+BI100+BL100</f>
        <v>25965000</v>
      </c>
      <c r="BS100" s="360" t="s">
        <v>1660</v>
      </c>
      <c r="BT100" s="5"/>
    </row>
    <row r="101" spans="1:110" ht="130.5" customHeight="1" x14ac:dyDescent="0.2">
      <c r="A101" s="327">
        <v>312</v>
      </c>
      <c r="B101" s="326" t="s">
        <v>1630</v>
      </c>
      <c r="C101" s="323">
        <v>2</v>
      </c>
      <c r="D101" s="326" t="s">
        <v>1629</v>
      </c>
      <c r="E101" s="323">
        <v>17</v>
      </c>
      <c r="F101" s="326" t="s">
        <v>451</v>
      </c>
      <c r="G101" s="327">
        <v>1704</v>
      </c>
      <c r="H101" s="326" t="s">
        <v>507</v>
      </c>
      <c r="I101" s="327">
        <v>1704</v>
      </c>
      <c r="J101" s="326" t="s">
        <v>1585</v>
      </c>
      <c r="K101" s="326" t="s">
        <v>453</v>
      </c>
      <c r="L101" s="435">
        <v>1704017</v>
      </c>
      <c r="M101" s="326" t="s">
        <v>513</v>
      </c>
      <c r="N101" s="435">
        <v>1704017</v>
      </c>
      <c r="O101" s="326" t="s">
        <v>513</v>
      </c>
      <c r="P101" s="323" t="s">
        <v>514</v>
      </c>
      <c r="Q101" s="326" t="s">
        <v>515</v>
      </c>
      <c r="R101" s="323" t="s">
        <v>514</v>
      </c>
      <c r="S101" s="326" t="s">
        <v>515</v>
      </c>
      <c r="T101" s="349" t="s">
        <v>1691</v>
      </c>
      <c r="U101" s="103">
        <v>150</v>
      </c>
      <c r="V101" s="103">
        <v>105</v>
      </c>
      <c r="W101" s="427" t="s">
        <v>510</v>
      </c>
      <c r="X101" s="324" t="s">
        <v>511</v>
      </c>
      <c r="Y101" s="326" t="s">
        <v>512</v>
      </c>
      <c r="Z101" s="428"/>
      <c r="AA101" s="428"/>
      <c r="AB101" s="428"/>
      <c r="AC101" s="428"/>
      <c r="AD101" s="428"/>
      <c r="AE101" s="428"/>
      <c r="AF101" s="428"/>
      <c r="AG101" s="428"/>
      <c r="AH101" s="428"/>
      <c r="AI101" s="428"/>
      <c r="AJ101" s="428"/>
      <c r="AK101" s="428"/>
      <c r="AL101" s="428"/>
      <c r="AM101" s="428"/>
      <c r="AN101" s="428"/>
      <c r="AO101" s="428"/>
      <c r="AP101" s="428"/>
      <c r="AQ101" s="428"/>
      <c r="AR101" s="428"/>
      <c r="AS101" s="428"/>
      <c r="AT101" s="428"/>
      <c r="AU101" s="428"/>
      <c r="AV101" s="428"/>
      <c r="AW101" s="428"/>
      <c r="AX101" s="428"/>
      <c r="AY101" s="428"/>
      <c r="AZ101" s="428"/>
      <c r="BA101" s="428"/>
      <c r="BB101" s="428"/>
      <c r="BC101" s="428"/>
      <c r="BD101" s="420">
        <v>28000000</v>
      </c>
      <c r="BE101" s="420">
        <v>18960000</v>
      </c>
      <c r="BF101" s="420">
        <v>18960000</v>
      </c>
      <c r="BG101" s="468"/>
      <c r="BH101" s="468"/>
      <c r="BI101" s="468"/>
      <c r="BJ101" s="468"/>
      <c r="BK101" s="468"/>
      <c r="BL101" s="468"/>
      <c r="BM101" s="468"/>
      <c r="BN101" s="468"/>
      <c r="BO101" s="468"/>
      <c r="BP101" s="403">
        <f t="shared" si="29"/>
        <v>28000000</v>
      </c>
      <c r="BQ101" s="403">
        <f t="shared" si="35"/>
        <v>18960000</v>
      </c>
      <c r="BR101" s="403">
        <f t="shared" si="36"/>
        <v>18960000</v>
      </c>
      <c r="BS101" s="360" t="s">
        <v>1660</v>
      </c>
      <c r="BT101" s="5"/>
    </row>
    <row r="102" spans="1:110" ht="116.25" customHeight="1" x14ac:dyDescent="0.2">
      <c r="A102" s="327">
        <v>312</v>
      </c>
      <c r="B102" s="326" t="s">
        <v>1630</v>
      </c>
      <c r="C102" s="323">
        <v>2</v>
      </c>
      <c r="D102" s="326" t="s">
        <v>1629</v>
      </c>
      <c r="E102" s="323">
        <v>17</v>
      </c>
      <c r="F102" s="326" t="s">
        <v>451</v>
      </c>
      <c r="G102" s="323">
        <v>1706</v>
      </c>
      <c r="H102" s="326" t="s">
        <v>516</v>
      </c>
      <c r="I102" s="323">
        <v>1706</v>
      </c>
      <c r="J102" s="326" t="s">
        <v>1586</v>
      </c>
      <c r="K102" s="326" t="s">
        <v>453</v>
      </c>
      <c r="L102" s="435">
        <v>1706004</v>
      </c>
      <c r="M102" s="326" t="s">
        <v>517</v>
      </c>
      <c r="N102" s="435">
        <v>1706004</v>
      </c>
      <c r="O102" s="326" t="s">
        <v>517</v>
      </c>
      <c r="P102" s="323" t="s">
        <v>518</v>
      </c>
      <c r="Q102" s="326" t="s">
        <v>519</v>
      </c>
      <c r="R102" s="323" t="s">
        <v>518</v>
      </c>
      <c r="S102" s="326" t="s">
        <v>519</v>
      </c>
      <c r="T102" s="349" t="s">
        <v>1689</v>
      </c>
      <c r="U102" s="103">
        <v>10</v>
      </c>
      <c r="V102" s="103">
        <v>0</v>
      </c>
      <c r="W102" s="349" t="s">
        <v>520</v>
      </c>
      <c r="X102" s="324" t="s">
        <v>521</v>
      </c>
      <c r="Y102" s="324" t="s">
        <v>522</v>
      </c>
      <c r="Z102" s="419"/>
      <c r="AA102" s="419"/>
      <c r="AB102" s="419"/>
      <c r="AC102" s="419"/>
      <c r="AD102" s="419"/>
      <c r="AE102" s="419"/>
      <c r="AF102" s="419"/>
      <c r="AG102" s="419"/>
      <c r="AH102" s="419"/>
      <c r="AI102" s="419"/>
      <c r="AJ102" s="419"/>
      <c r="AK102" s="419"/>
      <c r="AL102" s="419"/>
      <c r="AM102" s="419"/>
      <c r="AN102" s="419"/>
      <c r="AO102" s="419"/>
      <c r="AP102" s="419"/>
      <c r="AQ102" s="419"/>
      <c r="AR102" s="419"/>
      <c r="AS102" s="419"/>
      <c r="AT102" s="419"/>
      <c r="AU102" s="419"/>
      <c r="AV102" s="419"/>
      <c r="AW102" s="419"/>
      <c r="AX102" s="419"/>
      <c r="AY102" s="419"/>
      <c r="AZ102" s="419"/>
      <c r="BA102" s="419"/>
      <c r="BB102" s="419"/>
      <c r="BC102" s="419"/>
      <c r="BD102" s="420">
        <v>20000000</v>
      </c>
      <c r="BE102" s="420">
        <v>20000000</v>
      </c>
      <c r="BF102" s="420">
        <v>0</v>
      </c>
      <c r="BG102" s="468"/>
      <c r="BH102" s="468"/>
      <c r="BI102" s="468"/>
      <c r="BJ102" s="468"/>
      <c r="BK102" s="468"/>
      <c r="BL102" s="468"/>
      <c r="BM102" s="468"/>
      <c r="BN102" s="468"/>
      <c r="BO102" s="468"/>
      <c r="BP102" s="403">
        <f t="shared" si="29"/>
        <v>20000000</v>
      </c>
      <c r="BQ102" s="403">
        <f t="shared" ref="BQ102" si="37">+AA102+AD102+AG102+AJ102+AM102+AP102+AS102+AV102+AY102+BB102+BE102+BH102+BK102</f>
        <v>20000000</v>
      </c>
      <c r="BR102" s="403">
        <f t="shared" ref="BR102" si="38">+AB102+AE102+AH102+AK102+AN102+AQ102+AT102+AW102+AZ102+BC102+BF102+BI102+BL102</f>
        <v>0</v>
      </c>
      <c r="BS102" s="360" t="s">
        <v>1660</v>
      </c>
      <c r="BT102" s="5"/>
    </row>
    <row r="103" spans="1:110" ht="128.25" customHeight="1" x14ac:dyDescent="0.2">
      <c r="A103" s="327">
        <v>312</v>
      </c>
      <c r="B103" s="326" t="s">
        <v>1630</v>
      </c>
      <c r="C103" s="323">
        <v>2</v>
      </c>
      <c r="D103" s="326" t="s">
        <v>1629</v>
      </c>
      <c r="E103" s="323">
        <v>17</v>
      </c>
      <c r="F103" s="326" t="s">
        <v>451</v>
      </c>
      <c r="G103" s="323">
        <v>1707</v>
      </c>
      <c r="H103" s="326" t="s">
        <v>523</v>
      </c>
      <c r="I103" s="323">
        <v>1707</v>
      </c>
      <c r="J103" s="326" t="s">
        <v>1587</v>
      </c>
      <c r="K103" s="326" t="s">
        <v>453</v>
      </c>
      <c r="L103" s="435">
        <v>1707069</v>
      </c>
      <c r="M103" s="326" t="s">
        <v>524</v>
      </c>
      <c r="N103" s="435">
        <v>1707069</v>
      </c>
      <c r="O103" s="326" t="s">
        <v>524</v>
      </c>
      <c r="P103" s="323" t="s">
        <v>525</v>
      </c>
      <c r="Q103" s="326" t="s">
        <v>526</v>
      </c>
      <c r="R103" s="323" t="s">
        <v>525</v>
      </c>
      <c r="S103" s="326" t="s">
        <v>526</v>
      </c>
      <c r="T103" s="349" t="s">
        <v>1691</v>
      </c>
      <c r="U103" s="103">
        <v>5</v>
      </c>
      <c r="V103" s="103">
        <v>0</v>
      </c>
      <c r="W103" s="349" t="s">
        <v>527</v>
      </c>
      <c r="X103" s="324" t="s">
        <v>528</v>
      </c>
      <c r="Y103" s="326" t="s">
        <v>529</v>
      </c>
      <c r="Z103" s="469"/>
      <c r="AA103" s="469"/>
      <c r="AB103" s="469"/>
      <c r="AC103" s="469"/>
      <c r="AD103" s="469"/>
      <c r="AE103" s="469"/>
      <c r="AF103" s="469"/>
      <c r="AG103" s="469"/>
      <c r="AH103" s="469"/>
      <c r="AI103" s="469"/>
      <c r="AJ103" s="469"/>
      <c r="AK103" s="469"/>
      <c r="AL103" s="469"/>
      <c r="AM103" s="469"/>
      <c r="AN103" s="469"/>
      <c r="AO103" s="469"/>
      <c r="AP103" s="469"/>
      <c r="AQ103" s="469"/>
      <c r="AR103" s="469"/>
      <c r="AS103" s="469"/>
      <c r="AT103" s="469"/>
      <c r="AU103" s="469"/>
      <c r="AV103" s="469"/>
      <c r="AW103" s="469"/>
      <c r="AX103" s="469"/>
      <c r="AY103" s="469"/>
      <c r="AZ103" s="469"/>
      <c r="BA103" s="469"/>
      <c r="BB103" s="469"/>
      <c r="BC103" s="469"/>
      <c r="BD103" s="348">
        <v>43000000</v>
      </c>
      <c r="BE103" s="348">
        <v>26210000</v>
      </c>
      <c r="BF103" s="348">
        <v>2885000</v>
      </c>
      <c r="BG103" s="468"/>
      <c r="BH103" s="468"/>
      <c r="BI103" s="468"/>
      <c r="BJ103" s="468"/>
      <c r="BK103" s="468"/>
      <c r="BL103" s="468"/>
      <c r="BM103" s="468"/>
      <c r="BN103" s="468"/>
      <c r="BO103" s="468"/>
      <c r="BP103" s="403">
        <f t="shared" si="29"/>
        <v>43000000</v>
      </c>
      <c r="BQ103" s="403">
        <f t="shared" ref="BQ103" si="39">+AA103+AD103+AG103+AJ103+AM103+AP103+AS103+AV103+AY103+BB103+BE103+BH103+BK103</f>
        <v>26210000</v>
      </c>
      <c r="BR103" s="403">
        <f t="shared" ref="BR103" si="40">+AB103+AE103+AH103+AK103+AN103+AQ103+AT103+AW103+AZ103+BC103+BF103+BI103+BL103</f>
        <v>2885000</v>
      </c>
      <c r="BS103" s="360" t="s">
        <v>1660</v>
      </c>
      <c r="BT103" s="5"/>
    </row>
    <row r="104" spans="1:110" ht="168.75" customHeight="1" x14ac:dyDescent="0.2">
      <c r="A104" s="327">
        <v>312</v>
      </c>
      <c r="B104" s="326" t="s">
        <v>1630</v>
      </c>
      <c r="C104" s="323">
        <v>2</v>
      </c>
      <c r="D104" s="326" t="s">
        <v>1629</v>
      </c>
      <c r="E104" s="323">
        <v>17</v>
      </c>
      <c r="F104" s="326" t="s">
        <v>451</v>
      </c>
      <c r="G104" s="323">
        <v>1708</v>
      </c>
      <c r="H104" s="326" t="s">
        <v>530</v>
      </c>
      <c r="I104" s="323">
        <v>1708</v>
      </c>
      <c r="J104" s="326" t="s">
        <v>1588</v>
      </c>
      <c r="K104" s="326" t="s">
        <v>453</v>
      </c>
      <c r="L104" s="435">
        <v>1708016</v>
      </c>
      <c r="M104" s="326" t="s">
        <v>84</v>
      </c>
      <c r="N104" s="435">
        <v>1708016</v>
      </c>
      <c r="O104" s="326" t="s">
        <v>84</v>
      </c>
      <c r="P104" s="99" t="s">
        <v>531</v>
      </c>
      <c r="Q104" s="326" t="s">
        <v>532</v>
      </c>
      <c r="R104" s="99" t="s">
        <v>531</v>
      </c>
      <c r="S104" s="326" t="s">
        <v>532</v>
      </c>
      <c r="T104" s="349" t="s">
        <v>1689</v>
      </c>
      <c r="U104" s="103">
        <v>2</v>
      </c>
      <c r="V104" s="103">
        <v>0</v>
      </c>
      <c r="W104" s="427" t="s">
        <v>533</v>
      </c>
      <c r="X104" s="324" t="s">
        <v>534</v>
      </c>
      <c r="Y104" s="326" t="s">
        <v>535</v>
      </c>
      <c r="Z104" s="419"/>
      <c r="AA104" s="419"/>
      <c r="AB104" s="419"/>
      <c r="AC104" s="419"/>
      <c r="AD104" s="419"/>
      <c r="AE104" s="419"/>
      <c r="AF104" s="419"/>
      <c r="AG104" s="419"/>
      <c r="AH104" s="419"/>
      <c r="AI104" s="419"/>
      <c r="AJ104" s="419"/>
      <c r="AK104" s="419"/>
      <c r="AL104" s="419"/>
      <c r="AM104" s="419"/>
      <c r="AN104" s="419"/>
      <c r="AO104" s="419"/>
      <c r="AP104" s="419"/>
      <c r="AQ104" s="419"/>
      <c r="AR104" s="419"/>
      <c r="AS104" s="419"/>
      <c r="AT104" s="419"/>
      <c r="AU104" s="419"/>
      <c r="AV104" s="419"/>
      <c r="AW104" s="419"/>
      <c r="AX104" s="419"/>
      <c r="AY104" s="419"/>
      <c r="AZ104" s="419"/>
      <c r="BA104" s="419"/>
      <c r="BB104" s="419"/>
      <c r="BC104" s="419"/>
      <c r="BD104" s="420">
        <v>20000000</v>
      </c>
      <c r="BE104" s="420">
        <v>17555000</v>
      </c>
      <c r="BF104" s="420">
        <v>14670000</v>
      </c>
      <c r="BG104" s="468"/>
      <c r="BH104" s="468"/>
      <c r="BI104" s="468"/>
      <c r="BJ104" s="468"/>
      <c r="BK104" s="468"/>
      <c r="BL104" s="468"/>
      <c r="BM104" s="468"/>
      <c r="BN104" s="468"/>
      <c r="BO104" s="468"/>
      <c r="BP104" s="403">
        <f t="shared" si="29"/>
        <v>20000000</v>
      </c>
      <c r="BQ104" s="403">
        <f t="shared" ref="BQ104:BQ105" si="41">+AA104+AD104+AG104+AJ104+AM104+AP104+AS104+AV104+AY104+BB104+BE104+BH104+BK104</f>
        <v>17555000</v>
      </c>
      <c r="BR104" s="403">
        <f t="shared" ref="BR104:BR105" si="42">+AB104+AE104+AH104+AK104+AN104+AQ104+AT104+AW104+AZ104+BC104+BF104+BI104+BL104</f>
        <v>14670000</v>
      </c>
      <c r="BS104" s="360" t="s">
        <v>1660</v>
      </c>
      <c r="BT104" s="5"/>
    </row>
    <row r="105" spans="1:110" ht="187.5" customHeight="1" x14ac:dyDescent="0.2">
      <c r="A105" s="327">
        <v>312</v>
      </c>
      <c r="B105" s="326" t="s">
        <v>1630</v>
      </c>
      <c r="C105" s="323">
        <v>2</v>
      </c>
      <c r="D105" s="326" t="s">
        <v>1629</v>
      </c>
      <c r="E105" s="323">
        <v>17</v>
      </c>
      <c r="F105" s="326" t="s">
        <v>451</v>
      </c>
      <c r="G105" s="323">
        <v>1708</v>
      </c>
      <c r="H105" s="326" t="s">
        <v>530</v>
      </c>
      <c r="I105" s="323">
        <v>1708</v>
      </c>
      <c r="J105" s="326" t="s">
        <v>1588</v>
      </c>
      <c r="K105" s="326" t="s">
        <v>453</v>
      </c>
      <c r="L105" s="435">
        <v>1708051</v>
      </c>
      <c r="M105" s="326" t="s">
        <v>536</v>
      </c>
      <c r="N105" s="435">
        <v>1708051</v>
      </c>
      <c r="O105" s="326" t="s">
        <v>536</v>
      </c>
      <c r="P105" s="99" t="s">
        <v>537</v>
      </c>
      <c r="Q105" s="443" t="s">
        <v>538</v>
      </c>
      <c r="R105" s="99" t="s">
        <v>537</v>
      </c>
      <c r="S105" s="443" t="s">
        <v>538</v>
      </c>
      <c r="T105" s="349" t="s">
        <v>1689</v>
      </c>
      <c r="U105" s="103">
        <v>1</v>
      </c>
      <c r="V105" s="103">
        <v>0</v>
      </c>
      <c r="W105" s="427" t="s">
        <v>533</v>
      </c>
      <c r="X105" s="324" t="s">
        <v>534</v>
      </c>
      <c r="Y105" s="326" t="s">
        <v>535</v>
      </c>
      <c r="Z105" s="419"/>
      <c r="AA105" s="419"/>
      <c r="AB105" s="419"/>
      <c r="AC105" s="419"/>
      <c r="AD105" s="419"/>
      <c r="AE105" s="419"/>
      <c r="AF105" s="419"/>
      <c r="AG105" s="419"/>
      <c r="AH105" s="419"/>
      <c r="AI105" s="419"/>
      <c r="AJ105" s="419"/>
      <c r="AK105" s="419"/>
      <c r="AL105" s="419"/>
      <c r="AM105" s="419"/>
      <c r="AN105" s="419"/>
      <c r="AO105" s="419"/>
      <c r="AP105" s="419"/>
      <c r="AQ105" s="419"/>
      <c r="AR105" s="419"/>
      <c r="AS105" s="419"/>
      <c r="AT105" s="419"/>
      <c r="AU105" s="419"/>
      <c r="AV105" s="419"/>
      <c r="AW105" s="419"/>
      <c r="AX105" s="419"/>
      <c r="AY105" s="419"/>
      <c r="AZ105" s="419"/>
      <c r="BA105" s="419"/>
      <c r="BB105" s="419"/>
      <c r="BC105" s="419"/>
      <c r="BD105" s="420">
        <v>20000000</v>
      </c>
      <c r="BE105" s="420"/>
      <c r="BF105" s="420"/>
      <c r="BG105" s="468"/>
      <c r="BH105" s="468"/>
      <c r="BI105" s="468"/>
      <c r="BJ105" s="468"/>
      <c r="BK105" s="468"/>
      <c r="BL105" s="468"/>
      <c r="BM105" s="468"/>
      <c r="BN105" s="468"/>
      <c r="BO105" s="468"/>
      <c r="BP105" s="403">
        <f>+Z105+AC105+AF105+AI105+AL105+AO105+AR105+AU105+AX105+BA105+BD105+BG105+BJ105</f>
        <v>20000000</v>
      </c>
      <c r="BQ105" s="403">
        <f t="shared" si="41"/>
        <v>0</v>
      </c>
      <c r="BR105" s="403">
        <f t="shared" si="42"/>
        <v>0</v>
      </c>
      <c r="BS105" s="360" t="s">
        <v>1660</v>
      </c>
      <c r="BT105" s="5"/>
    </row>
    <row r="106" spans="1:110" ht="138.75" customHeight="1" x14ac:dyDescent="0.2">
      <c r="A106" s="327">
        <v>312</v>
      </c>
      <c r="B106" s="326" t="s">
        <v>1630</v>
      </c>
      <c r="C106" s="323">
        <v>2</v>
      </c>
      <c r="D106" s="326" t="s">
        <v>1629</v>
      </c>
      <c r="E106" s="323">
        <v>17</v>
      </c>
      <c r="F106" s="326" t="s">
        <v>451</v>
      </c>
      <c r="G106" s="327">
        <v>1709</v>
      </c>
      <c r="H106" s="326" t="s">
        <v>539</v>
      </c>
      <c r="I106" s="327">
        <v>1709</v>
      </c>
      <c r="J106" s="326" t="s">
        <v>1589</v>
      </c>
      <c r="K106" s="326" t="s">
        <v>453</v>
      </c>
      <c r="L106" s="435">
        <v>1709019</v>
      </c>
      <c r="M106" s="326" t="s">
        <v>540</v>
      </c>
      <c r="N106" s="435">
        <v>1709019</v>
      </c>
      <c r="O106" s="326" t="s">
        <v>540</v>
      </c>
      <c r="P106" s="99">
        <v>170901900</v>
      </c>
      <c r="Q106" s="443" t="s">
        <v>540</v>
      </c>
      <c r="R106" s="99">
        <v>170901900</v>
      </c>
      <c r="S106" s="443" t="s">
        <v>540</v>
      </c>
      <c r="T106" s="349" t="s">
        <v>1691</v>
      </c>
      <c r="U106" s="103">
        <v>4</v>
      </c>
      <c r="V106" s="103">
        <v>0</v>
      </c>
      <c r="W106" s="439" t="s">
        <v>541</v>
      </c>
      <c r="X106" s="324" t="s">
        <v>542</v>
      </c>
      <c r="Y106" s="326" t="s">
        <v>543</v>
      </c>
      <c r="Z106" s="428"/>
      <c r="AA106" s="428"/>
      <c r="AB106" s="428"/>
      <c r="AC106" s="428"/>
      <c r="AD106" s="428"/>
      <c r="AE106" s="428"/>
      <c r="AF106" s="428"/>
      <c r="AG106" s="428"/>
      <c r="AH106" s="428"/>
      <c r="AI106" s="428"/>
      <c r="AJ106" s="428"/>
      <c r="AK106" s="428"/>
      <c r="AL106" s="428"/>
      <c r="AM106" s="428"/>
      <c r="AN106" s="428"/>
      <c r="AO106" s="428"/>
      <c r="AP106" s="428"/>
      <c r="AQ106" s="428"/>
      <c r="AR106" s="428"/>
      <c r="AS106" s="428"/>
      <c r="AT106" s="428"/>
      <c r="AU106" s="428"/>
      <c r="AV106" s="428"/>
      <c r="AW106" s="428"/>
      <c r="AX106" s="428"/>
      <c r="AY106" s="428"/>
      <c r="AZ106" s="428"/>
      <c r="BA106" s="428"/>
      <c r="BB106" s="428"/>
      <c r="BC106" s="428"/>
      <c r="BD106" s="420">
        <v>43000000</v>
      </c>
      <c r="BE106" s="468"/>
      <c r="BF106" s="468"/>
      <c r="BG106" s="468"/>
      <c r="BH106" s="468"/>
      <c r="BI106" s="468"/>
      <c r="BJ106" s="468"/>
      <c r="BK106" s="468"/>
      <c r="BL106" s="468"/>
      <c r="BM106" s="468"/>
      <c r="BN106" s="468"/>
      <c r="BO106" s="468"/>
      <c r="BP106" s="403">
        <f t="shared" ref="BP106:BP108" si="43">+Z106+AC106+AF106+AI106+AL106+AO106+AR106+AU106+AX106+BA106+BD106+BG106+BJ106</f>
        <v>43000000</v>
      </c>
      <c r="BQ106" s="403">
        <f t="shared" ref="BQ106:BQ108" si="44">+AA106+AD106+AG106+AJ106+AM106+AP106+AS106+AV106+AY106+BB106+BE106+BH106+BK106</f>
        <v>0</v>
      </c>
      <c r="BR106" s="403">
        <f t="shared" ref="BR106:BR108" si="45">+AB106+AE106+AH106+AK106+AN106+AQ106+AT106+AW106+AZ106+BC106+BF106+BI106+BL106</f>
        <v>0</v>
      </c>
      <c r="BS106" s="360" t="s">
        <v>1660</v>
      </c>
      <c r="BT106" s="5"/>
    </row>
    <row r="107" spans="1:110" ht="132.75" customHeight="1" x14ac:dyDescent="0.2">
      <c r="A107" s="327">
        <v>312</v>
      </c>
      <c r="B107" s="326" t="s">
        <v>1630</v>
      </c>
      <c r="C107" s="323">
        <v>2</v>
      </c>
      <c r="D107" s="326" t="s">
        <v>1629</v>
      </c>
      <c r="E107" s="323">
        <v>17</v>
      </c>
      <c r="F107" s="326" t="s">
        <v>451</v>
      </c>
      <c r="G107" s="327">
        <v>1709</v>
      </c>
      <c r="H107" s="326" t="s">
        <v>539</v>
      </c>
      <c r="I107" s="327">
        <v>1709</v>
      </c>
      <c r="J107" s="326" t="s">
        <v>1589</v>
      </c>
      <c r="K107" s="326" t="s">
        <v>453</v>
      </c>
      <c r="L107" s="435">
        <v>1709034</v>
      </c>
      <c r="M107" s="326" t="s">
        <v>544</v>
      </c>
      <c r="N107" s="435">
        <v>1709034</v>
      </c>
      <c r="O107" s="326" t="s">
        <v>544</v>
      </c>
      <c r="P107" s="99" t="s">
        <v>545</v>
      </c>
      <c r="Q107" s="443" t="s">
        <v>544</v>
      </c>
      <c r="R107" s="99" t="s">
        <v>545</v>
      </c>
      <c r="S107" s="443" t="s">
        <v>544</v>
      </c>
      <c r="T107" s="349" t="s">
        <v>1691</v>
      </c>
      <c r="U107" s="103">
        <v>3</v>
      </c>
      <c r="V107" s="103">
        <v>0</v>
      </c>
      <c r="W107" s="439" t="s">
        <v>541</v>
      </c>
      <c r="X107" s="324" t="s">
        <v>542</v>
      </c>
      <c r="Y107" s="326" t="s">
        <v>543</v>
      </c>
      <c r="Z107" s="428"/>
      <c r="AA107" s="428"/>
      <c r="AB107" s="428"/>
      <c r="AC107" s="428"/>
      <c r="AD107" s="428"/>
      <c r="AE107" s="428"/>
      <c r="AF107" s="428"/>
      <c r="AG107" s="428"/>
      <c r="AH107" s="428"/>
      <c r="AI107" s="428"/>
      <c r="AJ107" s="428"/>
      <c r="AK107" s="428"/>
      <c r="AL107" s="428"/>
      <c r="AM107" s="428"/>
      <c r="AN107" s="428"/>
      <c r="AO107" s="428"/>
      <c r="AP107" s="428"/>
      <c r="AQ107" s="428"/>
      <c r="AR107" s="428"/>
      <c r="AS107" s="428"/>
      <c r="AT107" s="428"/>
      <c r="AU107" s="428"/>
      <c r="AV107" s="428"/>
      <c r="AW107" s="428"/>
      <c r="AX107" s="428"/>
      <c r="AY107" s="428"/>
      <c r="AZ107" s="428"/>
      <c r="BA107" s="428"/>
      <c r="BB107" s="428"/>
      <c r="BC107" s="428"/>
      <c r="BD107" s="420">
        <v>43000000</v>
      </c>
      <c r="BE107" s="420">
        <v>23080000</v>
      </c>
      <c r="BF107" s="420">
        <v>23080000</v>
      </c>
      <c r="BG107" s="468"/>
      <c r="BH107" s="468"/>
      <c r="BI107" s="468"/>
      <c r="BJ107" s="468"/>
      <c r="BK107" s="468"/>
      <c r="BL107" s="468"/>
      <c r="BM107" s="468"/>
      <c r="BN107" s="468"/>
      <c r="BO107" s="468"/>
      <c r="BP107" s="403">
        <f t="shared" si="43"/>
        <v>43000000</v>
      </c>
      <c r="BQ107" s="403">
        <f t="shared" si="44"/>
        <v>23080000</v>
      </c>
      <c r="BR107" s="403">
        <f t="shared" si="45"/>
        <v>23080000</v>
      </c>
      <c r="BS107" s="360" t="s">
        <v>1660</v>
      </c>
      <c r="BT107" s="5"/>
    </row>
    <row r="108" spans="1:110" ht="132.75" customHeight="1" x14ac:dyDescent="0.2">
      <c r="A108" s="327">
        <v>312</v>
      </c>
      <c r="B108" s="326" t="s">
        <v>1630</v>
      </c>
      <c r="C108" s="323">
        <v>2</v>
      </c>
      <c r="D108" s="326" t="s">
        <v>1629</v>
      </c>
      <c r="E108" s="323">
        <v>17</v>
      </c>
      <c r="F108" s="326" t="s">
        <v>451</v>
      </c>
      <c r="G108" s="327">
        <v>1709</v>
      </c>
      <c r="H108" s="326" t="s">
        <v>539</v>
      </c>
      <c r="I108" s="327">
        <v>1709</v>
      </c>
      <c r="J108" s="326" t="s">
        <v>1589</v>
      </c>
      <c r="K108" s="326" t="s">
        <v>453</v>
      </c>
      <c r="L108" s="435">
        <v>1709093</v>
      </c>
      <c r="M108" s="326" t="s">
        <v>546</v>
      </c>
      <c r="N108" s="435">
        <v>1709093</v>
      </c>
      <c r="O108" s="326" t="s">
        <v>546</v>
      </c>
      <c r="P108" s="323" t="s">
        <v>547</v>
      </c>
      <c r="Q108" s="326" t="s">
        <v>548</v>
      </c>
      <c r="R108" s="323" t="s">
        <v>547</v>
      </c>
      <c r="S108" s="326" t="s">
        <v>548</v>
      </c>
      <c r="T108" s="349" t="s">
        <v>1691</v>
      </c>
      <c r="U108" s="103">
        <v>2</v>
      </c>
      <c r="V108" s="103">
        <v>0</v>
      </c>
      <c r="W108" s="439" t="s">
        <v>541</v>
      </c>
      <c r="X108" s="324" t="s">
        <v>542</v>
      </c>
      <c r="Y108" s="326" t="s">
        <v>543</v>
      </c>
      <c r="Z108" s="428"/>
      <c r="AA108" s="428"/>
      <c r="AB108" s="428"/>
      <c r="AC108" s="428"/>
      <c r="AD108" s="428"/>
      <c r="AE108" s="428"/>
      <c r="AF108" s="428"/>
      <c r="AG108" s="428"/>
      <c r="AH108" s="428"/>
      <c r="AI108" s="428"/>
      <c r="AJ108" s="428"/>
      <c r="AK108" s="428"/>
      <c r="AL108" s="428"/>
      <c r="AM108" s="428"/>
      <c r="AN108" s="428"/>
      <c r="AO108" s="428"/>
      <c r="AP108" s="428"/>
      <c r="AQ108" s="428"/>
      <c r="AR108" s="428"/>
      <c r="AS108" s="428"/>
      <c r="AT108" s="428"/>
      <c r="AU108" s="428"/>
      <c r="AV108" s="428"/>
      <c r="AW108" s="428"/>
      <c r="AX108" s="428"/>
      <c r="AY108" s="428"/>
      <c r="AZ108" s="428"/>
      <c r="BA108" s="428"/>
      <c r="BB108" s="428"/>
      <c r="BC108" s="428"/>
      <c r="BD108" s="420">
        <v>22000000</v>
      </c>
      <c r="BE108" s="420">
        <v>12353654</v>
      </c>
      <c r="BF108" s="420">
        <v>12353654</v>
      </c>
      <c r="BG108" s="468"/>
      <c r="BH108" s="468"/>
      <c r="BI108" s="468"/>
      <c r="BJ108" s="468"/>
      <c r="BK108" s="468"/>
      <c r="BL108" s="468"/>
      <c r="BM108" s="468"/>
      <c r="BN108" s="468"/>
      <c r="BO108" s="468"/>
      <c r="BP108" s="403">
        <f t="shared" si="43"/>
        <v>22000000</v>
      </c>
      <c r="BQ108" s="403">
        <f t="shared" si="44"/>
        <v>12353654</v>
      </c>
      <c r="BR108" s="403">
        <f t="shared" si="45"/>
        <v>12353654</v>
      </c>
      <c r="BS108" s="360" t="s">
        <v>1660</v>
      </c>
      <c r="BT108" s="5"/>
    </row>
    <row r="109" spans="1:110" ht="110.25" customHeight="1" x14ac:dyDescent="0.2">
      <c r="A109" s="327">
        <v>312</v>
      </c>
      <c r="B109" s="326" t="s">
        <v>1630</v>
      </c>
      <c r="C109" s="323">
        <v>2</v>
      </c>
      <c r="D109" s="326" t="s">
        <v>1629</v>
      </c>
      <c r="E109" s="323">
        <v>35</v>
      </c>
      <c r="F109" s="326" t="s">
        <v>401</v>
      </c>
      <c r="G109" s="323">
        <v>3502</v>
      </c>
      <c r="H109" s="326" t="s">
        <v>1591</v>
      </c>
      <c r="I109" s="323">
        <v>3502</v>
      </c>
      <c r="J109" s="326" t="s">
        <v>1590</v>
      </c>
      <c r="K109" s="326" t="s">
        <v>549</v>
      </c>
      <c r="L109" s="435">
        <v>3502017</v>
      </c>
      <c r="M109" s="326" t="s">
        <v>550</v>
      </c>
      <c r="N109" s="435">
        <v>3502017</v>
      </c>
      <c r="O109" s="326" t="s">
        <v>550</v>
      </c>
      <c r="P109" s="99" t="s">
        <v>551</v>
      </c>
      <c r="Q109" s="443" t="s">
        <v>552</v>
      </c>
      <c r="R109" s="99" t="s">
        <v>551</v>
      </c>
      <c r="S109" s="443" t="s">
        <v>552</v>
      </c>
      <c r="T109" s="349" t="s">
        <v>1689</v>
      </c>
      <c r="U109" s="103">
        <v>6</v>
      </c>
      <c r="V109" s="103">
        <v>5</v>
      </c>
      <c r="W109" s="427" t="s">
        <v>553</v>
      </c>
      <c r="X109" s="324" t="s">
        <v>554</v>
      </c>
      <c r="Y109" s="326" t="s">
        <v>555</v>
      </c>
      <c r="Z109" s="419"/>
      <c r="AA109" s="419"/>
      <c r="AB109" s="419"/>
      <c r="AC109" s="419"/>
      <c r="AD109" s="419"/>
      <c r="AE109" s="419"/>
      <c r="AF109" s="419"/>
      <c r="AG109" s="419"/>
      <c r="AH109" s="419"/>
      <c r="AI109" s="419"/>
      <c r="AJ109" s="419"/>
      <c r="AK109" s="419"/>
      <c r="AL109" s="419"/>
      <c r="AM109" s="419"/>
      <c r="AN109" s="419"/>
      <c r="AO109" s="419"/>
      <c r="AP109" s="419"/>
      <c r="AQ109" s="419"/>
      <c r="AR109" s="419"/>
      <c r="AS109" s="419"/>
      <c r="AT109" s="419"/>
      <c r="AU109" s="419"/>
      <c r="AV109" s="419"/>
      <c r="AW109" s="419"/>
      <c r="AX109" s="419"/>
      <c r="AY109" s="419"/>
      <c r="AZ109" s="419"/>
      <c r="BA109" s="419"/>
      <c r="BB109" s="419"/>
      <c r="BC109" s="419"/>
      <c r="BD109" s="420">
        <v>18000000</v>
      </c>
      <c r="BE109" s="420">
        <v>18000000</v>
      </c>
      <c r="BF109" s="420">
        <v>11540000</v>
      </c>
      <c r="BG109" s="420"/>
      <c r="BH109" s="468"/>
      <c r="BI109" s="468"/>
      <c r="BJ109" s="468"/>
      <c r="BK109" s="468"/>
      <c r="BL109" s="468"/>
      <c r="BM109" s="468"/>
      <c r="BN109" s="468"/>
      <c r="BO109" s="468"/>
      <c r="BP109" s="403">
        <f t="shared" ref="BP109:BP110" si="46">+Z109+AC109+AF109+AI109+AL109+AO109+AR109+AU109+AX109+BA109+BD109+BG109+BJ109</f>
        <v>18000000</v>
      </c>
      <c r="BQ109" s="403">
        <f t="shared" ref="BQ109:BQ110" si="47">+AA109+AD109+AG109+AJ109+AM109+AP109+AS109+AV109+AY109+BB109+BE109+BH109+BK109</f>
        <v>18000000</v>
      </c>
      <c r="BR109" s="403">
        <f t="shared" ref="BR109:BR110" si="48">+AB109+AE109+AH109+AK109+AN109+AQ109+AT109+AW109+AZ109+BC109+BF109+BI109+BL109</f>
        <v>11540000</v>
      </c>
      <c r="BS109" s="360" t="s">
        <v>1660</v>
      </c>
      <c r="BT109" s="5"/>
    </row>
    <row r="110" spans="1:110" s="6" customFormat="1" ht="130.5" customHeight="1" x14ac:dyDescent="0.25">
      <c r="A110" s="327">
        <v>312</v>
      </c>
      <c r="B110" s="326" t="s">
        <v>1630</v>
      </c>
      <c r="C110" s="323">
        <v>2</v>
      </c>
      <c r="D110" s="326" t="s">
        <v>1629</v>
      </c>
      <c r="E110" s="323">
        <v>35</v>
      </c>
      <c r="F110" s="326" t="s">
        <v>401</v>
      </c>
      <c r="G110" s="323">
        <v>3502</v>
      </c>
      <c r="H110" s="326" t="s">
        <v>1591</v>
      </c>
      <c r="I110" s="323">
        <v>3502</v>
      </c>
      <c r="J110" s="326" t="s">
        <v>1590</v>
      </c>
      <c r="K110" s="326" t="s">
        <v>549</v>
      </c>
      <c r="L110" s="435">
        <v>3502007</v>
      </c>
      <c r="M110" s="326" t="s">
        <v>556</v>
      </c>
      <c r="N110" s="435">
        <v>3502007</v>
      </c>
      <c r="O110" s="326" t="s">
        <v>556</v>
      </c>
      <c r="P110" s="323" t="s">
        <v>411</v>
      </c>
      <c r="Q110" s="326" t="s">
        <v>412</v>
      </c>
      <c r="R110" s="323" t="s">
        <v>411</v>
      </c>
      <c r="S110" s="326" t="s">
        <v>412</v>
      </c>
      <c r="T110" s="349" t="s">
        <v>1689</v>
      </c>
      <c r="U110" s="323">
        <v>5</v>
      </c>
      <c r="V110" s="323">
        <v>3</v>
      </c>
      <c r="W110" s="427" t="s">
        <v>553</v>
      </c>
      <c r="X110" s="324" t="s">
        <v>554</v>
      </c>
      <c r="Y110" s="326" t="s">
        <v>555</v>
      </c>
      <c r="Z110" s="419"/>
      <c r="AA110" s="419"/>
      <c r="AB110" s="419"/>
      <c r="AC110" s="419"/>
      <c r="AD110" s="419"/>
      <c r="AE110" s="419"/>
      <c r="AF110" s="419"/>
      <c r="AG110" s="419"/>
      <c r="AH110" s="419"/>
      <c r="AI110" s="419"/>
      <c r="AJ110" s="419"/>
      <c r="AK110" s="419"/>
      <c r="AL110" s="419"/>
      <c r="AM110" s="419"/>
      <c r="AN110" s="419"/>
      <c r="AO110" s="419"/>
      <c r="AP110" s="419"/>
      <c r="AQ110" s="419"/>
      <c r="AR110" s="419"/>
      <c r="AS110" s="419"/>
      <c r="AT110" s="419"/>
      <c r="AU110" s="419"/>
      <c r="AV110" s="419"/>
      <c r="AW110" s="419"/>
      <c r="AX110" s="419"/>
      <c r="AY110" s="419"/>
      <c r="AZ110" s="419"/>
      <c r="BA110" s="419"/>
      <c r="BB110" s="419"/>
      <c r="BC110" s="419"/>
      <c r="BD110" s="420">
        <v>18000000</v>
      </c>
      <c r="BE110" s="420">
        <v>16195000</v>
      </c>
      <c r="BF110" s="420">
        <v>14000000</v>
      </c>
      <c r="BG110" s="420"/>
      <c r="BH110" s="468"/>
      <c r="BI110" s="468"/>
      <c r="BJ110" s="468"/>
      <c r="BK110" s="468"/>
      <c r="BL110" s="468"/>
      <c r="BM110" s="468"/>
      <c r="BN110" s="468"/>
      <c r="BO110" s="468"/>
      <c r="BP110" s="403">
        <f t="shared" si="46"/>
        <v>18000000</v>
      </c>
      <c r="BQ110" s="403">
        <f t="shared" si="47"/>
        <v>16195000</v>
      </c>
      <c r="BR110" s="403">
        <f t="shared" si="48"/>
        <v>14000000</v>
      </c>
      <c r="BS110" s="360" t="s">
        <v>1660</v>
      </c>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row>
    <row r="111" spans="1:110" ht="131.25" customHeight="1" x14ac:dyDescent="0.2">
      <c r="A111" s="327">
        <v>312</v>
      </c>
      <c r="B111" s="326" t="s">
        <v>1630</v>
      </c>
      <c r="C111" s="323">
        <v>3</v>
      </c>
      <c r="D111" s="326" t="s">
        <v>1624</v>
      </c>
      <c r="E111" s="323">
        <v>32</v>
      </c>
      <c r="F111" s="326" t="s">
        <v>207</v>
      </c>
      <c r="G111" s="327">
        <v>3201</v>
      </c>
      <c r="H111" s="326" t="s">
        <v>1600</v>
      </c>
      <c r="I111" s="327">
        <v>3201</v>
      </c>
      <c r="J111" s="326" t="s">
        <v>1601</v>
      </c>
      <c r="K111" s="326" t="s">
        <v>209</v>
      </c>
      <c r="L111" s="435">
        <v>3201013</v>
      </c>
      <c r="M111" s="326" t="s">
        <v>559</v>
      </c>
      <c r="N111" s="435">
        <v>3201013</v>
      </c>
      <c r="O111" s="326" t="s">
        <v>559</v>
      </c>
      <c r="P111" s="99" t="s">
        <v>560</v>
      </c>
      <c r="Q111" s="443" t="s">
        <v>561</v>
      </c>
      <c r="R111" s="99" t="s">
        <v>560</v>
      </c>
      <c r="S111" s="443" t="s">
        <v>561</v>
      </c>
      <c r="T111" s="349" t="s">
        <v>1691</v>
      </c>
      <c r="U111" s="103">
        <v>1</v>
      </c>
      <c r="V111" s="103">
        <v>1</v>
      </c>
      <c r="W111" s="439" t="s">
        <v>562</v>
      </c>
      <c r="X111" s="324" t="s">
        <v>563</v>
      </c>
      <c r="Y111" s="326" t="s">
        <v>564</v>
      </c>
      <c r="Z111" s="440"/>
      <c r="AA111" s="440"/>
      <c r="AB111" s="440"/>
      <c r="AC111" s="440"/>
      <c r="AD111" s="440"/>
      <c r="AE111" s="440"/>
      <c r="AF111" s="440"/>
      <c r="AG111" s="440"/>
      <c r="AH111" s="440"/>
      <c r="AI111" s="440"/>
      <c r="AJ111" s="440"/>
      <c r="AK111" s="440"/>
      <c r="AL111" s="440"/>
      <c r="AM111" s="440"/>
      <c r="AN111" s="440"/>
      <c r="AO111" s="440"/>
      <c r="AP111" s="440"/>
      <c r="AQ111" s="440"/>
      <c r="AR111" s="440"/>
      <c r="AS111" s="440"/>
      <c r="AT111" s="440"/>
      <c r="AU111" s="440"/>
      <c r="AV111" s="440"/>
      <c r="AW111" s="440"/>
      <c r="AX111" s="440"/>
      <c r="AY111" s="440"/>
      <c r="AZ111" s="440"/>
      <c r="BA111" s="440"/>
      <c r="BB111" s="440"/>
      <c r="BC111" s="440"/>
      <c r="BD111" s="420">
        <v>32000000</v>
      </c>
      <c r="BE111" s="420">
        <v>24147833</v>
      </c>
      <c r="BF111" s="420">
        <v>19197833</v>
      </c>
      <c r="BG111" s="468"/>
      <c r="BH111" s="468"/>
      <c r="BI111" s="468"/>
      <c r="BJ111" s="468"/>
      <c r="BK111" s="468"/>
      <c r="BL111" s="468"/>
      <c r="BM111" s="468"/>
      <c r="BN111" s="468"/>
      <c r="BO111" s="468"/>
      <c r="BP111" s="403">
        <f t="shared" ref="BP111:BP125" si="49">+Z111+AC111+AF111+AI111+AL111+AO111+AR111+AU111+AX111+BA111+BD111+BG111+BJ111</f>
        <v>32000000</v>
      </c>
      <c r="BQ111" s="403">
        <f t="shared" ref="BQ111:BQ112" si="50">+AA111+AD111+AG111+AJ111+AM111+AP111+AS111+AV111+AY111+BB111+BE111+BH111+BK111</f>
        <v>24147833</v>
      </c>
      <c r="BR111" s="403">
        <f t="shared" ref="BR111:BR112" si="51">+AB111+AE111+AH111+AK111+AN111+AQ111+AT111+AW111+AZ111+BC111+BF111+BI111+BL111</f>
        <v>19197833</v>
      </c>
      <c r="BS111" s="360" t="s">
        <v>1660</v>
      </c>
      <c r="BT111" s="5"/>
    </row>
    <row r="112" spans="1:110" ht="130.5" customHeight="1" x14ac:dyDescent="0.2">
      <c r="A112" s="327">
        <v>312</v>
      </c>
      <c r="B112" s="326" t="s">
        <v>1630</v>
      </c>
      <c r="C112" s="323">
        <v>3</v>
      </c>
      <c r="D112" s="326" t="s">
        <v>1624</v>
      </c>
      <c r="E112" s="323">
        <v>32</v>
      </c>
      <c r="F112" s="326" t="s">
        <v>207</v>
      </c>
      <c r="G112" s="327">
        <v>3201</v>
      </c>
      <c r="H112" s="326" t="s">
        <v>1600</v>
      </c>
      <c r="I112" s="327">
        <v>3201</v>
      </c>
      <c r="J112" s="326" t="s">
        <v>1601</v>
      </c>
      <c r="K112" s="326" t="s">
        <v>209</v>
      </c>
      <c r="L112" s="435">
        <v>3201008</v>
      </c>
      <c r="M112" s="326" t="s">
        <v>565</v>
      </c>
      <c r="N112" s="435">
        <v>3201008</v>
      </c>
      <c r="O112" s="326" t="s">
        <v>565</v>
      </c>
      <c r="P112" s="99" t="s">
        <v>566</v>
      </c>
      <c r="Q112" s="326" t="s">
        <v>567</v>
      </c>
      <c r="R112" s="99" t="s">
        <v>566</v>
      </c>
      <c r="S112" s="326" t="s">
        <v>567</v>
      </c>
      <c r="T112" s="349" t="s">
        <v>1691</v>
      </c>
      <c r="U112" s="103">
        <v>2</v>
      </c>
      <c r="V112" s="103">
        <v>1</v>
      </c>
      <c r="W112" s="439" t="s">
        <v>562</v>
      </c>
      <c r="X112" s="324" t="s">
        <v>563</v>
      </c>
      <c r="Y112" s="326" t="s">
        <v>564</v>
      </c>
      <c r="Z112" s="440"/>
      <c r="AA112" s="440"/>
      <c r="AB112" s="440"/>
      <c r="AC112" s="440"/>
      <c r="AD112" s="440"/>
      <c r="AE112" s="440"/>
      <c r="AF112" s="440"/>
      <c r="AG112" s="440"/>
      <c r="AH112" s="440"/>
      <c r="AI112" s="440"/>
      <c r="AJ112" s="440"/>
      <c r="AK112" s="440"/>
      <c r="AL112" s="440"/>
      <c r="AM112" s="440"/>
      <c r="AN112" s="440"/>
      <c r="AO112" s="440"/>
      <c r="AP112" s="440"/>
      <c r="AQ112" s="440"/>
      <c r="AR112" s="440"/>
      <c r="AS112" s="440"/>
      <c r="AT112" s="440"/>
      <c r="AU112" s="440"/>
      <c r="AV112" s="440"/>
      <c r="AW112" s="440"/>
      <c r="AX112" s="440"/>
      <c r="AY112" s="440"/>
      <c r="AZ112" s="440"/>
      <c r="BA112" s="440"/>
      <c r="BB112" s="440"/>
      <c r="BC112" s="440"/>
      <c r="BD112" s="420">
        <v>50000000</v>
      </c>
      <c r="BE112" s="420"/>
      <c r="BF112" s="420"/>
      <c r="BG112" s="468"/>
      <c r="BH112" s="468"/>
      <c r="BI112" s="468"/>
      <c r="BJ112" s="468"/>
      <c r="BK112" s="468"/>
      <c r="BL112" s="468"/>
      <c r="BM112" s="468"/>
      <c r="BN112" s="468"/>
      <c r="BO112" s="468"/>
      <c r="BP112" s="403">
        <f t="shared" si="49"/>
        <v>50000000</v>
      </c>
      <c r="BQ112" s="403">
        <f t="shared" si="50"/>
        <v>0</v>
      </c>
      <c r="BR112" s="403">
        <f t="shared" si="51"/>
        <v>0</v>
      </c>
      <c r="BS112" s="360" t="s">
        <v>1660</v>
      </c>
      <c r="BT112" s="5"/>
    </row>
    <row r="113" spans="1:72" ht="175.5" customHeight="1" x14ac:dyDescent="0.2">
      <c r="A113" s="327">
        <v>312</v>
      </c>
      <c r="B113" s="326" t="s">
        <v>1630</v>
      </c>
      <c r="C113" s="323">
        <v>3</v>
      </c>
      <c r="D113" s="326" t="s">
        <v>1624</v>
      </c>
      <c r="E113" s="323">
        <v>32</v>
      </c>
      <c r="F113" s="326" t="s">
        <v>207</v>
      </c>
      <c r="G113" s="323">
        <v>3202</v>
      </c>
      <c r="H113" s="326" t="s">
        <v>568</v>
      </c>
      <c r="I113" s="323">
        <v>3202</v>
      </c>
      <c r="J113" s="326" t="s">
        <v>1602</v>
      </c>
      <c r="K113" s="326" t="s">
        <v>209</v>
      </c>
      <c r="L113" s="435" t="s">
        <v>569</v>
      </c>
      <c r="M113" s="326" t="s">
        <v>570</v>
      </c>
      <c r="N113" s="435" t="s">
        <v>569</v>
      </c>
      <c r="O113" s="326" t="s">
        <v>570</v>
      </c>
      <c r="P113" s="99" t="s">
        <v>571</v>
      </c>
      <c r="Q113" s="443" t="s">
        <v>572</v>
      </c>
      <c r="R113" s="99" t="s">
        <v>571</v>
      </c>
      <c r="S113" s="443" t="s">
        <v>572</v>
      </c>
      <c r="T113" s="349" t="s">
        <v>1691</v>
      </c>
      <c r="U113" s="103">
        <v>600</v>
      </c>
      <c r="V113" s="103">
        <v>0</v>
      </c>
      <c r="W113" s="427" t="s">
        <v>573</v>
      </c>
      <c r="X113" s="324" t="s">
        <v>574</v>
      </c>
      <c r="Y113" s="326" t="s">
        <v>575</v>
      </c>
      <c r="Z113" s="419"/>
      <c r="AA113" s="419"/>
      <c r="AB113" s="419"/>
      <c r="AC113" s="419"/>
      <c r="AD113" s="419"/>
      <c r="AE113" s="419"/>
      <c r="AF113" s="419"/>
      <c r="AG113" s="419"/>
      <c r="AH113" s="419"/>
      <c r="AI113" s="419"/>
      <c r="AJ113" s="419"/>
      <c r="AK113" s="419"/>
      <c r="AL113" s="419"/>
      <c r="AM113" s="419"/>
      <c r="AN113" s="419"/>
      <c r="AO113" s="419"/>
      <c r="AP113" s="419"/>
      <c r="AQ113" s="419"/>
      <c r="AR113" s="419"/>
      <c r="AS113" s="419"/>
      <c r="AT113" s="419"/>
      <c r="AU113" s="419"/>
      <c r="AV113" s="419"/>
      <c r="AW113" s="419"/>
      <c r="AX113" s="419"/>
      <c r="AY113" s="419"/>
      <c r="AZ113" s="419"/>
      <c r="BA113" s="419"/>
      <c r="BB113" s="419"/>
      <c r="BC113" s="419"/>
      <c r="BD113" s="420">
        <f>200000000+20000000</f>
        <v>220000000</v>
      </c>
      <c r="BE113" s="420">
        <v>20000000</v>
      </c>
      <c r="BF113" s="420">
        <v>11428600</v>
      </c>
      <c r="BG113" s="468"/>
      <c r="BH113" s="468"/>
      <c r="BI113" s="468"/>
      <c r="BJ113" s="468"/>
      <c r="BK113" s="468"/>
      <c r="BL113" s="468"/>
      <c r="BM113" s="468"/>
      <c r="BN113" s="468"/>
      <c r="BO113" s="468"/>
      <c r="BP113" s="403">
        <f t="shared" si="49"/>
        <v>220000000</v>
      </c>
      <c r="BQ113" s="403">
        <f t="shared" ref="BQ113:BQ118" si="52">+AA113+AD113+AG113+AJ113+AM113+AP113+AS113+AV113+AY113+BB113+BE113+BH113+BK113</f>
        <v>20000000</v>
      </c>
      <c r="BR113" s="403">
        <f t="shared" ref="BR113:BR118" si="53">+AB113+AE113+AH113+AK113+AN113+AQ113+AT113+AW113+AZ113+BC113+BF113+BI113+BL113</f>
        <v>11428600</v>
      </c>
      <c r="BS113" s="360" t="s">
        <v>1660</v>
      </c>
      <c r="BT113" s="5"/>
    </row>
    <row r="114" spans="1:72" ht="186" customHeight="1" x14ac:dyDescent="0.2">
      <c r="A114" s="327">
        <v>312</v>
      </c>
      <c r="B114" s="326" t="s">
        <v>1630</v>
      </c>
      <c r="C114" s="323">
        <v>3</v>
      </c>
      <c r="D114" s="326" t="s">
        <v>1624</v>
      </c>
      <c r="E114" s="323">
        <v>32</v>
      </c>
      <c r="F114" s="326" t="s">
        <v>207</v>
      </c>
      <c r="G114" s="323">
        <v>3202</v>
      </c>
      <c r="H114" s="326" t="s">
        <v>568</v>
      </c>
      <c r="I114" s="323">
        <v>3202</v>
      </c>
      <c r="J114" s="326" t="s">
        <v>1602</v>
      </c>
      <c r="K114" s="326" t="s">
        <v>209</v>
      </c>
      <c r="L114" s="435">
        <v>3202037</v>
      </c>
      <c r="M114" s="326" t="s">
        <v>576</v>
      </c>
      <c r="N114" s="435">
        <v>3202037</v>
      </c>
      <c r="O114" s="326" t="s">
        <v>576</v>
      </c>
      <c r="P114" s="99" t="s">
        <v>577</v>
      </c>
      <c r="Q114" s="443" t="s">
        <v>578</v>
      </c>
      <c r="R114" s="99" t="s">
        <v>577</v>
      </c>
      <c r="S114" s="443" t="s">
        <v>578</v>
      </c>
      <c r="T114" s="349" t="s">
        <v>1691</v>
      </c>
      <c r="U114" s="103">
        <v>40</v>
      </c>
      <c r="V114" s="103">
        <v>0</v>
      </c>
      <c r="W114" s="427" t="s">
        <v>573</v>
      </c>
      <c r="X114" s="324" t="s">
        <v>574</v>
      </c>
      <c r="Y114" s="326" t="s">
        <v>575</v>
      </c>
      <c r="Z114" s="419"/>
      <c r="AA114" s="419"/>
      <c r="AB114" s="419"/>
      <c r="AC114" s="419"/>
      <c r="AD114" s="419"/>
      <c r="AE114" s="419"/>
      <c r="AF114" s="419"/>
      <c r="AG114" s="419"/>
      <c r="AH114" s="419"/>
      <c r="AI114" s="419"/>
      <c r="AJ114" s="419"/>
      <c r="AK114" s="419"/>
      <c r="AL114" s="419"/>
      <c r="AM114" s="419"/>
      <c r="AN114" s="419"/>
      <c r="AO114" s="419"/>
      <c r="AP114" s="419"/>
      <c r="AQ114" s="419"/>
      <c r="AR114" s="419"/>
      <c r="AS114" s="419"/>
      <c r="AT114" s="419"/>
      <c r="AU114" s="419"/>
      <c r="AV114" s="419"/>
      <c r="AW114" s="419"/>
      <c r="AX114" s="419"/>
      <c r="AY114" s="419"/>
      <c r="AZ114" s="419"/>
      <c r="BA114" s="419"/>
      <c r="BB114" s="419"/>
      <c r="BC114" s="419"/>
      <c r="BD114" s="420">
        <f>82575952+12672234</f>
        <v>95248186</v>
      </c>
      <c r="BE114" s="420">
        <v>0</v>
      </c>
      <c r="BF114" s="420">
        <v>0</v>
      </c>
      <c r="BG114" s="468"/>
      <c r="BH114" s="468"/>
      <c r="BI114" s="468"/>
      <c r="BJ114" s="468"/>
      <c r="BK114" s="468"/>
      <c r="BL114" s="468"/>
      <c r="BM114" s="468"/>
      <c r="BN114" s="468"/>
      <c r="BO114" s="468"/>
      <c r="BP114" s="403">
        <f t="shared" si="49"/>
        <v>95248186</v>
      </c>
      <c r="BQ114" s="403">
        <f t="shared" si="52"/>
        <v>0</v>
      </c>
      <c r="BR114" s="403">
        <f t="shared" si="53"/>
        <v>0</v>
      </c>
      <c r="BS114" s="360" t="s">
        <v>1660</v>
      </c>
      <c r="BT114" s="5"/>
    </row>
    <row r="115" spans="1:72" s="33" customFormat="1" ht="186" customHeight="1" x14ac:dyDescent="0.2">
      <c r="A115" s="327">
        <v>312</v>
      </c>
      <c r="B115" s="326" t="s">
        <v>1630</v>
      </c>
      <c r="C115" s="323">
        <v>3</v>
      </c>
      <c r="D115" s="326" t="s">
        <v>1624</v>
      </c>
      <c r="E115" s="323">
        <v>32</v>
      </c>
      <c r="F115" s="326" t="s">
        <v>207</v>
      </c>
      <c r="G115" s="323">
        <v>3202</v>
      </c>
      <c r="H115" s="326" t="s">
        <v>568</v>
      </c>
      <c r="I115" s="323">
        <v>3202</v>
      </c>
      <c r="J115" s="326" t="s">
        <v>1602</v>
      </c>
      <c r="K115" s="326" t="s">
        <v>209</v>
      </c>
      <c r="L115" s="323" t="s">
        <v>41</v>
      </c>
      <c r="M115" s="326" t="s">
        <v>579</v>
      </c>
      <c r="N115" s="327">
        <v>3202037</v>
      </c>
      <c r="O115" s="326" t="s">
        <v>576</v>
      </c>
      <c r="P115" s="323" t="s">
        <v>41</v>
      </c>
      <c r="Q115" s="443" t="s">
        <v>580</v>
      </c>
      <c r="R115" s="327">
        <v>320203700</v>
      </c>
      <c r="S115" s="443" t="s">
        <v>581</v>
      </c>
      <c r="T115" s="349" t="s">
        <v>1691</v>
      </c>
      <c r="U115" s="103">
        <v>60</v>
      </c>
      <c r="V115" s="103">
        <v>11.05</v>
      </c>
      <c r="W115" s="427" t="s">
        <v>573</v>
      </c>
      <c r="X115" s="324" t="s">
        <v>574</v>
      </c>
      <c r="Y115" s="326" t="s">
        <v>575</v>
      </c>
      <c r="Z115" s="419"/>
      <c r="AA115" s="419"/>
      <c r="AB115" s="419"/>
      <c r="AC115" s="419"/>
      <c r="AD115" s="419"/>
      <c r="AE115" s="419"/>
      <c r="AF115" s="419"/>
      <c r="AG115" s="419"/>
      <c r="AH115" s="419"/>
      <c r="AI115" s="419"/>
      <c r="AJ115" s="419"/>
      <c r="AK115" s="419"/>
      <c r="AL115" s="419"/>
      <c r="AM115" s="419"/>
      <c r="AN115" s="419"/>
      <c r="AO115" s="419"/>
      <c r="AP115" s="419"/>
      <c r="AQ115" s="419"/>
      <c r="AR115" s="419"/>
      <c r="AS115" s="419"/>
      <c r="AT115" s="419"/>
      <c r="AU115" s="419"/>
      <c r="AV115" s="419"/>
      <c r="AW115" s="419"/>
      <c r="AX115" s="419"/>
      <c r="AY115" s="419"/>
      <c r="AZ115" s="419"/>
      <c r="BA115" s="419"/>
      <c r="BB115" s="419"/>
      <c r="BC115" s="419"/>
      <c r="BD115" s="420">
        <f>400000000+20000000+290383203</f>
        <v>710383203</v>
      </c>
      <c r="BE115" s="420">
        <v>339915832</v>
      </c>
      <c r="BF115" s="420">
        <v>183400201</v>
      </c>
      <c r="BG115" s="468"/>
      <c r="BH115" s="468"/>
      <c r="BI115" s="468"/>
      <c r="BJ115" s="468"/>
      <c r="BK115" s="468"/>
      <c r="BL115" s="468"/>
      <c r="BM115" s="468"/>
      <c r="BN115" s="468"/>
      <c r="BO115" s="468"/>
      <c r="BP115" s="403">
        <f t="shared" si="49"/>
        <v>710383203</v>
      </c>
      <c r="BQ115" s="403">
        <f t="shared" si="52"/>
        <v>339915832</v>
      </c>
      <c r="BR115" s="403">
        <f t="shared" si="53"/>
        <v>183400201</v>
      </c>
      <c r="BS115" s="360" t="s">
        <v>1660</v>
      </c>
      <c r="BT115" s="5"/>
    </row>
    <row r="116" spans="1:72" s="33" customFormat="1" ht="186" customHeight="1" x14ac:dyDescent="0.2">
      <c r="A116" s="327">
        <v>312</v>
      </c>
      <c r="B116" s="326" t="s">
        <v>1630</v>
      </c>
      <c r="C116" s="323">
        <v>3</v>
      </c>
      <c r="D116" s="326" t="s">
        <v>1624</v>
      </c>
      <c r="E116" s="323">
        <v>32</v>
      </c>
      <c r="F116" s="326" t="s">
        <v>207</v>
      </c>
      <c r="G116" s="323">
        <v>3202</v>
      </c>
      <c r="H116" s="326" t="s">
        <v>568</v>
      </c>
      <c r="I116" s="323">
        <v>3202</v>
      </c>
      <c r="J116" s="326" t="s">
        <v>1602</v>
      </c>
      <c r="K116" s="326" t="s">
        <v>209</v>
      </c>
      <c r="L116" s="323">
        <v>3202017</v>
      </c>
      <c r="M116" s="326" t="s">
        <v>582</v>
      </c>
      <c r="N116" s="435">
        <v>3202043</v>
      </c>
      <c r="O116" s="326" t="s">
        <v>583</v>
      </c>
      <c r="P116" s="323" t="s">
        <v>584</v>
      </c>
      <c r="Q116" s="443" t="s">
        <v>585</v>
      </c>
      <c r="R116" s="99">
        <v>320204300</v>
      </c>
      <c r="S116" s="443" t="s">
        <v>586</v>
      </c>
      <c r="T116" s="349" t="s">
        <v>1689</v>
      </c>
      <c r="U116" s="471">
        <v>1</v>
      </c>
      <c r="V116" s="471">
        <v>0</v>
      </c>
      <c r="W116" s="427" t="s">
        <v>573</v>
      </c>
      <c r="X116" s="324" t="s">
        <v>574</v>
      </c>
      <c r="Y116" s="326" t="s">
        <v>575</v>
      </c>
      <c r="Z116" s="419"/>
      <c r="AA116" s="419"/>
      <c r="AB116" s="419"/>
      <c r="AC116" s="419"/>
      <c r="AD116" s="419"/>
      <c r="AE116" s="419"/>
      <c r="AF116" s="419"/>
      <c r="AG116" s="419"/>
      <c r="AH116" s="419"/>
      <c r="AI116" s="419"/>
      <c r="AJ116" s="419"/>
      <c r="AK116" s="419"/>
      <c r="AL116" s="419"/>
      <c r="AM116" s="419"/>
      <c r="AN116" s="419"/>
      <c r="AO116" s="419"/>
      <c r="AP116" s="419"/>
      <c r="AQ116" s="419"/>
      <c r="AR116" s="419"/>
      <c r="AS116" s="419"/>
      <c r="AT116" s="419"/>
      <c r="AU116" s="419"/>
      <c r="AV116" s="419"/>
      <c r="AW116" s="419"/>
      <c r="AX116" s="419"/>
      <c r="AY116" s="419"/>
      <c r="AZ116" s="419"/>
      <c r="BA116" s="419"/>
      <c r="BB116" s="419"/>
      <c r="BC116" s="419"/>
      <c r="BD116" s="420">
        <f>100000000+20000000</f>
        <v>120000000</v>
      </c>
      <c r="BE116" s="420">
        <v>26870000</v>
      </c>
      <c r="BF116" s="420">
        <v>14425000</v>
      </c>
      <c r="BG116" s="468"/>
      <c r="BH116" s="468"/>
      <c r="BI116" s="468"/>
      <c r="BJ116" s="468"/>
      <c r="BK116" s="468"/>
      <c r="BL116" s="468"/>
      <c r="BM116" s="468"/>
      <c r="BN116" s="468"/>
      <c r="BO116" s="468"/>
      <c r="BP116" s="403">
        <f t="shared" si="49"/>
        <v>120000000</v>
      </c>
      <c r="BQ116" s="403">
        <f t="shared" si="52"/>
        <v>26870000</v>
      </c>
      <c r="BR116" s="403">
        <f t="shared" si="53"/>
        <v>14425000</v>
      </c>
      <c r="BS116" s="360" t="s">
        <v>1660</v>
      </c>
      <c r="BT116" s="5"/>
    </row>
    <row r="117" spans="1:72" s="33" customFormat="1" ht="216.75" customHeight="1" x14ac:dyDescent="0.2">
      <c r="A117" s="327">
        <v>312</v>
      </c>
      <c r="B117" s="326" t="s">
        <v>1630</v>
      </c>
      <c r="C117" s="323">
        <v>3</v>
      </c>
      <c r="D117" s="326" t="s">
        <v>1624</v>
      </c>
      <c r="E117" s="323">
        <v>32</v>
      </c>
      <c r="F117" s="326" t="s">
        <v>207</v>
      </c>
      <c r="G117" s="323">
        <v>3202</v>
      </c>
      <c r="H117" s="326" t="s">
        <v>568</v>
      </c>
      <c r="I117" s="323">
        <v>3202</v>
      </c>
      <c r="J117" s="326" t="s">
        <v>1602</v>
      </c>
      <c r="K117" s="326" t="s">
        <v>209</v>
      </c>
      <c r="L117" s="323" t="s">
        <v>41</v>
      </c>
      <c r="M117" s="326" t="s">
        <v>587</v>
      </c>
      <c r="N117" s="435">
        <v>3202014</v>
      </c>
      <c r="O117" s="326" t="s">
        <v>1486</v>
      </c>
      <c r="P117" s="323" t="s">
        <v>41</v>
      </c>
      <c r="Q117" s="443" t="s">
        <v>588</v>
      </c>
      <c r="R117" s="99">
        <v>320201402</v>
      </c>
      <c r="S117" s="443" t="s">
        <v>589</v>
      </c>
      <c r="T117" s="349" t="s">
        <v>1689</v>
      </c>
      <c r="U117" s="471">
        <v>1</v>
      </c>
      <c r="V117" s="471">
        <v>1</v>
      </c>
      <c r="W117" s="349" t="s">
        <v>590</v>
      </c>
      <c r="X117" s="324" t="s">
        <v>591</v>
      </c>
      <c r="Y117" s="326" t="s">
        <v>592</v>
      </c>
      <c r="Z117" s="419"/>
      <c r="AA117" s="419"/>
      <c r="AB117" s="419"/>
      <c r="AC117" s="419"/>
      <c r="AD117" s="419"/>
      <c r="AE117" s="419"/>
      <c r="AF117" s="419"/>
      <c r="AG117" s="419"/>
      <c r="AH117" s="419"/>
      <c r="AI117" s="419"/>
      <c r="AJ117" s="419"/>
      <c r="AK117" s="419"/>
      <c r="AL117" s="419"/>
      <c r="AM117" s="419"/>
      <c r="AN117" s="419"/>
      <c r="AO117" s="419"/>
      <c r="AP117" s="419"/>
      <c r="AQ117" s="419"/>
      <c r="AR117" s="419"/>
      <c r="AS117" s="419"/>
      <c r="AT117" s="419"/>
      <c r="AU117" s="419"/>
      <c r="AV117" s="419"/>
      <c r="AW117" s="419"/>
      <c r="AX117" s="419"/>
      <c r="AY117" s="419"/>
      <c r="AZ117" s="419"/>
      <c r="BA117" s="419"/>
      <c r="BB117" s="419"/>
      <c r="BC117" s="419"/>
      <c r="BD117" s="420">
        <v>36000000</v>
      </c>
      <c r="BE117" s="420">
        <v>33175000</v>
      </c>
      <c r="BF117" s="420">
        <v>24900000</v>
      </c>
      <c r="BG117" s="468"/>
      <c r="BH117" s="468"/>
      <c r="BI117" s="468"/>
      <c r="BJ117" s="468"/>
      <c r="BK117" s="468"/>
      <c r="BL117" s="468"/>
      <c r="BM117" s="468"/>
      <c r="BN117" s="468"/>
      <c r="BO117" s="468"/>
      <c r="BP117" s="403">
        <f t="shared" si="49"/>
        <v>36000000</v>
      </c>
      <c r="BQ117" s="403">
        <f t="shared" si="52"/>
        <v>33175000</v>
      </c>
      <c r="BR117" s="403">
        <f t="shared" si="53"/>
        <v>24900000</v>
      </c>
      <c r="BS117" s="360" t="s">
        <v>1660</v>
      </c>
      <c r="BT117" s="5"/>
    </row>
    <row r="118" spans="1:72" s="33" customFormat="1" ht="204" customHeight="1" x14ac:dyDescent="0.2">
      <c r="A118" s="327">
        <v>312</v>
      </c>
      <c r="B118" s="326" t="s">
        <v>1630</v>
      </c>
      <c r="C118" s="323">
        <v>3</v>
      </c>
      <c r="D118" s="326" t="s">
        <v>1624</v>
      </c>
      <c r="E118" s="323">
        <v>32</v>
      </c>
      <c r="F118" s="326" t="s">
        <v>207</v>
      </c>
      <c r="G118" s="323">
        <v>3202</v>
      </c>
      <c r="H118" s="326" t="s">
        <v>568</v>
      </c>
      <c r="I118" s="323">
        <v>3202</v>
      </c>
      <c r="J118" s="326" t="s">
        <v>1602</v>
      </c>
      <c r="K118" s="326" t="s">
        <v>209</v>
      </c>
      <c r="L118" s="323" t="s">
        <v>41</v>
      </c>
      <c r="M118" s="326" t="s">
        <v>593</v>
      </c>
      <c r="N118" s="323">
        <v>3202014</v>
      </c>
      <c r="O118" s="326" t="s">
        <v>1486</v>
      </c>
      <c r="P118" s="323" t="s">
        <v>41</v>
      </c>
      <c r="Q118" s="443" t="s">
        <v>594</v>
      </c>
      <c r="R118" s="323">
        <v>320201402</v>
      </c>
      <c r="S118" s="443" t="s">
        <v>589</v>
      </c>
      <c r="T118" s="349" t="s">
        <v>1691</v>
      </c>
      <c r="U118" s="471">
        <v>1</v>
      </c>
      <c r="V118" s="471">
        <v>1</v>
      </c>
      <c r="W118" s="349" t="s">
        <v>595</v>
      </c>
      <c r="X118" s="324" t="s">
        <v>596</v>
      </c>
      <c r="Y118" s="326" t="s">
        <v>597</v>
      </c>
      <c r="Z118" s="419"/>
      <c r="AA118" s="419"/>
      <c r="AB118" s="419"/>
      <c r="AC118" s="419"/>
      <c r="AD118" s="419"/>
      <c r="AE118" s="419"/>
      <c r="AF118" s="419"/>
      <c r="AG118" s="419"/>
      <c r="AH118" s="419"/>
      <c r="AI118" s="419"/>
      <c r="AJ118" s="419"/>
      <c r="AK118" s="419"/>
      <c r="AL118" s="419"/>
      <c r="AM118" s="419"/>
      <c r="AN118" s="419"/>
      <c r="AO118" s="419"/>
      <c r="AP118" s="419"/>
      <c r="AQ118" s="419"/>
      <c r="AR118" s="419"/>
      <c r="AS118" s="419"/>
      <c r="AT118" s="419"/>
      <c r="AU118" s="419"/>
      <c r="AV118" s="419"/>
      <c r="AW118" s="419"/>
      <c r="AX118" s="419"/>
      <c r="AY118" s="419"/>
      <c r="AZ118" s="419"/>
      <c r="BA118" s="419"/>
      <c r="BB118" s="419"/>
      <c r="BC118" s="419"/>
      <c r="BD118" s="420">
        <v>54000000</v>
      </c>
      <c r="BE118" s="420">
        <v>32745000</v>
      </c>
      <c r="BF118" s="420">
        <v>21325000</v>
      </c>
      <c r="BG118" s="468"/>
      <c r="BH118" s="468"/>
      <c r="BI118" s="468"/>
      <c r="BJ118" s="468"/>
      <c r="BK118" s="468"/>
      <c r="BL118" s="468"/>
      <c r="BM118" s="468"/>
      <c r="BN118" s="468"/>
      <c r="BO118" s="468"/>
      <c r="BP118" s="403">
        <f t="shared" si="49"/>
        <v>54000000</v>
      </c>
      <c r="BQ118" s="403">
        <f t="shared" si="52"/>
        <v>32745000</v>
      </c>
      <c r="BR118" s="403">
        <f t="shared" si="53"/>
        <v>21325000</v>
      </c>
      <c r="BS118" s="360" t="s">
        <v>1660</v>
      </c>
      <c r="BT118" s="5"/>
    </row>
    <row r="119" spans="1:72" ht="206.25" customHeight="1" x14ac:dyDescent="0.2">
      <c r="A119" s="327">
        <v>312</v>
      </c>
      <c r="B119" s="326" t="s">
        <v>1630</v>
      </c>
      <c r="C119" s="323">
        <v>3</v>
      </c>
      <c r="D119" s="326" t="s">
        <v>1624</v>
      </c>
      <c r="E119" s="323">
        <v>32</v>
      </c>
      <c r="F119" s="326" t="s">
        <v>207</v>
      </c>
      <c r="G119" s="323">
        <v>3204</v>
      </c>
      <c r="H119" s="326" t="s">
        <v>1603</v>
      </c>
      <c r="I119" s="323">
        <v>3204</v>
      </c>
      <c r="J119" s="326" t="s">
        <v>1603</v>
      </c>
      <c r="K119" s="326" t="s">
        <v>209</v>
      </c>
      <c r="L119" s="435">
        <v>3204012</v>
      </c>
      <c r="M119" s="326" t="s">
        <v>600</v>
      </c>
      <c r="N119" s="435">
        <v>3204012</v>
      </c>
      <c r="O119" s="326" t="s">
        <v>600</v>
      </c>
      <c r="P119" s="99" t="s">
        <v>601</v>
      </c>
      <c r="Q119" s="443" t="s">
        <v>602</v>
      </c>
      <c r="R119" s="99" t="s">
        <v>601</v>
      </c>
      <c r="S119" s="443" t="s">
        <v>602</v>
      </c>
      <c r="T119" s="349" t="s">
        <v>1691</v>
      </c>
      <c r="U119" s="103">
        <v>2</v>
      </c>
      <c r="V119" s="103">
        <v>1</v>
      </c>
      <c r="W119" s="349" t="s">
        <v>603</v>
      </c>
      <c r="X119" s="324" t="s">
        <v>604</v>
      </c>
      <c r="Y119" s="326" t="s">
        <v>605</v>
      </c>
      <c r="Z119" s="419"/>
      <c r="AA119" s="419"/>
      <c r="AB119" s="419"/>
      <c r="AC119" s="419"/>
      <c r="AD119" s="419"/>
      <c r="AE119" s="419"/>
      <c r="AF119" s="419"/>
      <c r="AG119" s="419"/>
      <c r="AH119" s="419"/>
      <c r="AI119" s="419"/>
      <c r="AJ119" s="419"/>
      <c r="AK119" s="419"/>
      <c r="AL119" s="419"/>
      <c r="AM119" s="419"/>
      <c r="AN119" s="419"/>
      <c r="AO119" s="419"/>
      <c r="AP119" s="419"/>
      <c r="AQ119" s="419"/>
      <c r="AR119" s="419"/>
      <c r="AS119" s="419"/>
      <c r="AT119" s="419"/>
      <c r="AU119" s="419"/>
      <c r="AV119" s="419"/>
      <c r="AW119" s="419"/>
      <c r="AX119" s="419"/>
      <c r="AY119" s="419"/>
      <c r="AZ119" s="419"/>
      <c r="BA119" s="419"/>
      <c r="BB119" s="419"/>
      <c r="BC119" s="419"/>
      <c r="BD119" s="420">
        <v>120000000</v>
      </c>
      <c r="BE119" s="420">
        <v>43295000</v>
      </c>
      <c r="BF119" s="420">
        <v>31340000</v>
      </c>
      <c r="BG119" s="468"/>
      <c r="BH119" s="468"/>
      <c r="BI119" s="468"/>
      <c r="BJ119" s="468"/>
      <c r="BK119" s="468"/>
      <c r="BL119" s="468"/>
      <c r="BM119" s="468"/>
      <c r="BN119" s="468"/>
      <c r="BO119" s="468"/>
      <c r="BP119" s="403">
        <f t="shared" si="49"/>
        <v>120000000</v>
      </c>
      <c r="BQ119" s="403">
        <f t="shared" ref="BQ119" si="54">+AA119+AD119+AG119+AJ119+AM119+AP119+AS119+AV119+AY119+BB119+BE119+BH119+BK119</f>
        <v>43295000</v>
      </c>
      <c r="BR119" s="403">
        <f t="shared" ref="BR119" si="55">+AB119+AE119+AH119+AK119+AN119+AQ119+AT119+AW119+AZ119+BC119+BF119+BI119+BL119</f>
        <v>31340000</v>
      </c>
      <c r="BS119" s="360" t="s">
        <v>1660</v>
      </c>
      <c r="BT119" s="5"/>
    </row>
    <row r="120" spans="1:72" ht="98.25" customHeight="1" x14ac:dyDescent="0.2">
      <c r="A120" s="327">
        <v>312</v>
      </c>
      <c r="B120" s="326" t="s">
        <v>1630</v>
      </c>
      <c r="C120" s="323">
        <v>3</v>
      </c>
      <c r="D120" s="326" t="s">
        <v>1624</v>
      </c>
      <c r="E120" s="323">
        <v>32</v>
      </c>
      <c r="F120" s="326" t="s">
        <v>207</v>
      </c>
      <c r="G120" s="323">
        <v>3205</v>
      </c>
      <c r="H120" s="326" t="s">
        <v>208</v>
      </c>
      <c r="I120" s="323">
        <v>3205</v>
      </c>
      <c r="J120" s="326" t="s">
        <v>1604</v>
      </c>
      <c r="K120" s="326" t="s">
        <v>209</v>
      </c>
      <c r="L120" s="435" t="s">
        <v>606</v>
      </c>
      <c r="M120" s="326" t="s">
        <v>607</v>
      </c>
      <c r="N120" s="435" t="s">
        <v>606</v>
      </c>
      <c r="O120" s="326" t="s">
        <v>607</v>
      </c>
      <c r="P120" s="323" t="s">
        <v>608</v>
      </c>
      <c r="Q120" s="326" t="s">
        <v>609</v>
      </c>
      <c r="R120" s="323" t="s">
        <v>608</v>
      </c>
      <c r="S120" s="326" t="s">
        <v>609</v>
      </c>
      <c r="T120" s="349" t="s">
        <v>1691</v>
      </c>
      <c r="U120" s="103">
        <v>200</v>
      </c>
      <c r="V120" s="103">
        <v>0</v>
      </c>
      <c r="W120" s="427" t="s">
        <v>610</v>
      </c>
      <c r="X120" s="324" t="s">
        <v>611</v>
      </c>
      <c r="Y120" s="326" t="s">
        <v>612</v>
      </c>
      <c r="Z120" s="427"/>
      <c r="AA120" s="427"/>
      <c r="AB120" s="427"/>
      <c r="AC120" s="419"/>
      <c r="AD120" s="419"/>
      <c r="AE120" s="419"/>
      <c r="AF120" s="419"/>
      <c r="AG120" s="419"/>
      <c r="AH120" s="419"/>
      <c r="AI120" s="419"/>
      <c r="AJ120" s="419"/>
      <c r="AK120" s="419"/>
      <c r="AL120" s="419"/>
      <c r="AM120" s="419"/>
      <c r="AN120" s="419"/>
      <c r="AO120" s="419"/>
      <c r="AP120" s="419"/>
      <c r="AQ120" s="419"/>
      <c r="AR120" s="419"/>
      <c r="AS120" s="419"/>
      <c r="AT120" s="419"/>
      <c r="AU120" s="419"/>
      <c r="AV120" s="419"/>
      <c r="AW120" s="419"/>
      <c r="AX120" s="419"/>
      <c r="AY120" s="419"/>
      <c r="AZ120" s="419"/>
      <c r="BA120" s="419"/>
      <c r="BB120" s="419"/>
      <c r="BC120" s="419"/>
      <c r="BD120" s="420">
        <v>20000000</v>
      </c>
      <c r="BE120" s="468"/>
      <c r="BF120" s="468"/>
      <c r="BG120" s="468"/>
      <c r="BH120" s="468"/>
      <c r="BI120" s="468"/>
      <c r="BJ120" s="468"/>
      <c r="BK120" s="468"/>
      <c r="BL120" s="468"/>
      <c r="BM120" s="468"/>
      <c r="BN120" s="468"/>
      <c r="BO120" s="468"/>
      <c r="BP120" s="403">
        <f t="shared" si="49"/>
        <v>20000000</v>
      </c>
      <c r="BQ120" s="403">
        <f t="shared" ref="BQ120:BQ122" si="56">+AA120+AD120+AG120+AJ120+AM120+AP120+AS120+AV120+AY120+BB120+BE120+BH120+BK120</f>
        <v>0</v>
      </c>
      <c r="BR120" s="403">
        <f t="shared" ref="BR120:BR122" si="57">+AB120+AE120+AH120+AK120+AN120+AQ120+AT120+AW120+AZ120+BC120+BF120+BI120+BL120</f>
        <v>0</v>
      </c>
      <c r="BS120" s="360" t="s">
        <v>1660</v>
      </c>
      <c r="BT120" s="5"/>
    </row>
    <row r="121" spans="1:72" ht="105.75" customHeight="1" x14ac:dyDescent="0.2">
      <c r="A121" s="327">
        <v>312</v>
      </c>
      <c r="B121" s="326" t="s">
        <v>1630</v>
      </c>
      <c r="C121" s="323">
        <v>3</v>
      </c>
      <c r="D121" s="326" t="s">
        <v>1624</v>
      </c>
      <c r="E121" s="323">
        <v>32</v>
      </c>
      <c r="F121" s="326" t="s">
        <v>207</v>
      </c>
      <c r="G121" s="323">
        <v>3205</v>
      </c>
      <c r="H121" s="326" t="s">
        <v>208</v>
      </c>
      <c r="I121" s="323">
        <v>3205</v>
      </c>
      <c r="J121" s="326" t="s">
        <v>1604</v>
      </c>
      <c r="K121" s="326" t="s">
        <v>209</v>
      </c>
      <c r="L121" s="435" t="s">
        <v>613</v>
      </c>
      <c r="M121" s="326" t="s">
        <v>614</v>
      </c>
      <c r="N121" s="435" t="s">
        <v>613</v>
      </c>
      <c r="O121" s="326" t="s">
        <v>614</v>
      </c>
      <c r="P121" s="323" t="s">
        <v>615</v>
      </c>
      <c r="Q121" s="326" t="s">
        <v>616</v>
      </c>
      <c r="R121" s="323" t="s">
        <v>615</v>
      </c>
      <c r="S121" s="326" t="s">
        <v>616</v>
      </c>
      <c r="T121" s="349" t="s">
        <v>1691</v>
      </c>
      <c r="U121" s="103">
        <v>10</v>
      </c>
      <c r="V121" s="103">
        <v>0</v>
      </c>
      <c r="W121" s="427" t="s">
        <v>610</v>
      </c>
      <c r="X121" s="324" t="s">
        <v>611</v>
      </c>
      <c r="Y121" s="326" t="s">
        <v>612</v>
      </c>
      <c r="Z121" s="427"/>
      <c r="AA121" s="427"/>
      <c r="AB121" s="427"/>
      <c r="AC121" s="419"/>
      <c r="AD121" s="419"/>
      <c r="AE121" s="419"/>
      <c r="AF121" s="419"/>
      <c r="AG121" s="419"/>
      <c r="AH121" s="419"/>
      <c r="AI121" s="419"/>
      <c r="AJ121" s="419"/>
      <c r="AK121" s="419"/>
      <c r="AL121" s="419"/>
      <c r="AM121" s="419"/>
      <c r="AN121" s="419"/>
      <c r="AO121" s="419"/>
      <c r="AP121" s="419"/>
      <c r="AQ121" s="419"/>
      <c r="AR121" s="419"/>
      <c r="AS121" s="419"/>
      <c r="AT121" s="419"/>
      <c r="AU121" s="419"/>
      <c r="AV121" s="419"/>
      <c r="AW121" s="419"/>
      <c r="AX121" s="419"/>
      <c r="AY121" s="419"/>
      <c r="AZ121" s="419"/>
      <c r="BA121" s="419"/>
      <c r="BB121" s="419"/>
      <c r="BC121" s="419"/>
      <c r="BD121" s="420">
        <v>20000000</v>
      </c>
      <c r="BE121" s="468"/>
      <c r="BF121" s="468"/>
      <c r="BG121" s="468"/>
      <c r="BH121" s="468"/>
      <c r="BI121" s="468"/>
      <c r="BJ121" s="468"/>
      <c r="BK121" s="468"/>
      <c r="BL121" s="468"/>
      <c r="BM121" s="468"/>
      <c r="BN121" s="468"/>
      <c r="BO121" s="468"/>
      <c r="BP121" s="403">
        <f t="shared" si="49"/>
        <v>20000000</v>
      </c>
      <c r="BQ121" s="403">
        <f t="shared" si="56"/>
        <v>0</v>
      </c>
      <c r="BR121" s="403">
        <f t="shared" si="57"/>
        <v>0</v>
      </c>
      <c r="BS121" s="360" t="s">
        <v>1660</v>
      </c>
      <c r="BT121" s="5"/>
    </row>
    <row r="122" spans="1:72" ht="105" customHeight="1" x14ac:dyDescent="0.2">
      <c r="A122" s="327">
        <v>312</v>
      </c>
      <c r="B122" s="326" t="s">
        <v>1630</v>
      </c>
      <c r="C122" s="323">
        <v>3</v>
      </c>
      <c r="D122" s="326" t="s">
        <v>1624</v>
      </c>
      <c r="E122" s="323">
        <v>32</v>
      </c>
      <c r="F122" s="326" t="s">
        <v>207</v>
      </c>
      <c r="G122" s="323">
        <v>3205</v>
      </c>
      <c r="H122" s="326" t="s">
        <v>208</v>
      </c>
      <c r="I122" s="323">
        <v>3205</v>
      </c>
      <c r="J122" s="326" t="s">
        <v>1604</v>
      </c>
      <c r="K122" s="326" t="s">
        <v>209</v>
      </c>
      <c r="L122" s="435">
        <v>3205010</v>
      </c>
      <c r="M122" s="326" t="s">
        <v>210</v>
      </c>
      <c r="N122" s="435">
        <v>3205010</v>
      </c>
      <c r="O122" s="326" t="s">
        <v>210</v>
      </c>
      <c r="P122" s="323" t="s">
        <v>211</v>
      </c>
      <c r="Q122" s="326" t="s">
        <v>212</v>
      </c>
      <c r="R122" s="323" t="s">
        <v>211</v>
      </c>
      <c r="S122" s="326" t="s">
        <v>212</v>
      </c>
      <c r="T122" s="349" t="s">
        <v>1691</v>
      </c>
      <c r="U122" s="103">
        <v>1</v>
      </c>
      <c r="V122" s="103">
        <v>0</v>
      </c>
      <c r="W122" s="427" t="s">
        <v>610</v>
      </c>
      <c r="X122" s="324" t="s">
        <v>611</v>
      </c>
      <c r="Y122" s="326" t="s">
        <v>612</v>
      </c>
      <c r="Z122" s="427"/>
      <c r="AA122" s="427"/>
      <c r="AB122" s="427"/>
      <c r="AC122" s="419"/>
      <c r="AD122" s="419"/>
      <c r="AE122" s="419"/>
      <c r="AF122" s="419"/>
      <c r="AG122" s="419"/>
      <c r="AH122" s="419"/>
      <c r="AI122" s="419"/>
      <c r="AJ122" s="419"/>
      <c r="AK122" s="419"/>
      <c r="AL122" s="419"/>
      <c r="AM122" s="419"/>
      <c r="AN122" s="419"/>
      <c r="AO122" s="419"/>
      <c r="AP122" s="419"/>
      <c r="AQ122" s="419"/>
      <c r="AR122" s="419"/>
      <c r="AS122" s="419"/>
      <c r="AT122" s="419"/>
      <c r="AU122" s="419"/>
      <c r="AV122" s="419"/>
      <c r="AW122" s="419"/>
      <c r="AX122" s="419"/>
      <c r="AY122" s="419"/>
      <c r="AZ122" s="419"/>
      <c r="BA122" s="419"/>
      <c r="BB122" s="419"/>
      <c r="BC122" s="419"/>
      <c r="BD122" s="420">
        <v>42000000</v>
      </c>
      <c r="BE122" s="468"/>
      <c r="BF122" s="468"/>
      <c r="BG122" s="468"/>
      <c r="BH122" s="468"/>
      <c r="BI122" s="468"/>
      <c r="BJ122" s="468"/>
      <c r="BK122" s="468"/>
      <c r="BL122" s="468"/>
      <c r="BM122" s="468"/>
      <c r="BN122" s="468"/>
      <c r="BO122" s="468"/>
      <c r="BP122" s="403">
        <f t="shared" si="49"/>
        <v>42000000</v>
      </c>
      <c r="BQ122" s="403">
        <f t="shared" si="56"/>
        <v>0</v>
      </c>
      <c r="BR122" s="403">
        <f t="shared" si="57"/>
        <v>0</v>
      </c>
      <c r="BS122" s="360" t="s">
        <v>1660</v>
      </c>
      <c r="BT122" s="5"/>
    </row>
    <row r="123" spans="1:72" ht="119.25" customHeight="1" x14ac:dyDescent="0.2">
      <c r="A123" s="327">
        <v>312</v>
      </c>
      <c r="B123" s="326" t="s">
        <v>1630</v>
      </c>
      <c r="C123" s="323">
        <v>3</v>
      </c>
      <c r="D123" s="326" t="s">
        <v>1624</v>
      </c>
      <c r="E123" s="323">
        <v>32</v>
      </c>
      <c r="F123" s="326" t="s">
        <v>207</v>
      </c>
      <c r="G123" s="323">
        <v>3206</v>
      </c>
      <c r="H123" s="326" t="s">
        <v>618</v>
      </c>
      <c r="I123" s="323">
        <v>3206</v>
      </c>
      <c r="J123" s="326" t="s">
        <v>1605</v>
      </c>
      <c r="K123" s="326" t="s">
        <v>209</v>
      </c>
      <c r="L123" s="435" t="s">
        <v>619</v>
      </c>
      <c r="M123" s="326" t="s">
        <v>620</v>
      </c>
      <c r="N123" s="435" t="s">
        <v>619</v>
      </c>
      <c r="O123" s="326" t="s">
        <v>620</v>
      </c>
      <c r="P123" s="99" t="s">
        <v>621</v>
      </c>
      <c r="Q123" s="443" t="s">
        <v>622</v>
      </c>
      <c r="R123" s="99" t="s">
        <v>621</v>
      </c>
      <c r="S123" s="443" t="s">
        <v>622</v>
      </c>
      <c r="T123" s="349" t="s">
        <v>1691</v>
      </c>
      <c r="U123" s="103">
        <v>6</v>
      </c>
      <c r="V123" s="103">
        <v>0</v>
      </c>
      <c r="W123" s="427" t="s">
        <v>623</v>
      </c>
      <c r="X123" s="324" t="s">
        <v>624</v>
      </c>
      <c r="Y123" s="326" t="s">
        <v>625</v>
      </c>
      <c r="Z123" s="419"/>
      <c r="AA123" s="419"/>
      <c r="AB123" s="419"/>
      <c r="AC123" s="419"/>
      <c r="AD123" s="419"/>
      <c r="AE123" s="419"/>
      <c r="AF123" s="419"/>
      <c r="AG123" s="419"/>
      <c r="AH123" s="419"/>
      <c r="AI123" s="419"/>
      <c r="AJ123" s="419"/>
      <c r="AK123" s="419"/>
      <c r="AL123" s="419"/>
      <c r="AM123" s="419"/>
      <c r="AN123" s="419"/>
      <c r="AO123" s="419"/>
      <c r="AP123" s="419"/>
      <c r="AQ123" s="419"/>
      <c r="AR123" s="419"/>
      <c r="AS123" s="419"/>
      <c r="AT123" s="419"/>
      <c r="AU123" s="419"/>
      <c r="AV123" s="419"/>
      <c r="AW123" s="419"/>
      <c r="AX123" s="419"/>
      <c r="AY123" s="419"/>
      <c r="AZ123" s="419"/>
      <c r="BA123" s="419"/>
      <c r="BB123" s="419"/>
      <c r="BC123" s="419"/>
      <c r="BD123" s="420">
        <v>25000000</v>
      </c>
      <c r="BE123" s="420">
        <v>5000000</v>
      </c>
      <c r="BF123" s="420">
        <v>0</v>
      </c>
      <c r="BG123" s="468"/>
      <c r="BH123" s="468"/>
      <c r="BI123" s="468"/>
      <c r="BJ123" s="468"/>
      <c r="BK123" s="468"/>
      <c r="BL123" s="468"/>
      <c r="BM123" s="468"/>
      <c r="BN123" s="468"/>
      <c r="BO123" s="468"/>
      <c r="BP123" s="403">
        <f t="shared" si="49"/>
        <v>25000000</v>
      </c>
      <c r="BQ123" s="403">
        <f t="shared" ref="BQ123:BQ125" si="58">+AA123+AD123+AG123+AJ123+AM123+AP123+AS123+AV123+AY123+BB123+BE123+BH123+BK123</f>
        <v>5000000</v>
      </c>
      <c r="BR123" s="403">
        <f t="shared" ref="BR123:BR125" si="59">+AB123+AE123+AH123+AK123+AN123+AQ123+AT123+AW123+AZ123+BC123+BF123+BI123+BL123</f>
        <v>0</v>
      </c>
      <c r="BS123" s="360" t="s">
        <v>1660</v>
      </c>
      <c r="BT123" s="5"/>
    </row>
    <row r="124" spans="1:72" ht="117.75" customHeight="1" x14ac:dyDescent="0.2">
      <c r="A124" s="327">
        <v>312</v>
      </c>
      <c r="B124" s="326" t="s">
        <v>1630</v>
      </c>
      <c r="C124" s="323">
        <v>3</v>
      </c>
      <c r="D124" s="326" t="s">
        <v>1624</v>
      </c>
      <c r="E124" s="323">
        <v>32</v>
      </c>
      <c r="F124" s="326" t="s">
        <v>207</v>
      </c>
      <c r="G124" s="323">
        <v>3206</v>
      </c>
      <c r="H124" s="326" t="s">
        <v>618</v>
      </c>
      <c r="I124" s="323">
        <v>3206</v>
      </c>
      <c r="J124" s="326" t="s">
        <v>1605</v>
      </c>
      <c r="K124" s="326" t="s">
        <v>209</v>
      </c>
      <c r="L124" s="435">
        <v>3206014</v>
      </c>
      <c r="M124" s="326" t="s">
        <v>626</v>
      </c>
      <c r="N124" s="435">
        <v>3206014</v>
      </c>
      <c r="O124" s="326" t="s">
        <v>626</v>
      </c>
      <c r="P124" s="99" t="s">
        <v>627</v>
      </c>
      <c r="Q124" s="443" t="s">
        <v>628</v>
      </c>
      <c r="R124" s="99" t="s">
        <v>627</v>
      </c>
      <c r="S124" s="443" t="s">
        <v>628</v>
      </c>
      <c r="T124" s="349" t="s">
        <v>1691</v>
      </c>
      <c r="U124" s="103">
        <v>1950</v>
      </c>
      <c r="V124" s="103">
        <v>0</v>
      </c>
      <c r="W124" s="427" t="s">
        <v>623</v>
      </c>
      <c r="X124" s="324" t="s">
        <v>624</v>
      </c>
      <c r="Y124" s="326" t="s">
        <v>625</v>
      </c>
      <c r="Z124" s="419"/>
      <c r="AA124" s="419"/>
      <c r="AB124" s="419"/>
      <c r="AC124" s="419"/>
      <c r="AD124" s="419"/>
      <c r="AE124" s="419"/>
      <c r="AF124" s="419"/>
      <c r="AG124" s="419"/>
      <c r="AH124" s="419"/>
      <c r="AI124" s="419"/>
      <c r="AJ124" s="419"/>
      <c r="AK124" s="419"/>
      <c r="AL124" s="419"/>
      <c r="AM124" s="419"/>
      <c r="AN124" s="419"/>
      <c r="AO124" s="419"/>
      <c r="AP124" s="419"/>
      <c r="AQ124" s="419"/>
      <c r="AR124" s="419"/>
      <c r="AS124" s="419"/>
      <c r="AT124" s="419"/>
      <c r="AU124" s="419"/>
      <c r="AV124" s="419"/>
      <c r="AW124" s="419"/>
      <c r="AX124" s="419"/>
      <c r="AY124" s="419"/>
      <c r="AZ124" s="419"/>
      <c r="BA124" s="419"/>
      <c r="BB124" s="419"/>
      <c r="BC124" s="419"/>
      <c r="BD124" s="420">
        <v>18000000</v>
      </c>
      <c r="BE124" s="468"/>
      <c r="BF124" s="468"/>
      <c r="BG124" s="468"/>
      <c r="BH124" s="468"/>
      <c r="BI124" s="468"/>
      <c r="BJ124" s="468"/>
      <c r="BK124" s="468"/>
      <c r="BL124" s="468"/>
      <c r="BM124" s="468"/>
      <c r="BN124" s="468"/>
      <c r="BO124" s="468"/>
      <c r="BP124" s="403">
        <f t="shared" si="49"/>
        <v>18000000</v>
      </c>
      <c r="BQ124" s="403">
        <f t="shared" si="58"/>
        <v>0</v>
      </c>
      <c r="BR124" s="403">
        <f t="shared" si="59"/>
        <v>0</v>
      </c>
      <c r="BS124" s="360" t="s">
        <v>1660</v>
      </c>
      <c r="BT124" s="5"/>
    </row>
    <row r="125" spans="1:72" ht="113.25" customHeight="1" x14ac:dyDescent="0.2">
      <c r="A125" s="327">
        <v>312</v>
      </c>
      <c r="B125" s="326" t="s">
        <v>1630</v>
      </c>
      <c r="C125" s="323">
        <v>3</v>
      </c>
      <c r="D125" s="326" t="s">
        <v>1624</v>
      </c>
      <c r="E125" s="323">
        <v>32</v>
      </c>
      <c r="F125" s="326" t="s">
        <v>207</v>
      </c>
      <c r="G125" s="323">
        <v>3206</v>
      </c>
      <c r="H125" s="326" t="s">
        <v>618</v>
      </c>
      <c r="I125" s="323">
        <v>3206</v>
      </c>
      <c r="J125" s="326" t="s">
        <v>1605</v>
      </c>
      <c r="K125" s="326" t="s">
        <v>209</v>
      </c>
      <c r="L125" s="435" t="s">
        <v>629</v>
      </c>
      <c r="M125" s="326" t="s">
        <v>630</v>
      </c>
      <c r="N125" s="435" t="s">
        <v>629</v>
      </c>
      <c r="O125" s="326" t="s">
        <v>630</v>
      </c>
      <c r="P125" s="99" t="s">
        <v>631</v>
      </c>
      <c r="Q125" s="443" t="s">
        <v>632</v>
      </c>
      <c r="R125" s="99" t="s">
        <v>631</v>
      </c>
      <c r="S125" s="443" t="s">
        <v>632</v>
      </c>
      <c r="T125" s="349" t="s">
        <v>1691</v>
      </c>
      <c r="U125" s="103">
        <v>20</v>
      </c>
      <c r="V125" s="103">
        <v>0</v>
      </c>
      <c r="W125" s="427" t="s">
        <v>623</v>
      </c>
      <c r="X125" s="324" t="s">
        <v>624</v>
      </c>
      <c r="Y125" s="326" t="s">
        <v>625</v>
      </c>
      <c r="Z125" s="419"/>
      <c r="AA125" s="419"/>
      <c r="AB125" s="419"/>
      <c r="AC125" s="419"/>
      <c r="AD125" s="419"/>
      <c r="AE125" s="419"/>
      <c r="AF125" s="419"/>
      <c r="AG125" s="419"/>
      <c r="AH125" s="419"/>
      <c r="AI125" s="419"/>
      <c r="AJ125" s="419"/>
      <c r="AK125" s="419"/>
      <c r="AL125" s="419"/>
      <c r="AM125" s="419"/>
      <c r="AN125" s="419"/>
      <c r="AO125" s="419"/>
      <c r="AP125" s="419"/>
      <c r="AQ125" s="419"/>
      <c r="AR125" s="419"/>
      <c r="AS125" s="419"/>
      <c r="AT125" s="419"/>
      <c r="AU125" s="419"/>
      <c r="AV125" s="419"/>
      <c r="AW125" s="419"/>
      <c r="AX125" s="419"/>
      <c r="AY125" s="419"/>
      <c r="AZ125" s="419"/>
      <c r="BA125" s="419"/>
      <c r="BB125" s="419"/>
      <c r="BC125" s="419"/>
      <c r="BD125" s="420">
        <v>75000000</v>
      </c>
      <c r="BE125" s="468"/>
      <c r="BF125" s="468"/>
      <c r="BG125" s="468"/>
      <c r="BH125" s="468"/>
      <c r="BI125" s="468"/>
      <c r="BJ125" s="468"/>
      <c r="BK125" s="468"/>
      <c r="BL125" s="468"/>
      <c r="BM125" s="468"/>
      <c r="BN125" s="468"/>
      <c r="BO125" s="468"/>
      <c r="BP125" s="403">
        <f t="shared" si="49"/>
        <v>75000000</v>
      </c>
      <c r="BQ125" s="403">
        <f t="shared" si="58"/>
        <v>0</v>
      </c>
      <c r="BR125" s="403">
        <f t="shared" si="59"/>
        <v>0</v>
      </c>
      <c r="BS125" s="360" t="s">
        <v>1660</v>
      </c>
      <c r="BT125" s="5"/>
    </row>
    <row r="126" spans="1:72" ht="222" customHeight="1" x14ac:dyDescent="0.2">
      <c r="A126" s="327">
        <v>313</v>
      </c>
      <c r="B126" s="326" t="s">
        <v>1632</v>
      </c>
      <c r="C126" s="323">
        <v>4</v>
      </c>
      <c r="D126" s="326" t="s">
        <v>1620</v>
      </c>
      <c r="E126" s="323">
        <v>45</v>
      </c>
      <c r="F126" s="417" t="s">
        <v>38</v>
      </c>
      <c r="G126" s="323" t="s">
        <v>41</v>
      </c>
      <c r="H126" s="326" t="s">
        <v>1578</v>
      </c>
      <c r="I126" s="323">
        <v>4599</v>
      </c>
      <c r="J126" s="326" t="s">
        <v>1579</v>
      </c>
      <c r="K126" s="326" t="s">
        <v>40</v>
      </c>
      <c r="L126" s="323" t="s">
        <v>41</v>
      </c>
      <c r="M126" s="326" t="s">
        <v>635</v>
      </c>
      <c r="N126" s="323">
        <v>4599023</v>
      </c>
      <c r="O126" s="326" t="s">
        <v>116</v>
      </c>
      <c r="P126" s="323" t="s">
        <v>41</v>
      </c>
      <c r="Q126" s="421" t="s">
        <v>636</v>
      </c>
      <c r="R126" s="323">
        <v>459902304</v>
      </c>
      <c r="S126" s="421" t="s">
        <v>637</v>
      </c>
      <c r="T126" s="349" t="s">
        <v>1689</v>
      </c>
      <c r="U126" s="471">
        <v>1</v>
      </c>
      <c r="V126" s="471">
        <v>0.83</v>
      </c>
      <c r="W126" s="349" t="s">
        <v>638</v>
      </c>
      <c r="X126" s="459" t="s">
        <v>639</v>
      </c>
      <c r="Y126" s="459" t="s">
        <v>640</v>
      </c>
      <c r="Z126" s="419"/>
      <c r="AA126" s="419"/>
      <c r="AB126" s="419"/>
      <c r="AC126" s="419"/>
      <c r="AD126" s="419"/>
      <c r="AE126" s="419"/>
      <c r="AF126" s="419"/>
      <c r="AG126" s="419"/>
      <c r="AH126" s="419"/>
      <c r="AI126" s="419"/>
      <c r="AJ126" s="419"/>
      <c r="AK126" s="419"/>
      <c r="AL126" s="419"/>
      <c r="AM126" s="419"/>
      <c r="AN126" s="419"/>
      <c r="AO126" s="419"/>
      <c r="AP126" s="419"/>
      <c r="AQ126" s="419"/>
      <c r="AR126" s="419"/>
      <c r="AS126" s="419"/>
      <c r="AT126" s="419"/>
      <c r="AU126" s="419"/>
      <c r="AV126" s="419"/>
      <c r="AW126" s="419"/>
      <c r="AX126" s="419"/>
      <c r="AY126" s="419"/>
      <c r="AZ126" s="419"/>
      <c r="BA126" s="419"/>
      <c r="BB126" s="419"/>
      <c r="BC126" s="419"/>
      <c r="BD126" s="433">
        <v>250000000</v>
      </c>
      <c r="BE126" s="433">
        <v>208693325.33000001</v>
      </c>
      <c r="BF126" s="433">
        <v>150034000</v>
      </c>
      <c r="BG126" s="419"/>
      <c r="BH126" s="419"/>
      <c r="BI126" s="419"/>
      <c r="BJ126" s="419"/>
      <c r="BK126" s="419"/>
      <c r="BL126" s="419"/>
      <c r="BM126" s="419"/>
      <c r="BN126" s="419"/>
      <c r="BO126" s="419"/>
      <c r="BP126" s="403">
        <f>+Z126+AC126+AF126+AI126+AL126+AO126+AR126+AU126+AX126+BA126+BD126+BG126+BJ126</f>
        <v>250000000</v>
      </c>
      <c r="BQ126" s="403">
        <f t="shared" ref="BP126:BR127" si="60">+AA126+AD126+AG126+AJ126+AM126+AP126+AS126+AV126+AY126+BB126+BE126+BH126+BK126</f>
        <v>208693325.33000001</v>
      </c>
      <c r="BR126" s="403">
        <f t="shared" si="60"/>
        <v>150034000</v>
      </c>
      <c r="BS126" s="349" t="s">
        <v>1661</v>
      </c>
      <c r="BT126" s="5"/>
    </row>
    <row r="127" spans="1:72" ht="193.5" customHeight="1" x14ac:dyDescent="0.2">
      <c r="A127" s="327">
        <v>313</v>
      </c>
      <c r="B127" s="326" t="s">
        <v>1632</v>
      </c>
      <c r="C127" s="323">
        <v>4</v>
      </c>
      <c r="D127" s="326" t="s">
        <v>1620</v>
      </c>
      <c r="E127" s="323">
        <v>45</v>
      </c>
      <c r="F127" s="417" t="s">
        <v>38</v>
      </c>
      <c r="G127" s="323" t="s">
        <v>41</v>
      </c>
      <c r="H127" s="326" t="s">
        <v>1578</v>
      </c>
      <c r="I127" s="323">
        <v>4599</v>
      </c>
      <c r="J127" s="326" t="s">
        <v>1579</v>
      </c>
      <c r="K127" s="326" t="s">
        <v>40</v>
      </c>
      <c r="L127" s="323" t="s">
        <v>41</v>
      </c>
      <c r="M127" s="326" t="s">
        <v>641</v>
      </c>
      <c r="N127" s="323">
        <v>4599029</v>
      </c>
      <c r="O127" s="326" t="s">
        <v>63</v>
      </c>
      <c r="P127" s="323" t="s">
        <v>41</v>
      </c>
      <c r="Q127" s="421" t="s">
        <v>642</v>
      </c>
      <c r="R127" s="327">
        <v>459902900</v>
      </c>
      <c r="S127" s="421" t="s">
        <v>65</v>
      </c>
      <c r="T127" s="349" t="s">
        <v>1689</v>
      </c>
      <c r="U127" s="471">
        <v>1</v>
      </c>
      <c r="V127" s="471">
        <v>0.74</v>
      </c>
      <c r="W127" s="349" t="s">
        <v>643</v>
      </c>
      <c r="X127" s="324" t="s">
        <v>644</v>
      </c>
      <c r="Y127" s="326" t="s">
        <v>645</v>
      </c>
      <c r="Z127" s="419"/>
      <c r="AA127" s="419"/>
      <c r="AB127" s="419"/>
      <c r="AC127" s="419"/>
      <c r="AD127" s="419"/>
      <c r="AE127" s="419"/>
      <c r="AF127" s="419"/>
      <c r="AG127" s="419"/>
      <c r="AH127" s="419"/>
      <c r="AI127" s="419"/>
      <c r="AJ127" s="419"/>
      <c r="AK127" s="419"/>
      <c r="AL127" s="419"/>
      <c r="AM127" s="419"/>
      <c r="AN127" s="419"/>
      <c r="AO127" s="419"/>
      <c r="AP127" s="419"/>
      <c r="AQ127" s="419"/>
      <c r="AR127" s="419"/>
      <c r="AS127" s="419"/>
      <c r="AT127" s="419"/>
      <c r="AU127" s="419"/>
      <c r="AV127" s="419"/>
      <c r="AW127" s="419"/>
      <c r="AX127" s="419"/>
      <c r="AY127" s="419"/>
      <c r="AZ127" s="419"/>
      <c r="BA127" s="419"/>
      <c r="BB127" s="419"/>
      <c r="BC127" s="419"/>
      <c r="BD127" s="433">
        <f>300000000+482000000</f>
        <v>782000000</v>
      </c>
      <c r="BE127" s="433">
        <v>577158964.33000004</v>
      </c>
      <c r="BF127" s="433">
        <v>409835833</v>
      </c>
      <c r="BG127" s="419"/>
      <c r="BH127" s="419"/>
      <c r="BI127" s="419"/>
      <c r="BJ127" s="419"/>
      <c r="BK127" s="419"/>
      <c r="BL127" s="419"/>
      <c r="BM127" s="419"/>
      <c r="BN127" s="419"/>
      <c r="BO127" s="419"/>
      <c r="BP127" s="403">
        <f t="shared" si="60"/>
        <v>782000000</v>
      </c>
      <c r="BQ127" s="403">
        <f t="shared" si="60"/>
        <v>577158964.33000004</v>
      </c>
      <c r="BR127" s="403">
        <f t="shared" si="60"/>
        <v>409835833</v>
      </c>
      <c r="BS127" s="349" t="s">
        <v>1661</v>
      </c>
      <c r="BT127" s="5"/>
    </row>
    <row r="128" spans="1:72" ht="191.25" customHeight="1" x14ac:dyDescent="0.2">
      <c r="A128" s="327">
        <v>313</v>
      </c>
      <c r="B128" s="326" t="s">
        <v>1632</v>
      </c>
      <c r="C128" s="323">
        <v>4</v>
      </c>
      <c r="D128" s="326" t="s">
        <v>1620</v>
      </c>
      <c r="E128" s="323">
        <v>45</v>
      </c>
      <c r="F128" s="417" t="s">
        <v>38</v>
      </c>
      <c r="G128" s="323">
        <v>4502</v>
      </c>
      <c r="H128" s="326" t="s">
        <v>1574</v>
      </c>
      <c r="I128" s="323">
        <v>4502</v>
      </c>
      <c r="J128" s="326" t="s">
        <v>1575</v>
      </c>
      <c r="K128" s="326" t="s">
        <v>61</v>
      </c>
      <c r="L128" s="323" t="s">
        <v>41</v>
      </c>
      <c r="M128" s="326" t="s">
        <v>646</v>
      </c>
      <c r="N128" s="323">
        <v>4502001</v>
      </c>
      <c r="O128" s="326" t="s">
        <v>72</v>
      </c>
      <c r="P128" s="323" t="s">
        <v>41</v>
      </c>
      <c r="Q128" s="421" t="s">
        <v>647</v>
      </c>
      <c r="R128" s="323">
        <v>450200100</v>
      </c>
      <c r="S128" s="421" t="s">
        <v>74</v>
      </c>
      <c r="T128" s="349" t="s">
        <v>1689</v>
      </c>
      <c r="U128" s="103">
        <v>30</v>
      </c>
      <c r="V128" s="103">
        <v>26</v>
      </c>
      <c r="W128" s="456" t="s">
        <v>648</v>
      </c>
      <c r="X128" s="324" t="s">
        <v>649</v>
      </c>
      <c r="Y128" s="326" t="s">
        <v>650</v>
      </c>
      <c r="Z128" s="440"/>
      <c r="AA128" s="440"/>
      <c r="AB128" s="440"/>
      <c r="AC128" s="440"/>
      <c r="AD128" s="440"/>
      <c r="AE128" s="440"/>
      <c r="AF128" s="440"/>
      <c r="AG128" s="440"/>
      <c r="AH128" s="440"/>
      <c r="AI128" s="440"/>
      <c r="AJ128" s="440"/>
      <c r="AK128" s="440"/>
      <c r="AL128" s="440"/>
      <c r="AM128" s="440"/>
      <c r="AN128" s="440"/>
      <c r="AO128" s="440"/>
      <c r="AP128" s="440"/>
      <c r="AQ128" s="440"/>
      <c r="AR128" s="440"/>
      <c r="AS128" s="440"/>
      <c r="AT128" s="440"/>
      <c r="AU128" s="440"/>
      <c r="AV128" s="440"/>
      <c r="AW128" s="440"/>
      <c r="AX128" s="440"/>
      <c r="AY128" s="440"/>
      <c r="AZ128" s="440"/>
      <c r="BA128" s="440"/>
      <c r="BB128" s="440"/>
      <c r="BC128" s="440"/>
      <c r="BD128" s="465">
        <v>145000000</v>
      </c>
      <c r="BE128" s="465">
        <v>127558333.33</v>
      </c>
      <c r="BF128" s="465">
        <v>77480000</v>
      </c>
      <c r="BG128" s="440"/>
      <c r="BH128" s="440"/>
      <c r="BI128" s="440"/>
      <c r="BJ128" s="440"/>
      <c r="BK128" s="440"/>
      <c r="BL128" s="440"/>
      <c r="BM128" s="440"/>
      <c r="BN128" s="440"/>
      <c r="BO128" s="440"/>
      <c r="BP128" s="403">
        <f t="shared" ref="BP128:BR129" si="61">+Z128+AC128+AF128+AI128+AL128+AO128+AR128+AU128+AX128+BA128+BD128+BG128+BJ128</f>
        <v>145000000</v>
      </c>
      <c r="BQ128" s="403">
        <f t="shared" si="61"/>
        <v>127558333.33</v>
      </c>
      <c r="BR128" s="403">
        <f t="shared" si="61"/>
        <v>77480000</v>
      </c>
      <c r="BS128" s="349" t="s">
        <v>1661</v>
      </c>
      <c r="BT128" s="5"/>
    </row>
    <row r="129" spans="1:72" s="2" customFormat="1" ht="130.5" customHeight="1" x14ac:dyDescent="0.2">
      <c r="A129" s="327">
        <v>314</v>
      </c>
      <c r="B129" s="326" t="s">
        <v>1634</v>
      </c>
      <c r="C129" s="323">
        <v>1</v>
      </c>
      <c r="D129" s="326" t="s">
        <v>1622</v>
      </c>
      <c r="E129" s="323">
        <v>22</v>
      </c>
      <c r="F129" s="417" t="s">
        <v>156</v>
      </c>
      <c r="G129" s="323">
        <v>2201</v>
      </c>
      <c r="H129" s="326" t="s">
        <v>277</v>
      </c>
      <c r="I129" s="323">
        <v>2201</v>
      </c>
      <c r="J129" s="326" t="s">
        <v>1595</v>
      </c>
      <c r="K129" s="326" t="s">
        <v>652</v>
      </c>
      <c r="L129" s="323">
        <v>2201030</v>
      </c>
      <c r="M129" s="326" t="s">
        <v>653</v>
      </c>
      <c r="N129" s="323">
        <v>2201030</v>
      </c>
      <c r="O129" s="326" t="s">
        <v>653</v>
      </c>
      <c r="P129" s="466">
        <v>220103000</v>
      </c>
      <c r="Q129" s="326" t="s">
        <v>654</v>
      </c>
      <c r="R129" s="466">
        <v>220103000</v>
      </c>
      <c r="S129" s="326" t="s">
        <v>654</v>
      </c>
      <c r="T129" s="349" t="s">
        <v>1689</v>
      </c>
      <c r="U129" s="103">
        <v>2500</v>
      </c>
      <c r="V129" s="103">
        <v>2205</v>
      </c>
      <c r="W129" s="427" t="s">
        <v>655</v>
      </c>
      <c r="X129" s="324" t="s">
        <v>656</v>
      </c>
      <c r="Y129" s="326" t="s">
        <v>657</v>
      </c>
      <c r="Z129" s="419"/>
      <c r="AA129" s="419"/>
      <c r="AB129" s="419"/>
      <c r="AC129" s="419"/>
      <c r="AD129" s="419"/>
      <c r="AE129" s="419"/>
      <c r="AF129" s="419"/>
      <c r="AG129" s="419"/>
      <c r="AH129" s="419"/>
      <c r="AI129" s="419"/>
      <c r="AJ129" s="419"/>
      <c r="AK129" s="419"/>
      <c r="AL129" s="419"/>
      <c r="AM129" s="419"/>
      <c r="AN129" s="419"/>
      <c r="AO129" s="419"/>
      <c r="AP129" s="419"/>
      <c r="AQ129" s="419"/>
      <c r="AR129" s="419">
        <f>1726000000-55000000-327296271</f>
        <v>1343703729</v>
      </c>
      <c r="AS129" s="419">
        <v>1146375147</v>
      </c>
      <c r="AT129" s="419">
        <v>750599972</v>
      </c>
      <c r="AU129" s="419"/>
      <c r="AV129" s="419"/>
      <c r="AW129" s="419"/>
      <c r="AX129" s="419"/>
      <c r="AY129" s="419"/>
      <c r="AZ129" s="419"/>
      <c r="BA129" s="419"/>
      <c r="BB129" s="419"/>
      <c r="BC129" s="419"/>
      <c r="BD129" s="424"/>
      <c r="BE129" s="424"/>
      <c r="BF129" s="424"/>
      <c r="BG129" s="419"/>
      <c r="BH129" s="419"/>
      <c r="BI129" s="419"/>
      <c r="BJ129" s="419"/>
      <c r="BK129" s="419"/>
      <c r="BL129" s="419"/>
      <c r="BM129" s="419"/>
      <c r="BN129" s="419"/>
      <c r="BO129" s="419"/>
      <c r="BP129" s="403">
        <f t="shared" si="61"/>
        <v>1343703729</v>
      </c>
      <c r="BQ129" s="403">
        <f t="shared" si="61"/>
        <v>1146375147</v>
      </c>
      <c r="BR129" s="403">
        <f t="shared" si="61"/>
        <v>750599972</v>
      </c>
      <c r="BS129" s="359" t="s">
        <v>1662</v>
      </c>
      <c r="BT129" s="5"/>
    </row>
    <row r="130" spans="1:72" ht="111.75" customHeight="1" x14ac:dyDescent="0.2">
      <c r="A130" s="327">
        <v>314</v>
      </c>
      <c r="B130" s="326" t="s">
        <v>1634</v>
      </c>
      <c r="C130" s="323">
        <v>1</v>
      </c>
      <c r="D130" s="326" t="s">
        <v>1622</v>
      </c>
      <c r="E130" s="323">
        <v>22</v>
      </c>
      <c r="F130" s="417" t="s">
        <v>156</v>
      </c>
      <c r="G130" s="323">
        <v>2201</v>
      </c>
      <c r="H130" s="326" t="s">
        <v>277</v>
      </c>
      <c r="I130" s="323">
        <v>2201</v>
      </c>
      <c r="J130" s="326" t="s">
        <v>1595</v>
      </c>
      <c r="K130" s="326" t="s">
        <v>658</v>
      </c>
      <c r="L130" s="323">
        <v>2201033</v>
      </c>
      <c r="M130" s="326" t="s">
        <v>659</v>
      </c>
      <c r="N130" s="323">
        <v>2201033</v>
      </c>
      <c r="O130" s="326" t="s">
        <v>659</v>
      </c>
      <c r="P130" s="466">
        <v>220103300</v>
      </c>
      <c r="Q130" s="443" t="s">
        <v>660</v>
      </c>
      <c r="R130" s="466">
        <v>220103300</v>
      </c>
      <c r="S130" s="443" t="s">
        <v>660</v>
      </c>
      <c r="T130" s="349" t="s">
        <v>1691</v>
      </c>
      <c r="U130" s="103">
        <v>9000</v>
      </c>
      <c r="V130" s="103">
        <v>4962</v>
      </c>
      <c r="W130" s="427" t="s">
        <v>655</v>
      </c>
      <c r="X130" s="324" t="s">
        <v>656</v>
      </c>
      <c r="Y130" s="326" t="s">
        <v>657</v>
      </c>
      <c r="Z130" s="419"/>
      <c r="AA130" s="419"/>
      <c r="AB130" s="419"/>
      <c r="AC130" s="419"/>
      <c r="AD130" s="419"/>
      <c r="AE130" s="419"/>
      <c r="AF130" s="419"/>
      <c r="AG130" s="419"/>
      <c r="AH130" s="419"/>
      <c r="AI130" s="419"/>
      <c r="AJ130" s="419"/>
      <c r="AK130" s="419"/>
      <c r="AL130" s="419"/>
      <c r="AM130" s="419"/>
      <c r="AN130" s="419"/>
      <c r="AO130" s="419"/>
      <c r="AP130" s="419"/>
      <c r="AQ130" s="419"/>
      <c r="AR130" s="419"/>
      <c r="AS130" s="419"/>
      <c r="AT130" s="419"/>
      <c r="AU130" s="419"/>
      <c r="AV130" s="419"/>
      <c r="AW130" s="419"/>
      <c r="AX130" s="419"/>
      <c r="AY130" s="419"/>
      <c r="AZ130" s="419"/>
      <c r="BA130" s="419"/>
      <c r="BB130" s="419"/>
      <c r="BC130" s="419"/>
      <c r="BD130" s="472">
        <f>18000000</f>
        <v>18000000</v>
      </c>
      <c r="BE130" s="472">
        <v>18000000</v>
      </c>
      <c r="BF130" s="472">
        <v>0</v>
      </c>
      <c r="BG130" s="419"/>
      <c r="BH130" s="419"/>
      <c r="BI130" s="419"/>
      <c r="BJ130" s="419"/>
      <c r="BK130" s="419"/>
      <c r="BL130" s="419"/>
      <c r="BM130" s="419"/>
      <c r="BN130" s="419"/>
      <c r="BO130" s="419"/>
      <c r="BP130" s="403">
        <f t="shared" ref="BP130:BP141" si="62">+Z130+AC130+AF130+AI130+AL130+AO130+AR130+AU130+AX130+BA130+BD130+BG130+BJ130</f>
        <v>18000000</v>
      </c>
      <c r="BQ130" s="403">
        <f t="shared" ref="BQ130:BQ141" si="63">+AA130+AD130+AG130+AJ130+AM130+AP130+AS130+AV130+AY130+BB130+BE130+BH130+BK130</f>
        <v>18000000</v>
      </c>
      <c r="BR130" s="403">
        <f t="shared" ref="BR130:BR141" si="64">+AB130+AE130+AH130+AK130+AN130+AQ130+AT130+AW130+AZ130+BC130+BF130+BI130+BL130</f>
        <v>0</v>
      </c>
      <c r="BS130" s="359" t="s">
        <v>1662</v>
      </c>
      <c r="BT130" s="5"/>
    </row>
    <row r="131" spans="1:72" s="2" customFormat="1" ht="120" customHeight="1" x14ac:dyDescent="0.2">
      <c r="A131" s="327">
        <v>314</v>
      </c>
      <c r="B131" s="326" t="s">
        <v>1634</v>
      </c>
      <c r="C131" s="323">
        <v>1</v>
      </c>
      <c r="D131" s="326" t="s">
        <v>1622</v>
      </c>
      <c r="E131" s="323">
        <v>22</v>
      </c>
      <c r="F131" s="417" t="s">
        <v>156</v>
      </c>
      <c r="G131" s="323">
        <v>2201</v>
      </c>
      <c r="H131" s="326" t="s">
        <v>277</v>
      </c>
      <c r="I131" s="323">
        <v>2201</v>
      </c>
      <c r="J131" s="326" t="s">
        <v>1595</v>
      </c>
      <c r="K131" s="326" t="s">
        <v>661</v>
      </c>
      <c r="L131" s="323">
        <v>2201032</v>
      </c>
      <c r="M131" s="326" t="s">
        <v>662</v>
      </c>
      <c r="N131" s="323">
        <v>2201032</v>
      </c>
      <c r="O131" s="326" t="s">
        <v>662</v>
      </c>
      <c r="P131" s="435">
        <v>220103200</v>
      </c>
      <c r="Q131" s="326" t="s">
        <v>663</v>
      </c>
      <c r="R131" s="435">
        <v>220103200</v>
      </c>
      <c r="S131" s="326" t="s">
        <v>663</v>
      </c>
      <c r="T131" s="349" t="s">
        <v>1691</v>
      </c>
      <c r="U131" s="103">
        <v>200</v>
      </c>
      <c r="V131" s="103">
        <v>105</v>
      </c>
      <c r="W131" s="427" t="s">
        <v>655</v>
      </c>
      <c r="X131" s="324" t="s">
        <v>656</v>
      </c>
      <c r="Y131" s="326" t="s">
        <v>657</v>
      </c>
      <c r="Z131" s="419"/>
      <c r="AA131" s="419"/>
      <c r="AB131" s="419"/>
      <c r="AC131" s="419"/>
      <c r="AD131" s="419"/>
      <c r="AE131" s="419"/>
      <c r="AF131" s="419"/>
      <c r="AG131" s="419"/>
      <c r="AH131" s="419"/>
      <c r="AI131" s="419"/>
      <c r="AJ131" s="419"/>
      <c r="AK131" s="419"/>
      <c r="AL131" s="419"/>
      <c r="AM131" s="419"/>
      <c r="AN131" s="419"/>
      <c r="AO131" s="419"/>
      <c r="AP131" s="419"/>
      <c r="AQ131" s="419"/>
      <c r="AR131" s="419"/>
      <c r="AS131" s="419"/>
      <c r="AT131" s="419"/>
      <c r="AU131" s="419"/>
      <c r="AV131" s="419"/>
      <c r="AW131" s="419"/>
      <c r="AX131" s="419"/>
      <c r="AY131" s="419"/>
      <c r="AZ131" s="419"/>
      <c r="BA131" s="419"/>
      <c r="BB131" s="419"/>
      <c r="BC131" s="419"/>
      <c r="BD131" s="458">
        <f>10000000.01-10000000.01</f>
        <v>0</v>
      </c>
      <c r="BE131" s="458"/>
      <c r="BF131" s="458"/>
      <c r="BG131" s="419"/>
      <c r="BH131" s="419"/>
      <c r="BI131" s="419"/>
      <c r="BJ131" s="419"/>
      <c r="BK131" s="419"/>
      <c r="BL131" s="419"/>
      <c r="BM131" s="419"/>
      <c r="BN131" s="419"/>
      <c r="BO131" s="419"/>
      <c r="BP131" s="403">
        <f t="shared" si="62"/>
        <v>0</v>
      </c>
      <c r="BQ131" s="403">
        <f t="shared" si="63"/>
        <v>0</v>
      </c>
      <c r="BR131" s="403">
        <f t="shared" si="64"/>
        <v>0</v>
      </c>
      <c r="BS131" s="359" t="s">
        <v>1662</v>
      </c>
      <c r="BT131" s="5"/>
    </row>
    <row r="132" spans="1:72" s="2" customFormat="1" ht="175.5" customHeight="1" x14ac:dyDescent="0.2">
      <c r="A132" s="327">
        <v>314</v>
      </c>
      <c r="B132" s="326" t="s">
        <v>1634</v>
      </c>
      <c r="C132" s="323">
        <v>1</v>
      </c>
      <c r="D132" s="326" t="s">
        <v>1622</v>
      </c>
      <c r="E132" s="323">
        <v>22</v>
      </c>
      <c r="F132" s="417" t="s">
        <v>156</v>
      </c>
      <c r="G132" s="323">
        <v>2201</v>
      </c>
      <c r="H132" s="326" t="s">
        <v>277</v>
      </c>
      <c r="I132" s="323">
        <v>2201</v>
      </c>
      <c r="J132" s="326" t="s">
        <v>1595</v>
      </c>
      <c r="K132" s="326" t="s">
        <v>664</v>
      </c>
      <c r="L132" s="323">
        <v>2201055</v>
      </c>
      <c r="M132" s="326" t="s">
        <v>665</v>
      </c>
      <c r="N132" s="323">
        <v>2201055</v>
      </c>
      <c r="O132" s="326" t="s">
        <v>665</v>
      </c>
      <c r="P132" s="466">
        <v>220105500</v>
      </c>
      <c r="Q132" s="443" t="s">
        <v>666</v>
      </c>
      <c r="R132" s="466">
        <v>220105500</v>
      </c>
      <c r="S132" s="443" t="s">
        <v>666</v>
      </c>
      <c r="T132" s="349" t="s">
        <v>1689</v>
      </c>
      <c r="U132" s="103">
        <v>1</v>
      </c>
      <c r="V132" s="103">
        <v>1</v>
      </c>
      <c r="W132" s="427" t="s">
        <v>655</v>
      </c>
      <c r="X132" s="324" t="s">
        <v>656</v>
      </c>
      <c r="Y132" s="326" t="s">
        <v>657</v>
      </c>
      <c r="Z132" s="419"/>
      <c r="AA132" s="419"/>
      <c r="AB132" s="419"/>
      <c r="AC132" s="419"/>
      <c r="AD132" s="419"/>
      <c r="AE132" s="419"/>
      <c r="AF132" s="419"/>
      <c r="AG132" s="419"/>
      <c r="AH132" s="419"/>
      <c r="AI132" s="419"/>
      <c r="AJ132" s="419"/>
      <c r="AK132" s="419"/>
      <c r="AL132" s="419"/>
      <c r="AM132" s="419"/>
      <c r="AN132" s="419"/>
      <c r="AO132" s="419"/>
      <c r="AP132" s="419"/>
      <c r="AQ132" s="419"/>
      <c r="AR132" s="419">
        <f>20000000+7500000+42500000-21720771</f>
        <v>48279229</v>
      </c>
      <c r="AS132" s="419">
        <v>12279229</v>
      </c>
      <c r="AT132" s="419">
        <v>12279229</v>
      </c>
      <c r="AU132" s="419"/>
      <c r="AV132" s="419"/>
      <c r="AW132" s="419"/>
      <c r="AX132" s="419"/>
      <c r="AY132" s="419"/>
      <c r="AZ132" s="419"/>
      <c r="BA132" s="419"/>
      <c r="BB132" s="419"/>
      <c r="BC132" s="419"/>
      <c r="BD132" s="424">
        <v>0</v>
      </c>
      <c r="BE132" s="424"/>
      <c r="BF132" s="424"/>
      <c r="BG132" s="419"/>
      <c r="BH132" s="419"/>
      <c r="BI132" s="419"/>
      <c r="BJ132" s="419"/>
      <c r="BK132" s="419"/>
      <c r="BL132" s="419"/>
      <c r="BM132" s="419"/>
      <c r="BN132" s="419"/>
      <c r="BO132" s="419"/>
      <c r="BP132" s="403">
        <f t="shared" si="62"/>
        <v>48279229</v>
      </c>
      <c r="BQ132" s="403">
        <f t="shared" si="63"/>
        <v>12279229</v>
      </c>
      <c r="BR132" s="403">
        <f t="shared" si="64"/>
        <v>12279229</v>
      </c>
      <c r="BS132" s="359" t="s">
        <v>1662</v>
      </c>
      <c r="BT132" s="5"/>
    </row>
    <row r="133" spans="1:72" s="2" customFormat="1" ht="144.75" customHeight="1" x14ac:dyDescent="0.2">
      <c r="A133" s="327">
        <v>314</v>
      </c>
      <c r="B133" s="326" t="s">
        <v>1634</v>
      </c>
      <c r="C133" s="323">
        <v>1</v>
      </c>
      <c r="D133" s="326" t="s">
        <v>1622</v>
      </c>
      <c r="E133" s="323">
        <v>22</v>
      </c>
      <c r="F133" s="417" t="s">
        <v>156</v>
      </c>
      <c r="G133" s="323">
        <v>2201</v>
      </c>
      <c r="H133" s="326" t="s">
        <v>277</v>
      </c>
      <c r="I133" s="323">
        <v>2201</v>
      </c>
      <c r="J133" s="326" t="s">
        <v>1595</v>
      </c>
      <c r="K133" s="326" t="s">
        <v>667</v>
      </c>
      <c r="L133" s="323">
        <v>2201067</v>
      </c>
      <c r="M133" s="326" t="s">
        <v>668</v>
      </c>
      <c r="N133" s="323">
        <v>2201067</v>
      </c>
      <c r="O133" s="326" t="s">
        <v>668</v>
      </c>
      <c r="P133" s="435">
        <v>220106700</v>
      </c>
      <c r="Q133" s="326" t="s">
        <v>669</v>
      </c>
      <c r="R133" s="435">
        <v>220106700</v>
      </c>
      <c r="S133" s="326" t="s">
        <v>669</v>
      </c>
      <c r="T133" s="349" t="s">
        <v>1689</v>
      </c>
      <c r="U133" s="103">
        <v>54</v>
      </c>
      <c r="V133" s="103">
        <v>27</v>
      </c>
      <c r="W133" s="427" t="s">
        <v>655</v>
      </c>
      <c r="X133" s="324" t="s">
        <v>656</v>
      </c>
      <c r="Y133" s="326" t="s">
        <v>657</v>
      </c>
      <c r="Z133" s="419"/>
      <c r="AA133" s="419"/>
      <c r="AB133" s="419"/>
      <c r="AC133" s="419"/>
      <c r="AD133" s="419"/>
      <c r="AE133" s="419"/>
      <c r="AF133" s="419"/>
      <c r="AG133" s="419"/>
      <c r="AH133" s="419"/>
      <c r="AI133" s="419"/>
      <c r="AJ133" s="419"/>
      <c r="AK133" s="419"/>
      <c r="AL133" s="419"/>
      <c r="AM133" s="419"/>
      <c r="AN133" s="419"/>
      <c r="AO133" s="419"/>
      <c r="AP133" s="419"/>
      <c r="AQ133" s="419"/>
      <c r="AR133" s="419"/>
      <c r="AS133" s="419"/>
      <c r="AT133" s="419"/>
      <c r="AU133" s="419"/>
      <c r="AV133" s="419"/>
      <c r="AW133" s="419"/>
      <c r="AX133" s="419"/>
      <c r="AY133" s="419"/>
      <c r="AZ133" s="419"/>
      <c r="BA133" s="419"/>
      <c r="BB133" s="419"/>
      <c r="BC133" s="419"/>
      <c r="BD133" s="458">
        <v>10000000.01</v>
      </c>
      <c r="BE133" s="458">
        <v>9905167</v>
      </c>
      <c r="BF133" s="458">
        <v>5770000</v>
      </c>
      <c r="BG133" s="419"/>
      <c r="BH133" s="419"/>
      <c r="BI133" s="419"/>
      <c r="BJ133" s="419"/>
      <c r="BK133" s="419"/>
      <c r="BL133" s="419"/>
      <c r="BM133" s="419"/>
      <c r="BN133" s="419"/>
      <c r="BO133" s="419"/>
      <c r="BP133" s="403">
        <f t="shared" si="62"/>
        <v>10000000.01</v>
      </c>
      <c r="BQ133" s="403">
        <f t="shared" si="63"/>
        <v>9905167</v>
      </c>
      <c r="BR133" s="403">
        <f t="shared" si="64"/>
        <v>5770000</v>
      </c>
      <c r="BS133" s="359" t="s">
        <v>1662</v>
      </c>
      <c r="BT133" s="5"/>
    </row>
    <row r="134" spans="1:72" ht="112.5" customHeight="1" x14ac:dyDescent="0.2">
      <c r="A134" s="327">
        <v>314</v>
      </c>
      <c r="B134" s="326" t="s">
        <v>1634</v>
      </c>
      <c r="C134" s="323">
        <v>1</v>
      </c>
      <c r="D134" s="326" t="s">
        <v>1622</v>
      </c>
      <c r="E134" s="323">
        <v>22</v>
      </c>
      <c r="F134" s="417" t="s">
        <v>156</v>
      </c>
      <c r="G134" s="323">
        <v>2201</v>
      </c>
      <c r="H134" s="326" t="s">
        <v>277</v>
      </c>
      <c r="I134" s="323">
        <v>2201</v>
      </c>
      <c r="J134" s="326" t="s">
        <v>1595</v>
      </c>
      <c r="K134" s="326" t="s">
        <v>667</v>
      </c>
      <c r="L134" s="323">
        <v>2201028</v>
      </c>
      <c r="M134" s="326" t="s">
        <v>670</v>
      </c>
      <c r="N134" s="323">
        <v>2201028</v>
      </c>
      <c r="O134" s="326" t="s">
        <v>670</v>
      </c>
      <c r="P134" s="466">
        <v>220102801</v>
      </c>
      <c r="Q134" s="326" t="s">
        <v>671</v>
      </c>
      <c r="R134" s="466">
        <v>220102801</v>
      </c>
      <c r="S134" s="326" t="s">
        <v>671</v>
      </c>
      <c r="T134" s="349" t="s">
        <v>1689</v>
      </c>
      <c r="U134" s="103">
        <v>36000</v>
      </c>
      <c r="V134" s="103">
        <v>30730</v>
      </c>
      <c r="W134" s="427" t="s">
        <v>655</v>
      </c>
      <c r="X134" s="324" t="s">
        <v>656</v>
      </c>
      <c r="Y134" s="326" t="s">
        <v>657</v>
      </c>
      <c r="Z134" s="419"/>
      <c r="AA134" s="419"/>
      <c r="AB134" s="419"/>
      <c r="AC134" s="419"/>
      <c r="AD134" s="419"/>
      <c r="AE134" s="419"/>
      <c r="AF134" s="419"/>
      <c r="AG134" s="419"/>
      <c r="AH134" s="419"/>
      <c r="AI134" s="419"/>
      <c r="AJ134" s="419"/>
      <c r="AK134" s="419"/>
      <c r="AL134" s="419"/>
      <c r="AM134" s="419"/>
      <c r="AN134" s="419"/>
      <c r="AO134" s="419"/>
      <c r="AP134" s="419"/>
      <c r="AQ134" s="419"/>
      <c r="AR134" s="419"/>
      <c r="AS134" s="419"/>
      <c r="AT134" s="419"/>
      <c r="AU134" s="473"/>
      <c r="AV134" s="473"/>
      <c r="AW134" s="473"/>
      <c r="AX134" s="458">
        <f>12990000000-2811152214+1411366447.05+832135907.4-140000000+267805797</f>
        <v>12550155937.449999</v>
      </c>
      <c r="AY134" s="458">
        <v>9774109250</v>
      </c>
      <c r="AZ134" s="458">
        <v>9243011464</v>
      </c>
      <c r="BA134" s="419"/>
      <c r="BB134" s="419"/>
      <c r="BC134" s="419"/>
      <c r="BD134" s="458">
        <f>250000000+1800000000+327000000</f>
        <v>2377000000</v>
      </c>
      <c r="BE134" s="458">
        <v>2047238566</v>
      </c>
      <c r="BF134" s="458">
        <v>1960359619</v>
      </c>
      <c r="BG134" s="458">
        <v>62.1</v>
      </c>
      <c r="BH134" s="458"/>
      <c r="BI134" s="458"/>
      <c r="BJ134" s="419"/>
      <c r="BK134" s="419"/>
      <c r="BL134" s="419"/>
      <c r="BM134" s="419"/>
      <c r="BN134" s="419"/>
      <c r="BO134" s="419"/>
      <c r="BP134" s="403">
        <f t="shared" si="62"/>
        <v>14927155999.549999</v>
      </c>
      <c r="BQ134" s="403">
        <f>+AA134+AD134+AG134+AJ134+AM134+AP134+AS134+AV134+AY134+BB134+BE134+BH134+BK134</f>
        <v>11821347816</v>
      </c>
      <c r="BR134" s="403">
        <f>+AB134+AE134+AH134+AK134+AN134+AQ134+AT134+AW134+AZ134+BC134+BF134+BI134+BL134</f>
        <v>11203371083</v>
      </c>
      <c r="BS134" s="359" t="s">
        <v>1662</v>
      </c>
      <c r="BT134" s="5"/>
    </row>
    <row r="135" spans="1:72" ht="165" customHeight="1" x14ac:dyDescent="0.2">
      <c r="A135" s="327">
        <v>314</v>
      </c>
      <c r="B135" s="326" t="s">
        <v>1634</v>
      </c>
      <c r="C135" s="323">
        <v>1</v>
      </c>
      <c r="D135" s="326" t="s">
        <v>1622</v>
      </c>
      <c r="E135" s="323">
        <v>22</v>
      </c>
      <c r="F135" s="417" t="s">
        <v>156</v>
      </c>
      <c r="G135" s="323">
        <v>2201</v>
      </c>
      <c r="H135" s="326" t="s">
        <v>277</v>
      </c>
      <c r="I135" s="323">
        <v>2201</v>
      </c>
      <c r="J135" s="326" t="s">
        <v>1595</v>
      </c>
      <c r="K135" s="326" t="s">
        <v>667</v>
      </c>
      <c r="L135" s="323">
        <v>2201029</v>
      </c>
      <c r="M135" s="326" t="s">
        <v>672</v>
      </c>
      <c r="N135" s="323">
        <v>2201029</v>
      </c>
      <c r="O135" s="326" t="s">
        <v>672</v>
      </c>
      <c r="P135" s="466">
        <v>220102900</v>
      </c>
      <c r="Q135" s="326" t="s">
        <v>673</v>
      </c>
      <c r="R135" s="466">
        <v>220102900</v>
      </c>
      <c r="S135" s="326" t="s">
        <v>673</v>
      </c>
      <c r="T135" s="349" t="s">
        <v>1691</v>
      </c>
      <c r="U135" s="103">
        <v>1000</v>
      </c>
      <c r="V135" s="103">
        <v>0</v>
      </c>
      <c r="W135" s="427" t="s">
        <v>655</v>
      </c>
      <c r="X135" s="324" t="s">
        <v>656</v>
      </c>
      <c r="Y135" s="326" t="s">
        <v>657</v>
      </c>
      <c r="Z135" s="419"/>
      <c r="AA135" s="419"/>
      <c r="AB135" s="419"/>
      <c r="AC135" s="419"/>
      <c r="AD135" s="419"/>
      <c r="AE135" s="419"/>
      <c r="AF135" s="419"/>
      <c r="AG135" s="419"/>
      <c r="AH135" s="419"/>
      <c r="AI135" s="419"/>
      <c r="AJ135" s="419"/>
      <c r="AK135" s="419"/>
      <c r="AL135" s="419"/>
      <c r="AM135" s="419"/>
      <c r="AN135" s="419"/>
      <c r="AO135" s="419"/>
      <c r="AP135" s="419"/>
      <c r="AQ135" s="419"/>
      <c r="AR135" s="419"/>
      <c r="AS135" s="419"/>
      <c r="AT135" s="419"/>
      <c r="AU135" s="419"/>
      <c r="AV135" s="419"/>
      <c r="AW135" s="419"/>
      <c r="AX135" s="419"/>
      <c r="AY135" s="419"/>
      <c r="AZ135" s="419"/>
      <c r="BA135" s="419"/>
      <c r="BB135" s="419"/>
      <c r="BC135" s="419"/>
      <c r="BD135" s="424">
        <f>380000000-100000000-280000000+58940000.02+120000000</f>
        <v>178940000.02000001</v>
      </c>
      <c r="BE135" s="458"/>
      <c r="BF135" s="458"/>
      <c r="BG135" s="419"/>
      <c r="BH135" s="419"/>
      <c r="BI135" s="419"/>
      <c r="BJ135" s="419"/>
      <c r="BK135" s="419"/>
      <c r="BL135" s="419"/>
      <c r="BM135" s="419"/>
      <c r="BN135" s="419"/>
      <c r="BO135" s="419"/>
      <c r="BP135" s="403">
        <f t="shared" si="62"/>
        <v>178940000.02000001</v>
      </c>
      <c r="BQ135" s="403">
        <f t="shared" si="63"/>
        <v>0</v>
      </c>
      <c r="BR135" s="403">
        <f t="shared" si="64"/>
        <v>0</v>
      </c>
      <c r="BS135" s="359" t="s">
        <v>1662</v>
      </c>
      <c r="BT135" s="5"/>
    </row>
    <row r="136" spans="1:72" ht="138.75" customHeight="1" x14ac:dyDescent="0.2">
      <c r="A136" s="327">
        <v>314</v>
      </c>
      <c r="B136" s="326" t="s">
        <v>1634</v>
      </c>
      <c r="C136" s="323">
        <v>1</v>
      </c>
      <c r="D136" s="326" t="s">
        <v>1622</v>
      </c>
      <c r="E136" s="323">
        <v>22</v>
      </c>
      <c r="F136" s="417" t="s">
        <v>156</v>
      </c>
      <c r="G136" s="323">
        <v>2201</v>
      </c>
      <c r="H136" s="326" t="s">
        <v>277</v>
      </c>
      <c r="I136" s="323">
        <v>2201</v>
      </c>
      <c r="J136" s="326" t="s">
        <v>1595</v>
      </c>
      <c r="K136" s="326" t="s">
        <v>158</v>
      </c>
      <c r="L136" s="323" t="s">
        <v>41</v>
      </c>
      <c r="M136" s="326" t="s">
        <v>674</v>
      </c>
      <c r="N136" s="323">
        <v>2201062</v>
      </c>
      <c r="O136" s="326" t="s">
        <v>160</v>
      </c>
      <c r="P136" s="323" t="s">
        <v>41</v>
      </c>
      <c r="Q136" s="326" t="s">
        <v>161</v>
      </c>
      <c r="R136" s="323">
        <v>220106200</v>
      </c>
      <c r="S136" s="326" t="s">
        <v>675</v>
      </c>
      <c r="T136" s="349" t="s">
        <v>1691</v>
      </c>
      <c r="U136" s="323">
        <v>15</v>
      </c>
      <c r="V136" s="323">
        <v>12</v>
      </c>
      <c r="W136" s="427" t="s">
        <v>655</v>
      </c>
      <c r="X136" s="324" t="s">
        <v>656</v>
      </c>
      <c r="Y136" s="326" t="s">
        <v>657</v>
      </c>
      <c r="Z136" s="419"/>
      <c r="AA136" s="419"/>
      <c r="AB136" s="419"/>
      <c r="AC136" s="419"/>
      <c r="AD136" s="419"/>
      <c r="AE136" s="419"/>
      <c r="AF136" s="419"/>
      <c r="AG136" s="419"/>
      <c r="AH136" s="419"/>
      <c r="AI136" s="419"/>
      <c r="AJ136" s="419"/>
      <c r="AK136" s="419"/>
      <c r="AL136" s="419"/>
      <c r="AM136" s="419"/>
      <c r="AN136" s="419"/>
      <c r="AO136" s="419"/>
      <c r="AP136" s="419"/>
      <c r="AQ136" s="419"/>
      <c r="AR136" s="419"/>
      <c r="AS136" s="419"/>
      <c r="AT136" s="419"/>
      <c r="AU136" s="419"/>
      <c r="AV136" s="419"/>
      <c r="AW136" s="419"/>
      <c r="AX136" s="419"/>
      <c r="AY136" s="419"/>
      <c r="AZ136" s="419"/>
      <c r="BA136" s="419"/>
      <c r="BB136" s="419"/>
      <c r="BC136" s="419"/>
      <c r="BD136" s="424">
        <f>30000000+100000000-20480000</f>
        <v>109520000</v>
      </c>
      <c r="BE136" s="424">
        <v>24090000</v>
      </c>
      <c r="BF136" s="424">
        <v>6600000</v>
      </c>
      <c r="BG136" s="419"/>
      <c r="BH136" s="419"/>
      <c r="BI136" s="419"/>
      <c r="BJ136" s="419"/>
      <c r="BK136" s="419"/>
      <c r="BL136" s="419"/>
      <c r="BM136" s="419"/>
      <c r="BN136" s="419"/>
      <c r="BO136" s="419"/>
      <c r="BP136" s="403">
        <f t="shared" si="62"/>
        <v>109520000</v>
      </c>
      <c r="BQ136" s="403">
        <f>+AA136+AD136+AG136+AJ136+AM136+AP136+AS136+AV136+AY136+BB136+BE136+BH136+BK136</f>
        <v>24090000</v>
      </c>
      <c r="BR136" s="403">
        <f>+AB136+AE136+AH136+AK136+AN136+AQ136+AT136+AW136+AZ136+BC136+BF136+BI136+BL136</f>
        <v>6600000</v>
      </c>
      <c r="BS136" s="359" t="s">
        <v>1662</v>
      </c>
      <c r="BT136" s="5"/>
    </row>
    <row r="137" spans="1:72" ht="111.75" customHeight="1" x14ac:dyDescent="0.2">
      <c r="A137" s="327">
        <v>314</v>
      </c>
      <c r="B137" s="326" t="s">
        <v>1634</v>
      </c>
      <c r="C137" s="323">
        <v>1</v>
      </c>
      <c r="D137" s="326" t="s">
        <v>1622</v>
      </c>
      <c r="E137" s="323">
        <v>22</v>
      </c>
      <c r="F137" s="417" t="s">
        <v>156</v>
      </c>
      <c r="G137" s="323">
        <v>2201</v>
      </c>
      <c r="H137" s="326" t="s">
        <v>277</v>
      </c>
      <c r="I137" s="323">
        <v>2201</v>
      </c>
      <c r="J137" s="326" t="s">
        <v>1595</v>
      </c>
      <c r="K137" s="326" t="s">
        <v>676</v>
      </c>
      <c r="L137" s="323">
        <v>2201063</v>
      </c>
      <c r="M137" s="326" t="s">
        <v>677</v>
      </c>
      <c r="N137" s="323">
        <v>2201063</v>
      </c>
      <c r="O137" s="326" t="s">
        <v>677</v>
      </c>
      <c r="P137" s="435">
        <v>220106300</v>
      </c>
      <c r="Q137" s="326" t="s">
        <v>678</v>
      </c>
      <c r="R137" s="435">
        <v>220106300</v>
      </c>
      <c r="S137" s="326" t="s">
        <v>678</v>
      </c>
      <c r="T137" s="349" t="s">
        <v>1691</v>
      </c>
      <c r="U137" s="103">
        <v>2</v>
      </c>
      <c r="V137" s="103">
        <v>0</v>
      </c>
      <c r="W137" s="427" t="s">
        <v>655</v>
      </c>
      <c r="X137" s="324" t="s">
        <v>656</v>
      </c>
      <c r="Y137" s="326" t="s">
        <v>657</v>
      </c>
      <c r="Z137" s="419"/>
      <c r="AA137" s="419"/>
      <c r="AB137" s="419"/>
      <c r="AC137" s="419"/>
      <c r="AD137" s="419"/>
      <c r="AE137" s="419"/>
      <c r="AF137" s="419"/>
      <c r="AG137" s="419"/>
      <c r="AH137" s="419"/>
      <c r="AI137" s="419"/>
      <c r="AJ137" s="419"/>
      <c r="AK137" s="419"/>
      <c r="AL137" s="419"/>
      <c r="AM137" s="419"/>
      <c r="AN137" s="419"/>
      <c r="AO137" s="419"/>
      <c r="AP137" s="419"/>
      <c r="AQ137" s="419"/>
      <c r="AR137" s="419"/>
      <c r="AS137" s="419"/>
      <c r="AT137" s="419"/>
      <c r="AU137" s="419"/>
      <c r="AV137" s="419"/>
      <c r="AW137" s="419"/>
      <c r="AX137" s="419"/>
      <c r="AY137" s="419"/>
      <c r="AZ137" s="419"/>
      <c r="BA137" s="419"/>
      <c r="BB137" s="419"/>
      <c r="BC137" s="419"/>
      <c r="BD137" s="458">
        <f>30000000-30000000</f>
        <v>0</v>
      </c>
      <c r="BE137" s="458"/>
      <c r="BF137" s="458"/>
      <c r="BG137" s="419"/>
      <c r="BH137" s="419"/>
      <c r="BI137" s="419"/>
      <c r="BJ137" s="419"/>
      <c r="BK137" s="419"/>
      <c r="BL137" s="419"/>
      <c r="BM137" s="419"/>
      <c r="BN137" s="419"/>
      <c r="BO137" s="419"/>
      <c r="BP137" s="403">
        <f t="shared" si="62"/>
        <v>0</v>
      </c>
      <c r="BQ137" s="403">
        <f>+AA137+AD137+AG137+AJ137+AM137+AP137+AS137+AV137+AY137+BB137+BE137+BH137+BK137</f>
        <v>0</v>
      </c>
      <c r="BR137" s="403">
        <f t="shared" si="64"/>
        <v>0</v>
      </c>
      <c r="BS137" s="359" t="s">
        <v>1662</v>
      </c>
      <c r="BT137" s="5"/>
    </row>
    <row r="138" spans="1:72" ht="110.25" customHeight="1" x14ac:dyDescent="0.2">
      <c r="A138" s="327">
        <v>314</v>
      </c>
      <c r="B138" s="326" t="s">
        <v>1634</v>
      </c>
      <c r="C138" s="323">
        <v>1</v>
      </c>
      <c r="D138" s="326" t="s">
        <v>1622</v>
      </c>
      <c r="E138" s="323">
        <v>22</v>
      </c>
      <c r="F138" s="417" t="s">
        <v>156</v>
      </c>
      <c r="G138" s="323">
        <v>2201</v>
      </c>
      <c r="H138" s="326" t="s">
        <v>277</v>
      </c>
      <c r="I138" s="323">
        <v>2201</v>
      </c>
      <c r="J138" s="326" t="s">
        <v>1595</v>
      </c>
      <c r="K138" s="326" t="s">
        <v>676</v>
      </c>
      <c r="L138" s="323">
        <v>2201069</v>
      </c>
      <c r="M138" s="326" t="s">
        <v>679</v>
      </c>
      <c r="N138" s="323">
        <v>2201069</v>
      </c>
      <c r="O138" s="326" t="s">
        <v>679</v>
      </c>
      <c r="P138" s="435">
        <v>220106900</v>
      </c>
      <c r="Q138" s="324" t="s">
        <v>680</v>
      </c>
      <c r="R138" s="435">
        <v>220106900</v>
      </c>
      <c r="S138" s="324" t="s">
        <v>680</v>
      </c>
      <c r="T138" s="349" t="s">
        <v>1691</v>
      </c>
      <c r="U138" s="103">
        <v>3</v>
      </c>
      <c r="V138" s="103">
        <v>0</v>
      </c>
      <c r="W138" s="427" t="s">
        <v>655</v>
      </c>
      <c r="X138" s="324" t="s">
        <v>656</v>
      </c>
      <c r="Y138" s="326" t="s">
        <v>657</v>
      </c>
      <c r="Z138" s="419"/>
      <c r="AA138" s="419"/>
      <c r="AB138" s="419"/>
      <c r="AC138" s="419"/>
      <c r="AD138" s="419"/>
      <c r="AE138" s="419"/>
      <c r="AF138" s="419"/>
      <c r="AG138" s="419"/>
      <c r="AH138" s="419"/>
      <c r="AI138" s="419"/>
      <c r="AJ138" s="419"/>
      <c r="AK138" s="419"/>
      <c r="AL138" s="419"/>
      <c r="AM138" s="419"/>
      <c r="AN138" s="419"/>
      <c r="AO138" s="419"/>
      <c r="AP138" s="419"/>
      <c r="AQ138" s="419"/>
      <c r="AR138" s="419">
        <f>37500000+12500000-45000000</f>
        <v>5000000</v>
      </c>
      <c r="AS138" s="419"/>
      <c r="AT138" s="419"/>
      <c r="AU138" s="419"/>
      <c r="AV138" s="419"/>
      <c r="AW138" s="419"/>
      <c r="AX138" s="419"/>
      <c r="AY138" s="419"/>
      <c r="AZ138" s="419"/>
      <c r="BA138" s="419"/>
      <c r="BB138" s="419"/>
      <c r="BC138" s="419"/>
      <c r="BD138" s="458">
        <f>20000000-20000000+20000000</f>
        <v>20000000</v>
      </c>
      <c r="BE138" s="458"/>
      <c r="BF138" s="458"/>
      <c r="BG138" s="419"/>
      <c r="BH138" s="419"/>
      <c r="BI138" s="419"/>
      <c r="BJ138" s="419"/>
      <c r="BK138" s="419"/>
      <c r="BL138" s="419"/>
      <c r="BM138" s="419"/>
      <c r="BN138" s="419"/>
      <c r="BO138" s="419"/>
      <c r="BP138" s="403">
        <f t="shared" si="62"/>
        <v>25000000</v>
      </c>
      <c r="BQ138" s="403">
        <f t="shared" si="63"/>
        <v>0</v>
      </c>
      <c r="BR138" s="403">
        <f t="shared" si="64"/>
        <v>0</v>
      </c>
      <c r="BS138" s="359" t="s">
        <v>1662</v>
      </c>
      <c r="BT138" s="5"/>
    </row>
    <row r="139" spans="1:72" ht="138" customHeight="1" x14ac:dyDescent="0.2">
      <c r="A139" s="327">
        <v>314</v>
      </c>
      <c r="B139" s="326" t="s">
        <v>1634</v>
      </c>
      <c r="C139" s="323">
        <v>1</v>
      </c>
      <c r="D139" s="326" t="s">
        <v>1622</v>
      </c>
      <c r="E139" s="323">
        <v>22</v>
      </c>
      <c r="F139" s="417" t="s">
        <v>156</v>
      </c>
      <c r="G139" s="323">
        <v>2201</v>
      </c>
      <c r="H139" s="326" t="s">
        <v>277</v>
      </c>
      <c r="I139" s="323">
        <v>2201</v>
      </c>
      <c r="J139" s="326" t="s">
        <v>1595</v>
      </c>
      <c r="K139" s="326" t="s">
        <v>681</v>
      </c>
      <c r="L139" s="323">
        <v>2201018</v>
      </c>
      <c r="M139" s="326" t="s">
        <v>682</v>
      </c>
      <c r="N139" s="323">
        <v>2201018</v>
      </c>
      <c r="O139" s="326" t="s">
        <v>682</v>
      </c>
      <c r="P139" s="435">
        <v>220101802</v>
      </c>
      <c r="Q139" s="326" t="s">
        <v>683</v>
      </c>
      <c r="R139" s="435">
        <v>220101802</v>
      </c>
      <c r="S139" s="326" t="s">
        <v>683</v>
      </c>
      <c r="T139" s="349" t="s">
        <v>1689</v>
      </c>
      <c r="U139" s="103">
        <v>1</v>
      </c>
      <c r="V139" s="103">
        <v>1</v>
      </c>
      <c r="W139" s="427" t="s">
        <v>684</v>
      </c>
      <c r="X139" s="324" t="s">
        <v>685</v>
      </c>
      <c r="Y139" s="326" t="s">
        <v>686</v>
      </c>
      <c r="Z139" s="419"/>
      <c r="AA139" s="419"/>
      <c r="AB139" s="419"/>
      <c r="AC139" s="419"/>
      <c r="AD139" s="419"/>
      <c r="AE139" s="419"/>
      <c r="AF139" s="419"/>
      <c r="AG139" s="419"/>
      <c r="AH139" s="419"/>
      <c r="AI139" s="419"/>
      <c r="AJ139" s="419"/>
      <c r="AK139" s="419"/>
      <c r="AL139" s="419"/>
      <c r="AM139" s="419"/>
      <c r="AN139" s="419"/>
      <c r="AO139" s="419"/>
      <c r="AP139" s="419"/>
      <c r="AQ139" s="419"/>
      <c r="AR139" s="419"/>
      <c r="AS139" s="419"/>
      <c r="AT139" s="419"/>
      <c r="AU139" s="419"/>
      <c r="AV139" s="419"/>
      <c r="AW139" s="419"/>
      <c r="AX139" s="419"/>
      <c r="AY139" s="419"/>
      <c r="AZ139" s="419"/>
      <c r="BA139" s="419"/>
      <c r="BB139" s="419"/>
      <c r="BC139" s="419"/>
      <c r="BD139" s="458">
        <f>6000000-6000000</f>
        <v>0</v>
      </c>
      <c r="BE139" s="458"/>
      <c r="BF139" s="458"/>
      <c r="BG139" s="419"/>
      <c r="BH139" s="419"/>
      <c r="BI139" s="419"/>
      <c r="BJ139" s="419"/>
      <c r="BK139" s="419"/>
      <c r="BL139" s="419"/>
      <c r="BM139" s="419"/>
      <c r="BN139" s="419"/>
      <c r="BO139" s="419"/>
      <c r="BP139" s="403">
        <f>+Z139+AC139+AF139+AI139+AL139+AO139+AR139+AU139+AX139+BA139+BD139+BG139+BJ139</f>
        <v>0</v>
      </c>
      <c r="BQ139" s="403">
        <f t="shared" si="63"/>
        <v>0</v>
      </c>
      <c r="BR139" s="403">
        <f t="shared" si="64"/>
        <v>0</v>
      </c>
      <c r="BS139" s="359" t="s">
        <v>1662</v>
      </c>
      <c r="BT139" s="5"/>
    </row>
    <row r="140" spans="1:72" ht="115.5" customHeight="1" x14ac:dyDescent="0.2">
      <c r="A140" s="327">
        <v>314</v>
      </c>
      <c r="B140" s="326" t="s">
        <v>1634</v>
      </c>
      <c r="C140" s="323">
        <v>1</v>
      </c>
      <c r="D140" s="326" t="s">
        <v>1622</v>
      </c>
      <c r="E140" s="323">
        <v>22</v>
      </c>
      <c r="F140" s="417" t="s">
        <v>156</v>
      </c>
      <c r="G140" s="323">
        <v>2201</v>
      </c>
      <c r="H140" s="326" t="s">
        <v>277</v>
      </c>
      <c r="I140" s="323">
        <v>2201</v>
      </c>
      <c r="J140" s="326" t="s">
        <v>1595</v>
      </c>
      <c r="K140" s="326" t="s">
        <v>687</v>
      </c>
      <c r="L140" s="323">
        <v>2201037</v>
      </c>
      <c r="M140" s="326" t="s">
        <v>688</v>
      </c>
      <c r="N140" s="323">
        <v>2201037</v>
      </c>
      <c r="O140" s="326" t="s">
        <v>688</v>
      </c>
      <c r="P140" s="466">
        <v>220103700</v>
      </c>
      <c r="Q140" s="443" t="s">
        <v>689</v>
      </c>
      <c r="R140" s="466">
        <v>220103700</v>
      </c>
      <c r="S140" s="443" t="s">
        <v>689</v>
      </c>
      <c r="T140" s="349" t="s">
        <v>1689</v>
      </c>
      <c r="U140" s="103">
        <v>54</v>
      </c>
      <c r="V140" s="103">
        <v>54</v>
      </c>
      <c r="W140" s="427" t="s">
        <v>684</v>
      </c>
      <c r="X140" s="324" t="s">
        <v>685</v>
      </c>
      <c r="Y140" s="326" t="s">
        <v>686</v>
      </c>
      <c r="Z140" s="419"/>
      <c r="AA140" s="419"/>
      <c r="AB140" s="419"/>
      <c r="AC140" s="419"/>
      <c r="AD140" s="419"/>
      <c r="AE140" s="419"/>
      <c r="AF140" s="419"/>
      <c r="AG140" s="419"/>
      <c r="AH140" s="419"/>
      <c r="AI140" s="419"/>
      <c r="AJ140" s="419"/>
      <c r="AK140" s="419"/>
      <c r="AL140" s="419"/>
      <c r="AM140" s="419"/>
      <c r="AN140" s="419"/>
      <c r="AO140" s="419"/>
      <c r="AP140" s="419"/>
      <c r="AQ140" s="419"/>
      <c r="AR140" s="419"/>
      <c r="AS140" s="419"/>
      <c r="AT140" s="419"/>
      <c r="AU140" s="419"/>
      <c r="AV140" s="419"/>
      <c r="AW140" s="419"/>
      <c r="AX140" s="419"/>
      <c r="AY140" s="419"/>
      <c r="AZ140" s="419"/>
      <c r="BA140" s="419"/>
      <c r="BB140" s="419"/>
      <c r="BC140" s="419"/>
      <c r="BD140" s="458">
        <v>10000000</v>
      </c>
      <c r="BE140" s="458">
        <v>9905167</v>
      </c>
      <c r="BF140" s="458">
        <v>2885000</v>
      </c>
      <c r="BG140" s="419"/>
      <c r="BH140" s="419"/>
      <c r="BI140" s="419"/>
      <c r="BJ140" s="419"/>
      <c r="BK140" s="419"/>
      <c r="BL140" s="419"/>
      <c r="BM140" s="419"/>
      <c r="BN140" s="419"/>
      <c r="BO140" s="419"/>
      <c r="BP140" s="403">
        <f t="shared" si="62"/>
        <v>10000000</v>
      </c>
      <c r="BQ140" s="403">
        <f t="shared" si="63"/>
        <v>9905167</v>
      </c>
      <c r="BR140" s="403">
        <f t="shared" si="64"/>
        <v>2885000</v>
      </c>
      <c r="BS140" s="359" t="s">
        <v>1662</v>
      </c>
      <c r="BT140" s="5"/>
    </row>
    <row r="141" spans="1:72" ht="218.25" customHeight="1" x14ac:dyDescent="0.2">
      <c r="A141" s="327">
        <v>314</v>
      </c>
      <c r="B141" s="326" t="s">
        <v>1634</v>
      </c>
      <c r="C141" s="323">
        <v>1</v>
      </c>
      <c r="D141" s="326" t="s">
        <v>1622</v>
      </c>
      <c r="E141" s="323">
        <v>22</v>
      </c>
      <c r="F141" s="417" t="s">
        <v>156</v>
      </c>
      <c r="G141" s="323">
        <v>2201</v>
      </c>
      <c r="H141" s="326" t="s">
        <v>277</v>
      </c>
      <c r="I141" s="323">
        <v>2201</v>
      </c>
      <c r="J141" s="326" t="s">
        <v>1595</v>
      </c>
      <c r="K141" s="326" t="s">
        <v>690</v>
      </c>
      <c r="L141" s="323">
        <v>2201007</v>
      </c>
      <c r="M141" s="326" t="s">
        <v>691</v>
      </c>
      <c r="N141" s="323">
        <v>2201073</v>
      </c>
      <c r="O141" s="326" t="s">
        <v>691</v>
      </c>
      <c r="P141" s="323">
        <v>220100700</v>
      </c>
      <c r="Q141" s="326" t="s">
        <v>692</v>
      </c>
      <c r="R141" s="435">
        <v>220107300</v>
      </c>
      <c r="S141" s="326" t="s">
        <v>692</v>
      </c>
      <c r="T141" s="349" t="s">
        <v>1691</v>
      </c>
      <c r="U141" s="103">
        <v>7774</v>
      </c>
      <c r="V141" s="103">
        <v>0</v>
      </c>
      <c r="W141" s="427" t="s">
        <v>693</v>
      </c>
      <c r="X141" s="324" t="s">
        <v>694</v>
      </c>
      <c r="Y141" s="326" t="s">
        <v>695</v>
      </c>
      <c r="Z141" s="419"/>
      <c r="AA141" s="419"/>
      <c r="AB141" s="419"/>
      <c r="AC141" s="419"/>
      <c r="AD141" s="419"/>
      <c r="AE141" s="419"/>
      <c r="AF141" s="419"/>
      <c r="AG141" s="419"/>
      <c r="AH141" s="419"/>
      <c r="AI141" s="419"/>
      <c r="AJ141" s="419"/>
      <c r="AK141" s="419"/>
      <c r="AL141" s="419"/>
      <c r="AM141" s="419"/>
      <c r="AN141" s="419"/>
      <c r="AO141" s="419"/>
      <c r="AP141" s="419"/>
      <c r="AQ141" s="419"/>
      <c r="AR141" s="419">
        <v>13838656.48</v>
      </c>
      <c r="AS141" s="419">
        <v>13834320</v>
      </c>
      <c r="AT141" s="419">
        <v>13834320</v>
      </c>
      <c r="AU141" s="419"/>
      <c r="AV141" s="419"/>
      <c r="AW141" s="419"/>
      <c r="AX141" s="419"/>
      <c r="AY141" s="419"/>
      <c r="AZ141" s="419"/>
      <c r="BA141" s="419"/>
      <c r="BB141" s="419"/>
      <c r="BC141" s="419"/>
      <c r="BD141" s="458">
        <v>19999999.989999998</v>
      </c>
      <c r="BE141" s="458">
        <v>17633672</v>
      </c>
      <c r="BF141" s="458">
        <v>0</v>
      </c>
      <c r="BG141" s="419"/>
      <c r="BH141" s="419"/>
      <c r="BI141" s="419"/>
      <c r="BJ141" s="419"/>
      <c r="BK141" s="419"/>
      <c r="BL141" s="419"/>
      <c r="BM141" s="419"/>
      <c r="BN141" s="419"/>
      <c r="BO141" s="419"/>
      <c r="BP141" s="403">
        <f t="shared" si="62"/>
        <v>33838656.469999999</v>
      </c>
      <c r="BQ141" s="403">
        <f t="shared" si="63"/>
        <v>31467992</v>
      </c>
      <c r="BR141" s="403">
        <f t="shared" si="64"/>
        <v>13834320</v>
      </c>
      <c r="BS141" s="359" t="s">
        <v>1662</v>
      </c>
      <c r="BT141" s="5"/>
    </row>
    <row r="142" spans="1:72" s="2" customFormat="1" ht="138.75" customHeight="1" x14ac:dyDescent="0.2">
      <c r="A142" s="327">
        <v>314</v>
      </c>
      <c r="B142" s="326" t="s">
        <v>1634</v>
      </c>
      <c r="C142" s="323">
        <v>1</v>
      </c>
      <c r="D142" s="326" t="s">
        <v>1622</v>
      </c>
      <c r="E142" s="323">
        <v>22</v>
      </c>
      <c r="F142" s="417" t="s">
        <v>156</v>
      </c>
      <c r="G142" s="323">
        <v>2201</v>
      </c>
      <c r="H142" s="326" t="s">
        <v>277</v>
      </c>
      <c r="I142" s="323">
        <v>2201</v>
      </c>
      <c r="J142" s="326" t="s">
        <v>1595</v>
      </c>
      <c r="K142" s="326" t="s">
        <v>696</v>
      </c>
      <c r="L142" s="323">
        <v>2201068</v>
      </c>
      <c r="M142" s="326" t="s">
        <v>279</v>
      </c>
      <c r="N142" s="323">
        <v>2201068</v>
      </c>
      <c r="O142" s="326" t="s">
        <v>279</v>
      </c>
      <c r="P142" s="466">
        <v>220106800</v>
      </c>
      <c r="Q142" s="443" t="s">
        <v>280</v>
      </c>
      <c r="R142" s="466">
        <v>220106800</v>
      </c>
      <c r="S142" s="443" t="s">
        <v>280</v>
      </c>
      <c r="T142" s="349" t="s">
        <v>1691</v>
      </c>
      <c r="U142" s="323">
        <v>70</v>
      </c>
      <c r="V142" s="323">
        <v>67</v>
      </c>
      <c r="W142" s="427" t="s">
        <v>693</v>
      </c>
      <c r="X142" s="324" t="s">
        <v>694</v>
      </c>
      <c r="Y142" s="326" t="s">
        <v>695</v>
      </c>
      <c r="Z142" s="419"/>
      <c r="AA142" s="419"/>
      <c r="AB142" s="419"/>
      <c r="AC142" s="419"/>
      <c r="AD142" s="419"/>
      <c r="AE142" s="419"/>
      <c r="AF142" s="419">
        <v>0</v>
      </c>
      <c r="AG142" s="419"/>
      <c r="AH142" s="419"/>
      <c r="AI142" s="419">
        <v>0</v>
      </c>
      <c r="AJ142" s="419"/>
      <c r="AK142" s="419"/>
      <c r="AL142" s="419">
        <v>0</v>
      </c>
      <c r="AM142" s="419"/>
      <c r="AN142" s="419"/>
      <c r="AO142" s="419">
        <v>0</v>
      </c>
      <c r="AP142" s="419"/>
      <c r="AQ142" s="419"/>
      <c r="AR142" s="419">
        <v>0</v>
      </c>
      <c r="AS142" s="419"/>
      <c r="AT142" s="419"/>
      <c r="AU142" s="419">
        <v>0</v>
      </c>
      <c r="AV142" s="419"/>
      <c r="AW142" s="419"/>
      <c r="AX142" s="419">
        <v>0</v>
      </c>
      <c r="AY142" s="419"/>
      <c r="AZ142" s="419"/>
      <c r="BA142" s="419">
        <v>0</v>
      </c>
      <c r="BB142" s="419"/>
      <c r="BC142" s="419"/>
      <c r="BD142" s="424">
        <v>18000000</v>
      </c>
      <c r="BE142" s="424">
        <v>17310000</v>
      </c>
      <c r="BF142" s="424">
        <v>8655000</v>
      </c>
      <c r="BG142" s="419">
        <v>0</v>
      </c>
      <c r="BH142" s="419"/>
      <c r="BI142" s="419"/>
      <c r="BJ142" s="419">
        <v>0</v>
      </c>
      <c r="BK142" s="419"/>
      <c r="BL142" s="419"/>
      <c r="BM142" s="419"/>
      <c r="BN142" s="419"/>
      <c r="BO142" s="419"/>
      <c r="BP142" s="403">
        <f t="shared" ref="BP142" si="65">+Z142+AC142+AF142+AI142+AL142+AO142+AR142+AU142+AX142+BA142+BD142+BG142+BJ142</f>
        <v>18000000</v>
      </c>
      <c r="BQ142" s="403">
        <f>+AA142+AD142+AG142+AJ142+AM142+AP142+AS142+AV142+AY142+BB142+BE142+BH142+BK142</f>
        <v>17310000</v>
      </c>
      <c r="BR142" s="403">
        <f t="shared" ref="BR142:BR144" si="66">+AB142+AE142+AH142+AK142+AN142+AQ142+AT142+AW142+AZ142+BC142+BF142+BI142+BL142</f>
        <v>8655000</v>
      </c>
      <c r="BS142" s="359" t="s">
        <v>1662</v>
      </c>
      <c r="BT142" s="5"/>
    </row>
    <row r="143" spans="1:72" ht="74.25" customHeight="1" x14ac:dyDescent="0.2">
      <c r="A143" s="327">
        <v>314</v>
      </c>
      <c r="B143" s="326" t="s">
        <v>1634</v>
      </c>
      <c r="C143" s="323">
        <v>1</v>
      </c>
      <c r="D143" s="326" t="s">
        <v>1622</v>
      </c>
      <c r="E143" s="323">
        <v>22</v>
      </c>
      <c r="F143" s="417" t="s">
        <v>156</v>
      </c>
      <c r="G143" s="323">
        <v>2201</v>
      </c>
      <c r="H143" s="326" t="s">
        <v>277</v>
      </c>
      <c r="I143" s="323">
        <v>2201</v>
      </c>
      <c r="J143" s="326" t="s">
        <v>1595</v>
      </c>
      <c r="K143" s="326" t="s">
        <v>676</v>
      </c>
      <c r="L143" s="323">
        <v>2201026</v>
      </c>
      <c r="M143" s="326" t="s">
        <v>697</v>
      </c>
      <c r="N143" s="323">
        <v>2201026</v>
      </c>
      <c r="O143" s="326" t="s">
        <v>697</v>
      </c>
      <c r="P143" s="466">
        <v>220102600</v>
      </c>
      <c r="Q143" s="326" t="s">
        <v>698</v>
      </c>
      <c r="R143" s="466">
        <v>220102600</v>
      </c>
      <c r="S143" s="326" t="s">
        <v>698</v>
      </c>
      <c r="T143" s="349" t="s">
        <v>1691</v>
      </c>
      <c r="U143" s="103">
        <v>17</v>
      </c>
      <c r="V143" s="103">
        <v>1</v>
      </c>
      <c r="W143" s="427" t="s">
        <v>693</v>
      </c>
      <c r="X143" s="324" t="s">
        <v>694</v>
      </c>
      <c r="Y143" s="326" t="s">
        <v>695</v>
      </c>
      <c r="Z143" s="419"/>
      <c r="AA143" s="419"/>
      <c r="AB143" s="419"/>
      <c r="AC143" s="419"/>
      <c r="AD143" s="419"/>
      <c r="AE143" s="419"/>
      <c r="AF143" s="419"/>
      <c r="AG143" s="419"/>
      <c r="AH143" s="419"/>
      <c r="AI143" s="419"/>
      <c r="AJ143" s="419"/>
      <c r="AK143" s="419"/>
      <c r="AL143" s="419"/>
      <c r="AM143" s="419"/>
      <c r="AN143" s="419"/>
      <c r="AO143" s="419"/>
      <c r="AP143" s="419"/>
      <c r="AQ143" s="419"/>
      <c r="AR143" s="419">
        <f>25000000-23405003</f>
        <v>1594997</v>
      </c>
      <c r="AS143" s="419"/>
      <c r="AT143" s="419"/>
      <c r="AU143" s="419"/>
      <c r="AV143" s="419"/>
      <c r="AW143" s="419"/>
      <c r="AX143" s="419"/>
      <c r="AY143" s="419"/>
      <c r="AZ143" s="419"/>
      <c r="BA143" s="419"/>
      <c r="BB143" s="419"/>
      <c r="BC143" s="419"/>
      <c r="BD143" s="424">
        <v>18000000</v>
      </c>
      <c r="BE143" s="424">
        <v>1969000</v>
      </c>
      <c r="BF143" s="424">
        <v>1969000</v>
      </c>
      <c r="BG143" s="419"/>
      <c r="BH143" s="419"/>
      <c r="BI143" s="419"/>
      <c r="BJ143" s="419"/>
      <c r="BK143" s="419"/>
      <c r="BL143" s="419"/>
      <c r="BM143" s="419"/>
      <c r="BN143" s="419"/>
      <c r="BO143" s="419"/>
      <c r="BP143" s="403">
        <f>+Z143+AC143+AF143+AI143+AL143+AO143+AR143+AU143+AX143+BA143+BD143+BG143+BJ143</f>
        <v>19594997</v>
      </c>
      <c r="BQ143" s="403">
        <f>+AA143+AD143+AG143+AJ143+AM143+AP143+AS143+AV143+AY143+BB143+BE143+BH143+BK143</f>
        <v>1969000</v>
      </c>
      <c r="BR143" s="403">
        <f>+AB143+AE143+AH143+AK143+AN143+AQ143+AT143+AW143+AZ143+BC143+BF143+BI143+BL143</f>
        <v>1969000</v>
      </c>
      <c r="BS143" s="359" t="s">
        <v>1662</v>
      </c>
      <c r="BT143" s="5"/>
    </row>
    <row r="144" spans="1:72" ht="116.25" customHeight="1" x14ac:dyDescent="0.2">
      <c r="A144" s="327">
        <v>314</v>
      </c>
      <c r="B144" s="326" t="s">
        <v>1634</v>
      </c>
      <c r="C144" s="323">
        <v>1</v>
      </c>
      <c r="D144" s="326" t="s">
        <v>1622</v>
      </c>
      <c r="E144" s="323">
        <v>22</v>
      </c>
      <c r="F144" s="417" t="s">
        <v>156</v>
      </c>
      <c r="G144" s="323">
        <v>2201</v>
      </c>
      <c r="H144" s="326" t="s">
        <v>277</v>
      </c>
      <c r="I144" s="323">
        <v>2201</v>
      </c>
      <c r="J144" s="326" t="s">
        <v>1595</v>
      </c>
      <c r="K144" s="326" t="s">
        <v>690</v>
      </c>
      <c r="L144" s="323">
        <v>2201009</v>
      </c>
      <c r="M144" s="326" t="s">
        <v>699</v>
      </c>
      <c r="N144" s="323">
        <v>2201074</v>
      </c>
      <c r="O144" s="326" t="s">
        <v>699</v>
      </c>
      <c r="P144" s="323">
        <v>220100900</v>
      </c>
      <c r="Q144" s="326" t="s">
        <v>700</v>
      </c>
      <c r="R144" s="435">
        <v>220107400</v>
      </c>
      <c r="S144" s="326" t="s">
        <v>701</v>
      </c>
      <c r="T144" s="349" t="s">
        <v>1691</v>
      </c>
      <c r="U144" s="103">
        <v>606</v>
      </c>
      <c r="V144" s="103">
        <v>454</v>
      </c>
      <c r="W144" s="427" t="s">
        <v>693</v>
      </c>
      <c r="X144" s="324" t="s">
        <v>694</v>
      </c>
      <c r="Y144" s="326" t="s">
        <v>695</v>
      </c>
      <c r="Z144" s="419"/>
      <c r="AA144" s="419"/>
      <c r="AB144" s="419"/>
      <c r="AC144" s="419"/>
      <c r="AD144" s="419"/>
      <c r="AE144" s="419"/>
      <c r="AF144" s="419"/>
      <c r="AG144" s="419"/>
      <c r="AH144" s="419"/>
      <c r="AI144" s="419"/>
      <c r="AJ144" s="419"/>
      <c r="AK144" s="419"/>
      <c r="AL144" s="419"/>
      <c r="AM144" s="419"/>
      <c r="AN144" s="419"/>
      <c r="AO144" s="419"/>
      <c r="AP144" s="419"/>
      <c r="AQ144" s="419"/>
      <c r="AR144" s="419"/>
      <c r="AS144" s="419"/>
      <c r="AT144" s="419"/>
      <c r="AU144" s="419"/>
      <c r="AV144" s="419"/>
      <c r="AW144" s="419"/>
      <c r="AX144" s="419"/>
      <c r="AY144" s="419"/>
      <c r="AZ144" s="419"/>
      <c r="BA144" s="419"/>
      <c r="BB144" s="419"/>
      <c r="BC144" s="419"/>
      <c r="BD144" s="458">
        <v>19999999.989999998</v>
      </c>
      <c r="BE144" s="458"/>
      <c r="BF144" s="458"/>
      <c r="BG144" s="419"/>
      <c r="BH144" s="419"/>
      <c r="BI144" s="419"/>
      <c r="BJ144" s="419"/>
      <c r="BK144" s="419"/>
      <c r="BL144" s="419"/>
      <c r="BM144" s="419"/>
      <c r="BN144" s="419"/>
      <c r="BO144" s="419"/>
      <c r="BP144" s="403">
        <f>+Z144+AC144+AF144+AI144+AL144+AO144+AR144+AU144+AX144+BA144+BD144+BG144+BJ144</f>
        <v>19999999.989999998</v>
      </c>
      <c r="BQ144" s="403">
        <f t="shared" ref="BQ144" si="67">+AA144+AD144+AG144+AJ144+AM144+AP144+AS144+AV144+AY144+BB144+BE144+BH144+BK144</f>
        <v>0</v>
      </c>
      <c r="BR144" s="403">
        <f t="shared" si="66"/>
        <v>0</v>
      </c>
      <c r="BS144" s="359" t="s">
        <v>1662</v>
      </c>
      <c r="BT144" s="5"/>
    </row>
    <row r="145" spans="1:72" ht="162.75" customHeight="1" x14ac:dyDescent="0.2">
      <c r="A145" s="327">
        <v>314</v>
      </c>
      <c r="B145" s="326" t="s">
        <v>1634</v>
      </c>
      <c r="C145" s="323">
        <v>1</v>
      </c>
      <c r="D145" s="326" t="s">
        <v>1622</v>
      </c>
      <c r="E145" s="323">
        <v>22</v>
      </c>
      <c r="F145" s="417" t="s">
        <v>156</v>
      </c>
      <c r="G145" s="323">
        <v>2201</v>
      </c>
      <c r="H145" s="326" t="s">
        <v>277</v>
      </c>
      <c r="I145" s="323">
        <v>2201</v>
      </c>
      <c r="J145" s="326" t="s">
        <v>1595</v>
      </c>
      <c r="K145" s="326" t="s">
        <v>690</v>
      </c>
      <c r="L145" s="323">
        <v>2201010</v>
      </c>
      <c r="M145" s="326" t="s">
        <v>702</v>
      </c>
      <c r="N145" s="323">
        <v>2201074</v>
      </c>
      <c r="O145" s="326" t="s">
        <v>703</v>
      </c>
      <c r="P145" s="323">
        <v>220101000</v>
      </c>
      <c r="Q145" s="326" t="s">
        <v>704</v>
      </c>
      <c r="R145" s="435">
        <v>220107400</v>
      </c>
      <c r="S145" s="326" t="s">
        <v>701</v>
      </c>
      <c r="T145" s="349" t="s">
        <v>1689</v>
      </c>
      <c r="U145" s="103">
        <v>94</v>
      </c>
      <c r="V145" s="103">
        <v>94</v>
      </c>
      <c r="W145" s="427" t="s">
        <v>693</v>
      </c>
      <c r="X145" s="324" t="s">
        <v>694</v>
      </c>
      <c r="Y145" s="326" t="s">
        <v>695</v>
      </c>
      <c r="Z145" s="419"/>
      <c r="AA145" s="419"/>
      <c r="AB145" s="419"/>
      <c r="AC145" s="419"/>
      <c r="AD145" s="419"/>
      <c r="AE145" s="419"/>
      <c r="AF145" s="419"/>
      <c r="AG145" s="419"/>
      <c r="AH145" s="419"/>
      <c r="AI145" s="419"/>
      <c r="AJ145" s="419"/>
      <c r="AK145" s="419"/>
      <c r="AL145" s="419"/>
      <c r="AM145" s="419"/>
      <c r="AN145" s="419"/>
      <c r="AO145" s="419"/>
      <c r="AP145" s="419"/>
      <c r="AQ145" s="419"/>
      <c r="AR145" s="419"/>
      <c r="AS145" s="419"/>
      <c r="AT145" s="419"/>
      <c r="AU145" s="419"/>
      <c r="AV145" s="419"/>
      <c r="AW145" s="419"/>
      <c r="AX145" s="419"/>
      <c r="AY145" s="419"/>
      <c r="AZ145" s="419"/>
      <c r="BA145" s="419"/>
      <c r="BB145" s="419"/>
      <c r="BC145" s="419"/>
      <c r="BD145" s="458">
        <v>20000000</v>
      </c>
      <c r="BE145" s="458"/>
      <c r="BF145" s="458"/>
      <c r="BG145" s="419"/>
      <c r="BH145" s="419"/>
      <c r="BI145" s="419"/>
      <c r="BJ145" s="419"/>
      <c r="BK145" s="419"/>
      <c r="BL145" s="419"/>
      <c r="BM145" s="419"/>
      <c r="BN145" s="419"/>
      <c r="BO145" s="419"/>
      <c r="BP145" s="403">
        <f t="shared" ref="BP145" si="68">+Z145+AC145+AF145+AI145+AL145+AO145+AR145+AU145+AX145+BA145+BD145+BG145+BJ145</f>
        <v>20000000</v>
      </c>
      <c r="BQ145" s="403">
        <f t="shared" ref="BQ145:BQ162" si="69">+AA145+AD145+AG145+AJ145+AM145+AP145+AS145+AV145+AY145+BB145+BE145+BH145+BK145</f>
        <v>0</v>
      </c>
      <c r="BR145" s="403">
        <f t="shared" ref="BR145:BR162" si="70">+AB145+AE145+AH145+AK145+AN145+AQ145+AT145+AW145+AZ145+BC145+BF145+BI145+BL145</f>
        <v>0</v>
      </c>
      <c r="BS145" s="359" t="s">
        <v>1662</v>
      </c>
      <c r="BT145" s="5"/>
    </row>
    <row r="146" spans="1:72" ht="129.75" customHeight="1" x14ac:dyDescent="0.2">
      <c r="A146" s="327">
        <v>314</v>
      </c>
      <c r="B146" s="326" t="s">
        <v>1634</v>
      </c>
      <c r="C146" s="323">
        <v>1</v>
      </c>
      <c r="D146" s="326" t="s">
        <v>1622</v>
      </c>
      <c r="E146" s="323">
        <v>22</v>
      </c>
      <c r="F146" s="417" t="s">
        <v>156</v>
      </c>
      <c r="G146" s="323">
        <v>2201</v>
      </c>
      <c r="H146" s="326" t="s">
        <v>277</v>
      </c>
      <c r="I146" s="323">
        <v>2201</v>
      </c>
      <c r="J146" s="326" t="s">
        <v>1595</v>
      </c>
      <c r="K146" s="326" t="s">
        <v>705</v>
      </c>
      <c r="L146" s="323">
        <v>2201035</v>
      </c>
      <c r="M146" s="326" t="s">
        <v>706</v>
      </c>
      <c r="N146" s="323">
        <v>2201035</v>
      </c>
      <c r="O146" s="326" t="s">
        <v>706</v>
      </c>
      <c r="P146" s="435">
        <v>220103500</v>
      </c>
      <c r="Q146" s="326" t="s">
        <v>707</v>
      </c>
      <c r="R146" s="435">
        <v>220103500</v>
      </c>
      <c r="S146" s="324" t="s">
        <v>707</v>
      </c>
      <c r="T146" s="349" t="s">
        <v>1691</v>
      </c>
      <c r="U146" s="103">
        <v>8</v>
      </c>
      <c r="V146" s="103">
        <v>11</v>
      </c>
      <c r="W146" s="427" t="s">
        <v>693</v>
      </c>
      <c r="X146" s="324" t="s">
        <v>694</v>
      </c>
      <c r="Y146" s="326" t="s">
        <v>695</v>
      </c>
      <c r="Z146" s="419"/>
      <c r="AA146" s="419"/>
      <c r="AB146" s="419"/>
      <c r="AC146" s="419"/>
      <c r="AD146" s="419"/>
      <c r="AE146" s="419"/>
      <c r="AF146" s="419"/>
      <c r="AG146" s="419"/>
      <c r="AH146" s="419"/>
      <c r="AI146" s="419"/>
      <c r="AJ146" s="419"/>
      <c r="AK146" s="419"/>
      <c r="AL146" s="419"/>
      <c r="AM146" s="419"/>
      <c r="AN146" s="419"/>
      <c r="AO146" s="419"/>
      <c r="AP146" s="419"/>
      <c r="AQ146" s="419"/>
      <c r="AR146" s="419"/>
      <c r="AS146" s="419"/>
      <c r="AT146" s="419"/>
      <c r="AU146" s="419"/>
      <c r="AV146" s="419"/>
      <c r="AW146" s="419"/>
      <c r="AX146" s="419"/>
      <c r="AY146" s="419"/>
      <c r="AZ146" s="419"/>
      <c r="BA146" s="419"/>
      <c r="BB146" s="419"/>
      <c r="BC146" s="419"/>
      <c r="BD146" s="458">
        <v>10000000</v>
      </c>
      <c r="BE146" s="458">
        <v>10000000</v>
      </c>
      <c r="BF146" s="458">
        <v>10000000</v>
      </c>
      <c r="BG146" s="419"/>
      <c r="BH146" s="419"/>
      <c r="BI146" s="419"/>
      <c r="BJ146" s="419"/>
      <c r="BK146" s="419"/>
      <c r="BL146" s="419"/>
      <c r="BM146" s="419"/>
      <c r="BN146" s="419"/>
      <c r="BO146" s="419"/>
      <c r="BP146" s="403">
        <f>+Z146+AC146+AF146+AI146+AL146+AO146+AR146+AU146+AX146+BA146+BD146+BG146+BJ146</f>
        <v>10000000</v>
      </c>
      <c r="BQ146" s="403">
        <f>+AA146+AD146+AG146+AJ146+AM146+AP146+AS146+AV146+AY146+BB146+BE146+BH146+BK146</f>
        <v>10000000</v>
      </c>
      <c r="BR146" s="403">
        <f>+AB146+AE146+AH146+AK146+AN146+AQ146+AT146+AW146+AZ146+BC146+BF146+BI146+BL146</f>
        <v>10000000</v>
      </c>
      <c r="BS146" s="359" t="s">
        <v>1662</v>
      </c>
      <c r="BT146" s="5"/>
    </row>
    <row r="147" spans="1:72" ht="121.5" customHeight="1" x14ac:dyDescent="0.2">
      <c r="A147" s="327">
        <v>314</v>
      </c>
      <c r="B147" s="326" t="s">
        <v>1634</v>
      </c>
      <c r="C147" s="323">
        <v>1</v>
      </c>
      <c r="D147" s="326" t="s">
        <v>1622</v>
      </c>
      <c r="E147" s="323">
        <v>22</v>
      </c>
      <c r="F147" s="417" t="s">
        <v>156</v>
      </c>
      <c r="G147" s="323">
        <v>2201</v>
      </c>
      <c r="H147" s="326" t="s">
        <v>277</v>
      </c>
      <c r="I147" s="323">
        <v>2201</v>
      </c>
      <c r="J147" s="326" t="s">
        <v>1595</v>
      </c>
      <c r="K147" s="326" t="s">
        <v>667</v>
      </c>
      <c r="L147" s="323">
        <v>2201046</v>
      </c>
      <c r="M147" s="326" t="s">
        <v>708</v>
      </c>
      <c r="N147" s="323">
        <v>2201046</v>
      </c>
      <c r="O147" s="326" t="s">
        <v>708</v>
      </c>
      <c r="P147" s="466">
        <v>220104602</v>
      </c>
      <c r="Q147" s="326" t="s">
        <v>709</v>
      </c>
      <c r="R147" s="466">
        <v>220104602</v>
      </c>
      <c r="S147" s="326" t="s">
        <v>709</v>
      </c>
      <c r="T147" s="349" t="s">
        <v>1691</v>
      </c>
      <c r="U147" s="103">
        <v>13</v>
      </c>
      <c r="V147" s="103">
        <v>0</v>
      </c>
      <c r="W147" s="427" t="s">
        <v>693</v>
      </c>
      <c r="X147" s="324" t="s">
        <v>694</v>
      </c>
      <c r="Y147" s="326" t="s">
        <v>695</v>
      </c>
      <c r="Z147" s="419"/>
      <c r="AA147" s="419"/>
      <c r="AB147" s="419"/>
      <c r="AC147" s="419"/>
      <c r="AD147" s="419"/>
      <c r="AE147" s="419"/>
      <c r="AF147" s="419"/>
      <c r="AG147" s="419"/>
      <c r="AH147" s="419"/>
      <c r="AI147" s="403"/>
      <c r="AJ147" s="403"/>
      <c r="AK147" s="403"/>
      <c r="AL147" s="419"/>
      <c r="AM147" s="419"/>
      <c r="AN147" s="419"/>
      <c r="AO147" s="419"/>
      <c r="AP147" s="419"/>
      <c r="AQ147" s="419"/>
      <c r="AR147" s="419"/>
      <c r="AS147" s="419"/>
      <c r="AT147" s="419"/>
      <c r="AU147" s="419"/>
      <c r="AV147" s="419"/>
      <c r="AW147" s="419"/>
      <c r="AX147" s="419"/>
      <c r="AY147" s="419"/>
      <c r="AZ147" s="419"/>
      <c r="BA147" s="419"/>
      <c r="BB147" s="419"/>
      <c r="BC147" s="419"/>
      <c r="BD147" s="424">
        <v>10000000.01</v>
      </c>
      <c r="BE147" s="424"/>
      <c r="BF147" s="424"/>
      <c r="BG147" s="419"/>
      <c r="BH147" s="419"/>
      <c r="BI147" s="419"/>
      <c r="BJ147" s="419"/>
      <c r="BK147" s="419"/>
      <c r="BL147" s="419"/>
      <c r="BM147" s="419"/>
      <c r="BN147" s="419"/>
      <c r="BO147" s="419"/>
      <c r="BP147" s="403">
        <f t="shared" ref="BP147:BP162" si="71">+Z147+AC147+AF147+AI147+AL147+AO147+AR147+AU147+AX147+BA147+BD147+BG147+BJ147</f>
        <v>10000000.01</v>
      </c>
      <c r="BQ147" s="403">
        <f t="shared" si="69"/>
        <v>0</v>
      </c>
      <c r="BR147" s="403">
        <f t="shared" si="70"/>
        <v>0</v>
      </c>
      <c r="BS147" s="359" t="s">
        <v>1662</v>
      </c>
      <c r="BT147" s="5"/>
    </row>
    <row r="148" spans="1:72" ht="131.25" customHeight="1" x14ac:dyDescent="0.2">
      <c r="A148" s="327">
        <v>314</v>
      </c>
      <c r="B148" s="326" t="s">
        <v>1634</v>
      </c>
      <c r="C148" s="323">
        <v>1</v>
      </c>
      <c r="D148" s="326" t="s">
        <v>1622</v>
      </c>
      <c r="E148" s="323">
        <v>22</v>
      </c>
      <c r="F148" s="417" t="s">
        <v>156</v>
      </c>
      <c r="G148" s="323">
        <v>2201</v>
      </c>
      <c r="H148" s="326" t="s">
        <v>277</v>
      </c>
      <c r="I148" s="323">
        <v>2201</v>
      </c>
      <c r="J148" s="326" t="s">
        <v>1595</v>
      </c>
      <c r="K148" s="326" t="s">
        <v>667</v>
      </c>
      <c r="L148" s="323">
        <v>2201054</v>
      </c>
      <c r="M148" s="326" t="s">
        <v>710</v>
      </c>
      <c r="N148" s="323">
        <v>2201054</v>
      </c>
      <c r="O148" s="326" t="s">
        <v>710</v>
      </c>
      <c r="P148" s="435">
        <v>220105400</v>
      </c>
      <c r="Q148" s="326" t="s">
        <v>711</v>
      </c>
      <c r="R148" s="435">
        <v>220105400</v>
      </c>
      <c r="S148" s="326" t="s">
        <v>711</v>
      </c>
      <c r="T148" s="349" t="s">
        <v>1689</v>
      </c>
      <c r="U148" s="103">
        <v>11</v>
      </c>
      <c r="V148" s="103">
        <v>3</v>
      </c>
      <c r="W148" s="427" t="s">
        <v>693</v>
      </c>
      <c r="X148" s="324" t="s">
        <v>694</v>
      </c>
      <c r="Y148" s="326" t="s">
        <v>695</v>
      </c>
      <c r="Z148" s="419"/>
      <c r="AA148" s="419"/>
      <c r="AB148" s="419"/>
      <c r="AC148" s="419"/>
      <c r="AD148" s="419"/>
      <c r="AE148" s="419"/>
      <c r="AF148" s="419"/>
      <c r="AG148" s="419"/>
      <c r="AH148" s="419"/>
      <c r="AI148" s="419"/>
      <c r="AJ148" s="419"/>
      <c r="AK148" s="419"/>
      <c r="AL148" s="419"/>
      <c r="AM148" s="419"/>
      <c r="AN148" s="419"/>
      <c r="AO148" s="419"/>
      <c r="AP148" s="419"/>
      <c r="AQ148" s="419"/>
      <c r="AR148" s="419"/>
      <c r="AS148" s="419"/>
      <c r="AT148" s="419"/>
      <c r="AU148" s="419"/>
      <c r="AV148" s="419"/>
      <c r="AW148" s="419"/>
      <c r="AX148" s="419"/>
      <c r="AY148" s="419"/>
      <c r="AZ148" s="419"/>
      <c r="BA148" s="419"/>
      <c r="BB148" s="419"/>
      <c r="BC148" s="419"/>
      <c r="BD148" s="458">
        <v>10000000.01</v>
      </c>
      <c r="BE148" s="458">
        <v>9905167</v>
      </c>
      <c r="BF148" s="458">
        <v>9905167</v>
      </c>
      <c r="BG148" s="419"/>
      <c r="BH148" s="419"/>
      <c r="BI148" s="419"/>
      <c r="BJ148" s="419"/>
      <c r="BK148" s="419"/>
      <c r="BL148" s="419"/>
      <c r="BM148" s="419"/>
      <c r="BN148" s="419"/>
      <c r="BO148" s="419"/>
      <c r="BP148" s="403">
        <f t="shared" si="71"/>
        <v>10000000.01</v>
      </c>
      <c r="BQ148" s="403">
        <f>+AA148+AD148+AG148+AJ148+AM148+AP148+AS148+AV148+AY148+BB148+BE148+BH148+BK148</f>
        <v>9905167</v>
      </c>
      <c r="BR148" s="403">
        <f t="shared" si="70"/>
        <v>9905167</v>
      </c>
      <c r="BS148" s="359" t="s">
        <v>1662</v>
      </c>
      <c r="BT148" s="5"/>
    </row>
    <row r="149" spans="1:72" ht="121.5" customHeight="1" x14ac:dyDescent="0.2">
      <c r="A149" s="327">
        <v>314</v>
      </c>
      <c r="B149" s="326" t="s">
        <v>1634</v>
      </c>
      <c r="C149" s="323">
        <v>1</v>
      </c>
      <c r="D149" s="326" t="s">
        <v>1622</v>
      </c>
      <c r="E149" s="323">
        <v>22</v>
      </c>
      <c r="F149" s="417" t="s">
        <v>156</v>
      </c>
      <c r="G149" s="323">
        <v>2201</v>
      </c>
      <c r="H149" s="326" t="s">
        <v>277</v>
      </c>
      <c r="I149" s="323">
        <v>2201</v>
      </c>
      <c r="J149" s="326" t="s">
        <v>1595</v>
      </c>
      <c r="K149" s="326" t="s">
        <v>664</v>
      </c>
      <c r="L149" s="323">
        <v>2201061</v>
      </c>
      <c r="M149" s="326" t="s">
        <v>712</v>
      </c>
      <c r="N149" s="323">
        <v>2201061</v>
      </c>
      <c r="O149" s="326" t="s">
        <v>712</v>
      </c>
      <c r="P149" s="435">
        <v>220106102</v>
      </c>
      <c r="Q149" s="326" t="s">
        <v>713</v>
      </c>
      <c r="R149" s="435">
        <v>220106102</v>
      </c>
      <c r="S149" s="326" t="s">
        <v>713</v>
      </c>
      <c r="T149" s="349" t="s">
        <v>1691</v>
      </c>
      <c r="U149" s="103">
        <v>12</v>
      </c>
      <c r="V149" s="103">
        <v>0</v>
      </c>
      <c r="W149" s="427" t="s">
        <v>693</v>
      </c>
      <c r="X149" s="324" t="s">
        <v>694</v>
      </c>
      <c r="Y149" s="326" t="s">
        <v>695</v>
      </c>
      <c r="Z149" s="419"/>
      <c r="AA149" s="419"/>
      <c r="AB149" s="419"/>
      <c r="AC149" s="419"/>
      <c r="AD149" s="419"/>
      <c r="AE149" s="419"/>
      <c r="AF149" s="419"/>
      <c r="AG149" s="419"/>
      <c r="AH149" s="419"/>
      <c r="AI149" s="419"/>
      <c r="AJ149" s="419"/>
      <c r="AK149" s="419"/>
      <c r="AL149" s="419"/>
      <c r="AM149" s="419"/>
      <c r="AN149" s="419"/>
      <c r="AO149" s="419"/>
      <c r="AP149" s="419"/>
      <c r="AQ149" s="419"/>
      <c r="AR149" s="419"/>
      <c r="AS149" s="419"/>
      <c r="AT149" s="419"/>
      <c r="AU149" s="419"/>
      <c r="AV149" s="419"/>
      <c r="AW149" s="419"/>
      <c r="AX149" s="419"/>
      <c r="AY149" s="419"/>
      <c r="AZ149" s="419"/>
      <c r="BA149" s="419"/>
      <c r="BB149" s="419"/>
      <c r="BC149" s="419"/>
      <c r="BD149" s="458">
        <v>10000000</v>
      </c>
      <c r="BE149" s="458"/>
      <c r="BF149" s="458"/>
      <c r="BG149" s="419"/>
      <c r="BH149" s="419"/>
      <c r="BI149" s="419"/>
      <c r="BJ149" s="419"/>
      <c r="BK149" s="419"/>
      <c r="BL149" s="419"/>
      <c r="BM149" s="419"/>
      <c r="BN149" s="419"/>
      <c r="BO149" s="419"/>
      <c r="BP149" s="403">
        <f t="shared" si="71"/>
        <v>10000000</v>
      </c>
      <c r="BQ149" s="403">
        <f t="shared" si="69"/>
        <v>0</v>
      </c>
      <c r="BR149" s="403">
        <f t="shared" si="70"/>
        <v>0</v>
      </c>
      <c r="BS149" s="359" t="s">
        <v>1662</v>
      </c>
      <c r="BT149" s="5"/>
    </row>
    <row r="150" spans="1:72" ht="137.25" customHeight="1" x14ac:dyDescent="0.2">
      <c r="A150" s="327">
        <v>314</v>
      </c>
      <c r="B150" s="326" t="s">
        <v>1634</v>
      </c>
      <c r="C150" s="323">
        <v>1</v>
      </c>
      <c r="D150" s="326" t="s">
        <v>1622</v>
      </c>
      <c r="E150" s="323">
        <v>22</v>
      </c>
      <c r="F150" s="417" t="s">
        <v>156</v>
      </c>
      <c r="G150" s="323">
        <v>2201</v>
      </c>
      <c r="H150" s="326" t="s">
        <v>277</v>
      </c>
      <c r="I150" s="323">
        <v>2201</v>
      </c>
      <c r="J150" s="326" t="s">
        <v>1595</v>
      </c>
      <c r="K150" s="326" t="s">
        <v>664</v>
      </c>
      <c r="L150" s="323">
        <v>2201066</v>
      </c>
      <c r="M150" s="326" t="s">
        <v>714</v>
      </c>
      <c r="N150" s="323">
        <v>2201066</v>
      </c>
      <c r="O150" s="326" t="s">
        <v>714</v>
      </c>
      <c r="P150" s="435">
        <v>220106600</v>
      </c>
      <c r="Q150" s="326" t="s">
        <v>715</v>
      </c>
      <c r="R150" s="435">
        <v>220106600</v>
      </c>
      <c r="S150" s="326" t="s">
        <v>715</v>
      </c>
      <c r="T150" s="349" t="s">
        <v>1691</v>
      </c>
      <c r="U150" s="103">
        <v>10000</v>
      </c>
      <c r="V150" s="103">
        <v>0</v>
      </c>
      <c r="W150" s="427" t="s">
        <v>693</v>
      </c>
      <c r="X150" s="324" t="s">
        <v>694</v>
      </c>
      <c r="Y150" s="326" t="s">
        <v>695</v>
      </c>
      <c r="Z150" s="419"/>
      <c r="AA150" s="419"/>
      <c r="AB150" s="419"/>
      <c r="AC150" s="419"/>
      <c r="AD150" s="419"/>
      <c r="AE150" s="419"/>
      <c r="AF150" s="419"/>
      <c r="AG150" s="419"/>
      <c r="AH150" s="419"/>
      <c r="AI150" s="419"/>
      <c r="AJ150" s="419"/>
      <c r="AK150" s="419"/>
      <c r="AL150" s="419"/>
      <c r="AM150" s="419"/>
      <c r="AN150" s="419"/>
      <c r="AO150" s="419"/>
      <c r="AP150" s="419"/>
      <c r="AQ150" s="419"/>
      <c r="AR150" s="419"/>
      <c r="AS150" s="419"/>
      <c r="AT150" s="419"/>
      <c r="AU150" s="419"/>
      <c r="AV150" s="419"/>
      <c r="AW150" s="419"/>
      <c r="AX150" s="419"/>
      <c r="AY150" s="419"/>
      <c r="AZ150" s="419"/>
      <c r="BA150" s="419"/>
      <c r="BB150" s="419"/>
      <c r="BC150" s="419"/>
      <c r="BD150" s="458">
        <f>10000000-8460000</f>
        <v>1540000</v>
      </c>
      <c r="BE150" s="458">
        <v>1540000</v>
      </c>
      <c r="BF150" s="458">
        <v>1540000</v>
      </c>
      <c r="BG150" s="419"/>
      <c r="BH150" s="419"/>
      <c r="BI150" s="419"/>
      <c r="BJ150" s="419"/>
      <c r="BK150" s="419"/>
      <c r="BL150" s="419"/>
      <c r="BM150" s="419"/>
      <c r="BN150" s="419"/>
      <c r="BO150" s="419"/>
      <c r="BP150" s="403">
        <f t="shared" si="71"/>
        <v>1540000</v>
      </c>
      <c r="BQ150" s="403">
        <f>+AA150+AD150+AG150+AJ150+AM150+AP150+AS150+AV150+AY150+BB150+BE150+BH150+BK150</f>
        <v>1540000</v>
      </c>
      <c r="BR150" s="403">
        <f t="shared" si="70"/>
        <v>1540000</v>
      </c>
      <c r="BS150" s="359" t="s">
        <v>1662</v>
      </c>
      <c r="BT150" s="5"/>
    </row>
    <row r="151" spans="1:72" ht="128.25" customHeight="1" x14ac:dyDescent="0.2">
      <c r="A151" s="327">
        <v>314</v>
      </c>
      <c r="B151" s="326" t="s">
        <v>1634</v>
      </c>
      <c r="C151" s="323">
        <v>1</v>
      </c>
      <c r="D151" s="326" t="s">
        <v>1622</v>
      </c>
      <c r="E151" s="323">
        <v>22</v>
      </c>
      <c r="F151" s="417" t="s">
        <v>156</v>
      </c>
      <c r="G151" s="323">
        <v>2201</v>
      </c>
      <c r="H151" s="326" t="s">
        <v>277</v>
      </c>
      <c r="I151" s="323">
        <v>2201</v>
      </c>
      <c r="J151" s="326" t="s">
        <v>1595</v>
      </c>
      <c r="K151" s="326" t="s">
        <v>716</v>
      </c>
      <c r="L151" s="323">
        <v>2201006</v>
      </c>
      <c r="M151" s="326" t="s">
        <v>717</v>
      </c>
      <c r="N151" s="323">
        <v>2201006</v>
      </c>
      <c r="O151" s="326" t="s">
        <v>717</v>
      </c>
      <c r="P151" s="466">
        <v>220100600</v>
      </c>
      <c r="Q151" s="326" t="s">
        <v>718</v>
      </c>
      <c r="R151" s="466">
        <v>220100600</v>
      </c>
      <c r="S151" s="326" t="s">
        <v>718</v>
      </c>
      <c r="T151" s="349" t="s">
        <v>1689</v>
      </c>
      <c r="U151" s="103">
        <v>54</v>
      </c>
      <c r="V151" s="103">
        <v>54</v>
      </c>
      <c r="W151" s="427" t="s">
        <v>719</v>
      </c>
      <c r="X151" s="324" t="s">
        <v>720</v>
      </c>
      <c r="Y151" s="326" t="s">
        <v>721</v>
      </c>
      <c r="Z151" s="419"/>
      <c r="AA151" s="419"/>
      <c r="AB151" s="419"/>
      <c r="AC151" s="419"/>
      <c r="AD151" s="419"/>
      <c r="AE151" s="419"/>
      <c r="AF151" s="419"/>
      <c r="AG151" s="419"/>
      <c r="AH151" s="419"/>
      <c r="AI151" s="419"/>
      <c r="AJ151" s="419"/>
      <c r="AK151" s="419"/>
      <c r="AL151" s="419"/>
      <c r="AM151" s="419"/>
      <c r="AN151" s="419"/>
      <c r="AO151" s="419"/>
      <c r="AP151" s="419"/>
      <c r="AQ151" s="419"/>
      <c r="AR151" s="474"/>
      <c r="AS151" s="474"/>
      <c r="AT151" s="474"/>
      <c r="AU151" s="419"/>
      <c r="AV151" s="419"/>
      <c r="AW151" s="419"/>
      <c r="AX151" s="419"/>
      <c r="AY151" s="419"/>
      <c r="AZ151" s="419"/>
      <c r="BA151" s="419"/>
      <c r="BB151" s="419"/>
      <c r="BC151" s="419"/>
      <c r="BD151" s="458">
        <f>10000000.95+180000000-10000000</f>
        <v>180000000.94999999</v>
      </c>
      <c r="BE151" s="458">
        <v>162080000</v>
      </c>
      <c r="BF151" s="458">
        <v>85690000</v>
      </c>
      <c r="BG151" s="419"/>
      <c r="BH151" s="419"/>
      <c r="BI151" s="419"/>
      <c r="BJ151" s="419"/>
      <c r="BK151" s="419"/>
      <c r="BL151" s="419"/>
      <c r="BM151" s="419"/>
      <c r="BN151" s="419"/>
      <c r="BO151" s="419"/>
      <c r="BP151" s="403">
        <f t="shared" si="71"/>
        <v>180000000.94999999</v>
      </c>
      <c r="BQ151" s="403">
        <f>+AA151+AD151+AG151+AJ151+AM151+AP151+AS151+AV151+AY151+BB151+BE151+BH151+BK151</f>
        <v>162080000</v>
      </c>
      <c r="BR151" s="403">
        <f>+AB151+AE151+AH151+AK151+AN151+AQ151+AT151+AW151+AZ151+BC151+BF151+BI151+BL151</f>
        <v>85690000</v>
      </c>
      <c r="BS151" s="359" t="s">
        <v>1662</v>
      </c>
      <c r="BT151" s="5"/>
    </row>
    <row r="152" spans="1:72" ht="150" customHeight="1" x14ac:dyDescent="0.2">
      <c r="A152" s="327">
        <v>314</v>
      </c>
      <c r="B152" s="326" t="s">
        <v>1634</v>
      </c>
      <c r="C152" s="323">
        <v>1</v>
      </c>
      <c r="D152" s="326" t="s">
        <v>1622</v>
      </c>
      <c r="E152" s="323">
        <v>22</v>
      </c>
      <c r="F152" s="417" t="s">
        <v>156</v>
      </c>
      <c r="G152" s="323">
        <v>2201</v>
      </c>
      <c r="H152" s="326" t="s">
        <v>277</v>
      </c>
      <c r="I152" s="323">
        <v>2201</v>
      </c>
      <c r="J152" s="326" t="s">
        <v>1595</v>
      </c>
      <c r="K152" s="326" t="s">
        <v>716</v>
      </c>
      <c r="L152" s="323">
        <v>2201015</v>
      </c>
      <c r="M152" s="326" t="s">
        <v>722</v>
      </c>
      <c r="N152" s="323">
        <v>2201015</v>
      </c>
      <c r="O152" s="326" t="s">
        <v>722</v>
      </c>
      <c r="P152" s="435">
        <v>220101500</v>
      </c>
      <c r="Q152" s="326" t="s">
        <v>723</v>
      </c>
      <c r="R152" s="435">
        <v>220101500</v>
      </c>
      <c r="S152" s="326" t="s">
        <v>723</v>
      </c>
      <c r="T152" s="349" t="s">
        <v>1689</v>
      </c>
      <c r="U152" s="103">
        <v>11</v>
      </c>
      <c r="V152" s="103">
        <v>0</v>
      </c>
      <c r="W152" s="427" t="s">
        <v>719</v>
      </c>
      <c r="X152" s="324" t="s">
        <v>720</v>
      </c>
      <c r="Y152" s="326" t="s">
        <v>721</v>
      </c>
      <c r="Z152" s="419"/>
      <c r="AA152" s="419"/>
      <c r="AB152" s="419"/>
      <c r="AC152" s="419"/>
      <c r="AD152" s="419"/>
      <c r="AE152" s="419"/>
      <c r="AF152" s="419"/>
      <c r="AG152" s="419"/>
      <c r="AH152" s="419"/>
      <c r="AI152" s="419"/>
      <c r="AJ152" s="419"/>
      <c r="AK152" s="419"/>
      <c r="AL152" s="419"/>
      <c r="AM152" s="419"/>
      <c r="AN152" s="419"/>
      <c r="AO152" s="419"/>
      <c r="AP152" s="419"/>
      <c r="AQ152" s="419"/>
      <c r="AR152" s="419"/>
      <c r="AS152" s="419"/>
      <c r="AT152" s="419"/>
      <c r="AU152" s="419"/>
      <c r="AV152" s="419"/>
      <c r="AW152" s="419"/>
      <c r="AX152" s="419"/>
      <c r="AY152" s="419"/>
      <c r="AZ152" s="419"/>
      <c r="BA152" s="419"/>
      <c r="BB152" s="419"/>
      <c r="BC152" s="419"/>
      <c r="BD152" s="458">
        <f>12000000-12000000</f>
        <v>0</v>
      </c>
      <c r="BE152" s="458"/>
      <c r="BF152" s="458"/>
      <c r="BG152" s="419"/>
      <c r="BH152" s="419"/>
      <c r="BI152" s="419"/>
      <c r="BJ152" s="419"/>
      <c r="BK152" s="419"/>
      <c r="BL152" s="419"/>
      <c r="BM152" s="419"/>
      <c r="BN152" s="419"/>
      <c r="BO152" s="419"/>
      <c r="BP152" s="403">
        <f t="shared" si="71"/>
        <v>0</v>
      </c>
      <c r="BQ152" s="403">
        <f t="shared" si="69"/>
        <v>0</v>
      </c>
      <c r="BR152" s="403">
        <f t="shared" si="70"/>
        <v>0</v>
      </c>
      <c r="BS152" s="359" t="s">
        <v>1662</v>
      </c>
      <c r="BT152" s="5"/>
    </row>
    <row r="153" spans="1:72" ht="154.5" customHeight="1" x14ac:dyDescent="0.2">
      <c r="A153" s="327">
        <v>314</v>
      </c>
      <c r="B153" s="326" t="s">
        <v>1634</v>
      </c>
      <c r="C153" s="323">
        <v>1</v>
      </c>
      <c r="D153" s="326" t="s">
        <v>1622</v>
      </c>
      <c r="E153" s="323">
        <v>22</v>
      </c>
      <c r="F153" s="417" t="s">
        <v>156</v>
      </c>
      <c r="G153" s="323">
        <v>2201</v>
      </c>
      <c r="H153" s="326" t="s">
        <v>277</v>
      </c>
      <c r="I153" s="323">
        <v>2201</v>
      </c>
      <c r="J153" s="326" t="s">
        <v>1595</v>
      </c>
      <c r="K153" s="326" t="s">
        <v>667</v>
      </c>
      <c r="L153" s="323">
        <v>2201042</v>
      </c>
      <c r="M153" s="326" t="s">
        <v>724</v>
      </c>
      <c r="N153" s="323">
        <v>2201042</v>
      </c>
      <c r="O153" s="326" t="s">
        <v>724</v>
      </c>
      <c r="P153" s="435">
        <v>220104200</v>
      </c>
      <c r="Q153" s="326" t="s">
        <v>725</v>
      </c>
      <c r="R153" s="435">
        <v>220104200</v>
      </c>
      <c r="S153" s="326" t="s">
        <v>725</v>
      </c>
      <c r="T153" s="349" t="s">
        <v>1691</v>
      </c>
      <c r="U153" s="103">
        <v>6000</v>
      </c>
      <c r="V153" s="103">
        <f>208+1019+1219</f>
        <v>2446</v>
      </c>
      <c r="W153" s="427" t="s">
        <v>719</v>
      </c>
      <c r="X153" s="324" t="s">
        <v>720</v>
      </c>
      <c r="Y153" s="326" t="s">
        <v>721</v>
      </c>
      <c r="Z153" s="419"/>
      <c r="AA153" s="419"/>
      <c r="AB153" s="419"/>
      <c r="AC153" s="419"/>
      <c r="AD153" s="419"/>
      <c r="AE153" s="419"/>
      <c r="AF153" s="419"/>
      <c r="AG153" s="419"/>
      <c r="AH153" s="419"/>
      <c r="AI153" s="419"/>
      <c r="AJ153" s="419"/>
      <c r="AK153" s="419"/>
      <c r="AL153" s="419"/>
      <c r="AM153" s="419"/>
      <c r="AN153" s="419"/>
      <c r="AO153" s="419"/>
      <c r="AP153" s="419"/>
      <c r="AQ153" s="419"/>
      <c r="AR153" s="419"/>
      <c r="AS153" s="419"/>
      <c r="AT153" s="419"/>
      <c r="AU153" s="419"/>
      <c r="AV153" s="419"/>
      <c r="AW153" s="419"/>
      <c r="AX153" s="419"/>
      <c r="AY153" s="419"/>
      <c r="AZ153" s="419"/>
      <c r="BA153" s="419"/>
      <c r="BB153" s="419"/>
      <c r="BC153" s="419"/>
      <c r="BD153" s="424">
        <v>10000000.01</v>
      </c>
      <c r="BE153" s="424">
        <v>9905167</v>
      </c>
      <c r="BF153" s="424">
        <v>9905167</v>
      </c>
      <c r="BG153" s="419"/>
      <c r="BH153" s="419"/>
      <c r="BI153" s="419"/>
      <c r="BJ153" s="419"/>
      <c r="BK153" s="419"/>
      <c r="BL153" s="419"/>
      <c r="BM153" s="419"/>
      <c r="BN153" s="419"/>
      <c r="BO153" s="419"/>
      <c r="BP153" s="403">
        <f t="shared" si="71"/>
        <v>10000000.01</v>
      </c>
      <c r="BQ153" s="403">
        <f>+AA153+AD153+AG153+AJ153+AM153+AP153+AS153+AV153+AY153+BB153+BE153+BH153+BK153</f>
        <v>9905167</v>
      </c>
      <c r="BR153" s="403">
        <f t="shared" si="70"/>
        <v>9905167</v>
      </c>
      <c r="BS153" s="359" t="s">
        <v>1662</v>
      </c>
      <c r="BT153" s="5"/>
    </row>
    <row r="154" spans="1:72" s="33" customFormat="1" ht="111.75" customHeight="1" x14ac:dyDescent="0.2">
      <c r="A154" s="327">
        <v>314</v>
      </c>
      <c r="B154" s="326" t="s">
        <v>1634</v>
      </c>
      <c r="C154" s="323">
        <v>1</v>
      </c>
      <c r="D154" s="326" t="s">
        <v>1622</v>
      </c>
      <c r="E154" s="323">
        <v>22</v>
      </c>
      <c r="F154" s="417" t="s">
        <v>156</v>
      </c>
      <c r="G154" s="323">
        <v>2201</v>
      </c>
      <c r="H154" s="326" t="s">
        <v>277</v>
      </c>
      <c r="I154" s="323">
        <v>2201</v>
      </c>
      <c r="J154" s="326" t="s">
        <v>1595</v>
      </c>
      <c r="K154" s="326" t="s">
        <v>726</v>
      </c>
      <c r="L154" s="323">
        <v>2201071</v>
      </c>
      <c r="M154" s="475" t="s">
        <v>727</v>
      </c>
      <c r="N154" s="323">
        <v>2201071</v>
      </c>
      <c r="O154" s="475" t="s">
        <v>727</v>
      </c>
      <c r="P154" s="466">
        <v>220107100</v>
      </c>
      <c r="Q154" s="326" t="s">
        <v>728</v>
      </c>
      <c r="R154" s="466">
        <v>220107100</v>
      </c>
      <c r="S154" s="326" t="s">
        <v>728</v>
      </c>
      <c r="T154" s="349" t="s">
        <v>1689</v>
      </c>
      <c r="U154" s="103">
        <v>54</v>
      </c>
      <c r="V154" s="103">
        <v>54</v>
      </c>
      <c r="W154" s="427" t="s">
        <v>719</v>
      </c>
      <c r="X154" s="324" t="s">
        <v>720</v>
      </c>
      <c r="Y154" s="326" t="s">
        <v>721</v>
      </c>
      <c r="Z154" s="476"/>
      <c r="AA154" s="476"/>
      <c r="AB154" s="476"/>
      <c r="AC154" s="476"/>
      <c r="AD154" s="476"/>
      <c r="AE154" s="476"/>
      <c r="AF154" s="476"/>
      <c r="AG154" s="476"/>
      <c r="AH154" s="476"/>
      <c r="AI154" s="476">
        <v>1573920278.6600001</v>
      </c>
      <c r="AJ154" s="476">
        <v>1442152272.7800002</v>
      </c>
      <c r="AK154" s="476">
        <v>1226096325.78</v>
      </c>
      <c r="AL154" s="476"/>
      <c r="AM154" s="476"/>
      <c r="AN154" s="476"/>
      <c r="AO154" s="476"/>
      <c r="AP154" s="476"/>
      <c r="AQ154" s="476"/>
      <c r="AR154" s="474">
        <f>141320000000+3120000+207017358.94</f>
        <v>141530137358.94</v>
      </c>
      <c r="AS154" s="474">
        <v>87400547530.649994</v>
      </c>
      <c r="AT154" s="474">
        <v>87160309982.149994</v>
      </c>
      <c r="AU154" s="477">
        <v>25145000000</v>
      </c>
      <c r="AV154" s="477">
        <v>20447335584</v>
      </c>
      <c r="AW154" s="477">
        <v>20447335584</v>
      </c>
      <c r="AX154" s="476"/>
      <c r="AY154" s="476"/>
      <c r="AZ154" s="476"/>
      <c r="BA154" s="476"/>
      <c r="BB154" s="476"/>
      <c r="BC154" s="476"/>
      <c r="BD154" s="458">
        <f>1195000000-7500000-252675151-30000000+985822393+2000000000+209925998.22-180000000+10000000+2047944958-120000000</f>
        <v>5858518198.2199993</v>
      </c>
      <c r="BE154" s="458">
        <v>5198746466.2200003</v>
      </c>
      <c r="BF154" s="458">
        <v>3867648064.2200003</v>
      </c>
      <c r="BG154" s="476"/>
      <c r="BH154" s="476"/>
      <c r="BI154" s="476"/>
      <c r="BJ154" s="476">
        <f>1792032472.85+1522780551</f>
        <v>3314813023.8499999</v>
      </c>
      <c r="BK154" s="476">
        <v>1707723087.2199998</v>
      </c>
      <c r="BL154" s="476">
        <v>1339968271.2199998</v>
      </c>
      <c r="BM154" s="476"/>
      <c r="BN154" s="476"/>
      <c r="BO154" s="476"/>
      <c r="BP154" s="403">
        <f t="shared" si="71"/>
        <v>177422388859.67001</v>
      </c>
      <c r="BQ154" s="403">
        <f>+AA154+AD154+AG154+AJ154+AM154+AP154+AS154+AV154+AY154+BB154+BE154+BH154+BK154</f>
        <v>116196504940.87</v>
      </c>
      <c r="BR154" s="403">
        <f>+AB154+AE154+AH154+AK154+AN154+AQ154+AT154+AW154+AZ154+BC154+BF154+BI154+BL154</f>
        <v>114041358227.37</v>
      </c>
      <c r="BS154" s="359" t="s">
        <v>1662</v>
      </c>
      <c r="BT154" s="5"/>
    </row>
    <row r="155" spans="1:72" ht="168" customHeight="1" x14ac:dyDescent="0.2">
      <c r="A155" s="327">
        <v>314</v>
      </c>
      <c r="B155" s="326" t="s">
        <v>1634</v>
      </c>
      <c r="C155" s="323">
        <v>1</v>
      </c>
      <c r="D155" s="326" t="s">
        <v>1622</v>
      </c>
      <c r="E155" s="323">
        <v>22</v>
      </c>
      <c r="F155" s="417" t="s">
        <v>156</v>
      </c>
      <c r="G155" s="323">
        <v>2201</v>
      </c>
      <c r="H155" s="326" t="s">
        <v>277</v>
      </c>
      <c r="I155" s="323">
        <v>2201</v>
      </c>
      <c r="J155" s="326" t="s">
        <v>1595</v>
      </c>
      <c r="K155" s="326" t="s">
        <v>667</v>
      </c>
      <c r="L155" s="323">
        <v>2201050</v>
      </c>
      <c r="M155" s="326" t="s">
        <v>729</v>
      </c>
      <c r="N155" s="323">
        <v>2201050</v>
      </c>
      <c r="O155" s="326" t="s">
        <v>729</v>
      </c>
      <c r="P155" s="435">
        <v>220105000</v>
      </c>
      <c r="Q155" s="326" t="s">
        <v>730</v>
      </c>
      <c r="R155" s="435">
        <v>220105000</v>
      </c>
      <c r="S155" s="326" t="s">
        <v>730</v>
      </c>
      <c r="T155" s="349" t="s">
        <v>1691</v>
      </c>
      <c r="U155" s="103">
        <v>8000</v>
      </c>
      <c r="V155" s="103">
        <v>8000</v>
      </c>
      <c r="W155" s="427" t="s">
        <v>731</v>
      </c>
      <c r="X155" s="324" t="s">
        <v>732</v>
      </c>
      <c r="Y155" s="326" t="s">
        <v>733</v>
      </c>
      <c r="Z155" s="419"/>
      <c r="AA155" s="419"/>
      <c r="AB155" s="419"/>
      <c r="AC155" s="419"/>
      <c r="AD155" s="419"/>
      <c r="AE155" s="419"/>
      <c r="AF155" s="419"/>
      <c r="AG155" s="419"/>
      <c r="AH155" s="419"/>
      <c r="AI155" s="419"/>
      <c r="AJ155" s="419"/>
      <c r="AK155" s="419"/>
      <c r="AL155" s="419"/>
      <c r="AM155" s="419"/>
      <c r="AN155" s="419"/>
      <c r="AO155" s="419"/>
      <c r="AP155" s="419"/>
      <c r="AQ155" s="419"/>
      <c r="AR155" s="428"/>
      <c r="AS155" s="428"/>
      <c r="AT155" s="428"/>
      <c r="AU155" s="419"/>
      <c r="AV155" s="419"/>
      <c r="AW155" s="419"/>
      <c r="AX155" s="419"/>
      <c r="AY155" s="419"/>
      <c r="AZ155" s="419"/>
      <c r="BA155" s="419"/>
      <c r="BB155" s="419"/>
      <c r="BC155" s="419"/>
      <c r="BD155" s="458">
        <v>10000000.01</v>
      </c>
      <c r="BE155" s="458">
        <v>10000000</v>
      </c>
      <c r="BF155" s="458">
        <v>6000000</v>
      </c>
      <c r="BG155" s="419"/>
      <c r="BH155" s="419"/>
      <c r="BI155" s="419"/>
      <c r="BJ155" s="419"/>
      <c r="BK155" s="419"/>
      <c r="BL155" s="419"/>
      <c r="BM155" s="419"/>
      <c r="BN155" s="419"/>
      <c r="BO155" s="419"/>
      <c r="BP155" s="403">
        <f>+Z155+AC155+AF155+AI155+AL155+AO155+AR155+AU155+AX155+BA155+BD155+BG155+BJ155</f>
        <v>10000000.01</v>
      </c>
      <c r="BQ155" s="403">
        <f>+AA155+AD155+AG155+AJ155+AM155+AP155+AS155+AV155+AY155+BB155+BE155+BH155+BK155</f>
        <v>10000000</v>
      </c>
      <c r="BR155" s="403">
        <f t="shared" si="70"/>
        <v>6000000</v>
      </c>
      <c r="BS155" s="359" t="s">
        <v>1662</v>
      </c>
      <c r="BT155" s="5"/>
    </row>
    <row r="156" spans="1:72" ht="135" customHeight="1" x14ac:dyDescent="0.2">
      <c r="A156" s="327">
        <v>314</v>
      </c>
      <c r="B156" s="326" t="s">
        <v>1634</v>
      </c>
      <c r="C156" s="323">
        <v>1</v>
      </c>
      <c r="D156" s="326" t="s">
        <v>1622</v>
      </c>
      <c r="E156" s="323">
        <v>22</v>
      </c>
      <c r="F156" s="417" t="s">
        <v>156</v>
      </c>
      <c r="G156" s="323">
        <v>2201</v>
      </c>
      <c r="H156" s="326" t="s">
        <v>277</v>
      </c>
      <c r="I156" s="323">
        <v>2201</v>
      </c>
      <c r="J156" s="326" t="s">
        <v>1595</v>
      </c>
      <c r="K156" s="326" t="s">
        <v>667</v>
      </c>
      <c r="L156" s="323">
        <v>2201050</v>
      </c>
      <c r="M156" s="326" t="s">
        <v>729</v>
      </c>
      <c r="N156" s="323">
        <v>2201050</v>
      </c>
      <c r="O156" s="326" t="s">
        <v>729</v>
      </c>
      <c r="P156" s="466">
        <v>220105001</v>
      </c>
      <c r="Q156" s="326" t="s">
        <v>734</v>
      </c>
      <c r="R156" s="466">
        <v>220105001</v>
      </c>
      <c r="S156" s="326" t="s">
        <v>734</v>
      </c>
      <c r="T156" s="349" t="s">
        <v>1689</v>
      </c>
      <c r="U156" s="103">
        <v>150</v>
      </c>
      <c r="V156" s="103">
        <v>0</v>
      </c>
      <c r="W156" s="427" t="s">
        <v>731</v>
      </c>
      <c r="X156" s="324" t="s">
        <v>732</v>
      </c>
      <c r="Y156" s="326" t="s">
        <v>733</v>
      </c>
      <c r="Z156" s="419"/>
      <c r="AA156" s="419"/>
      <c r="AB156" s="419"/>
      <c r="AC156" s="419"/>
      <c r="AD156" s="419"/>
      <c r="AE156" s="419"/>
      <c r="AF156" s="419"/>
      <c r="AG156" s="419"/>
      <c r="AH156" s="419"/>
      <c r="AI156" s="419"/>
      <c r="AJ156" s="419"/>
      <c r="AK156" s="419"/>
      <c r="AL156" s="419"/>
      <c r="AM156" s="419"/>
      <c r="AN156" s="419"/>
      <c r="AO156" s="419"/>
      <c r="AP156" s="419"/>
      <c r="AQ156" s="419"/>
      <c r="AR156" s="419">
        <f>749000000-157054393</f>
        <v>591945607</v>
      </c>
      <c r="AS156" s="419">
        <v>591802211</v>
      </c>
      <c r="AT156" s="419">
        <v>591802211</v>
      </c>
      <c r="AU156" s="419">
        <v>0</v>
      </c>
      <c r="AV156" s="419"/>
      <c r="AW156" s="419"/>
      <c r="AX156" s="419">
        <v>0</v>
      </c>
      <c r="AY156" s="419"/>
      <c r="AZ156" s="419"/>
      <c r="BA156" s="419">
        <v>0</v>
      </c>
      <c r="BB156" s="419"/>
      <c r="BC156" s="419"/>
      <c r="BD156" s="419">
        <v>0</v>
      </c>
      <c r="BE156" s="419"/>
      <c r="BF156" s="419"/>
      <c r="BG156" s="419">
        <v>0</v>
      </c>
      <c r="BH156" s="419"/>
      <c r="BI156" s="419"/>
      <c r="BJ156" s="419">
        <v>0</v>
      </c>
      <c r="BK156" s="419"/>
      <c r="BL156" s="419"/>
      <c r="BM156" s="419"/>
      <c r="BN156" s="419"/>
      <c r="BO156" s="419"/>
      <c r="BP156" s="403">
        <f t="shared" si="71"/>
        <v>591945607</v>
      </c>
      <c r="BQ156" s="403">
        <f>+AA156+AD156+AG156+AJ156+AM156+AP156+AS156+AV156+AY156+BB156+BE156+BH156+BK156</f>
        <v>591802211</v>
      </c>
      <c r="BR156" s="403">
        <f>+AB156+AE156+AH156+AK156+AN156+AQ156+AT156+AW156+AZ156+BC156+BF156+BI156+BL156</f>
        <v>591802211</v>
      </c>
      <c r="BS156" s="359" t="s">
        <v>1662</v>
      </c>
      <c r="BT156" s="5"/>
    </row>
    <row r="157" spans="1:72" ht="120.75" customHeight="1" x14ac:dyDescent="0.2">
      <c r="A157" s="327">
        <v>314</v>
      </c>
      <c r="B157" s="326" t="s">
        <v>1634</v>
      </c>
      <c r="C157" s="323">
        <v>1</v>
      </c>
      <c r="D157" s="326" t="s">
        <v>1622</v>
      </c>
      <c r="E157" s="323">
        <v>22</v>
      </c>
      <c r="F157" s="417" t="s">
        <v>156</v>
      </c>
      <c r="G157" s="323">
        <v>2201</v>
      </c>
      <c r="H157" s="326" t="s">
        <v>277</v>
      </c>
      <c r="I157" s="323">
        <v>2201</v>
      </c>
      <c r="J157" s="326" t="s">
        <v>1595</v>
      </c>
      <c r="K157" s="326" t="s">
        <v>676</v>
      </c>
      <c r="L157" s="323" t="s">
        <v>41</v>
      </c>
      <c r="M157" s="326" t="s">
        <v>735</v>
      </c>
      <c r="N157" s="323">
        <v>2201001</v>
      </c>
      <c r="O157" s="326" t="s">
        <v>233</v>
      </c>
      <c r="P157" s="323" t="s">
        <v>41</v>
      </c>
      <c r="Q157" s="326" t="s">
        <v>736</v>
      </c>
      <c r="R157" s="435">
        <v>220100100</v>
      </c>
      <c r="S157" s="326" t="s">
        <v>737</v>
      </c>
      <c r="T157" s="349" t="s">
        <v>1689</v>
      </c>
      <c r="U157" s="103">
        <v>2</v>
      </c>
      <c r="V157" s="103">
        <v>0.5</v>
      </c>
      <c r="W157" s="427" t="s">
        <v>731</v>
      </c>
      <c r="X157" s="324" t="s">
        <v>732</v>
      </c>
      <c r="Y157" s="326" t="s">
        <v>733</v>
      </c>
      <c r="Z157" s="419"/>
      <c r="AA157" s="419"/>
      <c r="AB157" s="419"/>
      <c r="AC157" s="419"/>
      <c r="AD157" s="419"/>
      <c r="AE157" s="419"/>
      <c r="AF157" s="419"/>
      <c r="AG157" s="419"/>
      <c r="AH157" s="419"/>
      <c r="AI157" s="419"/>
      <c r="AJ157" s="419"/>
      <c r="AK157" s="419"/>
      <c r="AL157" s="419"/>
      <c r="AM157" s="419"/>
      <c r="AN157" s="419"/>
      <c r="AO157" s="419"/>
      <c r="AP157" s="419"/>
      <c r="AQ157" s="419"/>
      <c r="AR157" s="419"/>
      <c r="AS157" s="419"/>
      <c r="AT157" s="419"/>
      <c r="AU157" s="419"/>
      <c r="AV157" s="419"/>
      <c r="AW157" s="419"/>
      <c r="AX157" s="419"/>
      <c r="AY157" s="419"/>
      <c r="AZ157" s="419"/>
      <c r="BA157" s="419"/>
      <c r="BB157" s="419"/>
      <c r="BC157" s="419"/>
      <c r="BD157" s="458">
        <v>10000000.01</v>
      </c>
      <c r="BE157" s="458">
        <v>2000000</v>
      </c>
      <c r="BF157" s="458">
        <v>0</v>
      </c>
      <c r="BG157" s="419"/>
      <c r="BH157" s="419"/>
      <c r="BI157" s="419"/>
      <c r="BJ157" s="419"/>
      <c r="BK157" s="419"/>
      <c r="BL157" s="419"/>
      <c r="BM157" s="419"/>
      <c r="BN157" s="419"/>
      <c r="BO157" s="419"/>
      <c r="BP157" s="403">
        <f t="shared" si="71"/>
        <v>10000000.01</v>
      </c>
      <c r="BQ157" s="403">
        <f>+AA157+AD157+AG157+AJ157+AM157+AP157+AS157+AV157+AY157+BB157+BE157+BH157+BK157</f>
        <v>2000000</v>
      </c>
      <c r="BR157" s="403">
        <f t="shared" si="70"/>
        <v>0</v>
      </c>
      <c r="BS157" s="359" t="s">
        <v>1662</v>
      </c>
      <c r="BT157" s="5"/>
    </row>
    <row r="158" spans="1:72" ht="114" customHeight="1" x14ac:dyDescent="0.2">
      <c r="A158" s="327">
        <v>314</v>
      </c>
      <c r="B158" s="326" t="s">
        <v>1634</v>
      </c>
      <c r="C158" s="323">
        <v>1</v>
      </c>
      <c r="D158" s="326" t="s">
        <v>1622</v>
      </c>
      <c r="E158" s="323">
        <v>22</v>
      </c>
      <c r="F158" s="417" t="s">
        <v>156</v>
      </c>
      <c r="G158" s="323">
        <v>2201</v>
      </c>
      <c r="H158" s="326" t="s">
        <v>277</v>
      </c>
      <c r="I158" s="323">
        <v>2201</v>
      </c>
      <c r="J158" s="326" t="s">
        <v>1595</v>
      </c>
      <c r="K158" s="326" t="s">
        <v>738</v>
      </c>
      <c r="L158" s="323">
        <v>2201034</v>
      </c>
      <c r="M158" s="326" t="s">
        <v>739</v>
      </c>
      <c r="N158" s="323">
        <v>2201034</v>
      </c>
      <c r="O158" s="326" t="s">
        <v>739</v>
      </c>
      <c r="P158" s="466">
        <v>220103400</v>
      </c>
      <c r="Q158" s="326" t="s">
        <v>740</v>
      </c>
      <c r="R158" s="466">
        <v>220103400</v>
      </c>
      <c r="S158" s="326" t="s">
        <v>740</v>
      </c>
      <c r="T158" s="349" t="s">
        <v>1691</v>
      </c>
      <c r="U158" s="103">
        <v>5500</v>
      </c>
      <c r="V158" s="103">
        <v>0</v>
      </c>
      <c r="W158" s="427" t="s">
        <v>741</v>
      </c>
      <c r="X158" s="324" t="s">
        <v>742</v>
      </c>
      <c r="Y158" s="326" t="s">
        <v>743</v>
      </c>
      <c r="Z158" s="419"/>
      <c r="AA158" s="419"/>
      <c r="AB158" s="419"/>
      <c r="AC158" s="419"/>
      <c r="AD158" s="419"/>
      <c r="AE158" s="419"/>
      <c r="AF158" s="419"/>
      <c r="AG158" s="419"/>
      <c r="AH158" s="419"/>
      <c r="AI158" s="419"/>
      <c r="AJ158" s="419"/>
      <c r="AK158" s="419"/>
      <c r="AL158" s="419"/>
      <c r="AM158" s="419"/>
      <c r="AN158" s="419"/>
      <c r="AO158" s="419"/>
      <c r="AP158" s="419"/>
      <c r="AQ158" s="419"/>
      <c r="AR158" s="419"/>
      <c r="AS158" s="419"/>
      <c r="AT158" s="419"/>
      <c r="AU158" s="419"/>
      <c r="AV158" s="419"/>
      <c r="AW158" s="419"/>
      <c r="AX158" s="419"/>
      <c r="AY158" s="419"/>
      <c r="AZ158" s="419"/>
      <c r="BA158" s="419"/>
      <c r="BB158" s="419"/>
      <c r="BC158" s="419"/>
      <c r="BD158" s="458">
        <v>10000000.01</v>
      </c>
      <c r="BE158" s="458"/>
      <c r="BF158" s="458"/>
      <c r="BG158" s="419"/>
      <c r="BH158" s="419"/>
      <c r="BI158" s="419"/>
      <c r="BJ158" s="419"/>
      <c r="BK158" s="419"/>
      <c r="BL158" s="419"/>
      <c r="BM158" s="419"/>
      <c r="BN158" s="419"/>
      <c r="BO158" s="419"/>
      <c r="BP158" s="403">
        <f t="shared" si="71"/>
        <v>10000000.01</v>
      </c>
      <c r="BQ158" s="403">
        <f t="shared" si="69"/>
        <v>0</v>
      </c>
      <c r="BR158" s="403">
        <f t="shared" si="70"/>
        <v>0</v>
      </c>
      <c r="BS158" s="359" t="s">
        <v>1662</v>
      </c>
      <c r="BT158" s="5"/>
    </row>
    <row r="159" spans="1:72" ht="103.5" customHeight="1" x14ac:dyDescent="0.2">
      <c r="A159" s="327">
        <v>314</v>
      </c>
      <c r="B159" s="326" t="s">
        <v>1634</v>
      </c>
      <c r="C159" s="323">
        <v>1</v>
      </c>
      <c r="D159" s="326" t="s">
        <v>1622</v>
      </c>
      <c r="E159" s="323">
        <v>22</v>
      </c>
      <c r="F159" s="417" t="s">
        <v>156</v>
      </c>
      <c r="G159" s="323">
        <v>2201</v>
      </c>
      <c r="H159" s="326" t="s">
        <v>277</v>
      </c>
      <c r="I159" s="323">
        <v>2201</v>
      </c>
      <c r="J159" s="326" t="s">
        <v>1595</v>
      </c>
      <c r="K159" s="326" t="s">
        <v>738</v>
      </c>
      <c r="L159" s="323">
        <v>2201034</v>
      </c>
      <c r="M159" s="326" t="s">
        <v>744</v>
      </c>
      <c r="N159" s="323">
        <v>2201034</v>
      </c>
      <c r="O159" s="326" t="s">
        <v>744</v>
      </c>
      <c r="P159" s="435">
        <v>220103401</v>
      </c>
      <c r="Q159" s="326" t="s">
        <v>745</v>
      </c>
      <c r="R159" s="435">
        <v>220103401</v>
      </c>
      <c r="S159" s="326" t="s">
        <v>745</v>
      </c>
      <c r="T159" s="349" t="s">
        <v>1689</v>
      </c>
      <c r="U159" s="103">
        <v>54</v>
      </c>
      <c r="V159" s="103">
        <v>0</v>
      </c>
      <c r="W159" s="427" t="s">
        <v>741</v>
      </c>
      <c r="X159" s="324" t="s">
        <v>742</v>
      </c>
      <c r="Y159" s="326" t="s">
        <v>743</v>
      </c>
      <c r="Z159" s="419"/>
      <c r="AA159" s="419"/>
      <c r="AB159" s="419"/>
      <c r="AC159" s="419"/>
      <c r="AD159" s="419"/>
      <c r="AE159" s="419"/>
      <c r="AF159" s="419"/>
      <c r="AG159" s="419"/>
      <c r="AH159" s="419"/>
      <c r="AI159" s="419"/>
      <c r="AJ159" s="419"/>
      <c r="AK159" s="419"/>
      <c r="AL159" s="419"/>
      <c r="AM159" s="419"/>
      <c r="AN159" s="419"/>
      <c r="AO159" s="419"/>
      <c r="AP159" s="419"/>
      <c r="AQ159" s="419"/>
      <c r="AR159" s="419"/>
      <c r="AS159" s="419"/>
      <c r="AT159" s="419"/>
      <c r="AU159" s="419"/>
      <c r="AV159" s="419"/>
      <c r="AW159" s="419"/>
      <c r="AX159" s="419"/>
      <c r="AY159" s="419"/>
      <c r="AZ159" s="419"/>
      <c r="BA159" s="419"/>
      <c r="BB159" s="419"/>
      <c r="BC159" s="419"/>
      <c r="BD159" s="458">
        <v>9999999.9800000004</v>
      </c>
      <c r="BE159" s="458">
        <v>9197089</v>
      </c>
      <c r="BF159" s="458">
        <v>0</v>
      </c>
      <c r="BG159" s="419"/>
      <c r="BH159" s="419"/>
      <c r="BI159" s="419"/>
      <c r="BJ159" s="419"/>
      <c r="BK159" s="419"/>
      <c r="BL159" s="419"/>
      <c r="BM159" s="419"/>
      <c r="BN159" s="419"/>
      <c r="BO159" s="419"/>
      <c r="BP159" s="403">
        <f t="shared" si="71"/>
        <v>9999999.9800000004</v>
      </c>
      <c r="BQ159" s="403">
        <f t="shared" si="69"/>
        <v>9197089</v>
      </c>
      <c r="BR159" s="403">
        <f t="shared" si="70"/>
        <v>0</v>
      </c>
      <c r="BS159" s="359" t="s">
        <v>1662</v>
      </c>
      <c r="BT159" s="5"/>
    </row>
    <row r="160" spans="1:72" ht="93.75" customHeight="1" x14ac:dyDescent="0.2">
      <c r="A160" s="327">
        <v>314</v>
      </c>
      <c r="B160" s="326" t="s">
        <v>1634</v>
      </c>
      <c r="C160" s="323">
        <v>1</v>
      </c>
      <c r="D160" s="326" t="s">
        <v>1622</v>
      </c>
      <c r="E160" s="323">
        <v>22</v>
      </c>
      <c r="F160" s="417" t="s">
        <v>156</v>
      </c>
      <c r="G160" s="323">
        <v>2201</v>
      </c>
      <c r="H160" s="326" t="s">
        <v>277</v>
      </c>
      <c r="I160" s="323">
        <v>2201</v>
      </c>
      <c r="J160" s="326" t="s">
        <v>1595</v>
      </c>
      <c r="K160" s="326" t="s">
        <v>738</v>
      </c>
      <c r="L160" s="323">
        <v>2201060</v>
      </c>
      <c r="M160" s="326" t="s">
        <v>746</v>
      </c>
      <c r="N160" s="323">
        <v>2201060</v>
      </c>
      <c r="O160" s="326" t="s">
        <v>746</v>
      </c>
      <c r="P160" s="466">
        <v>220106000</v>
      </c>
      <c r="Q160" s="326" t="s">
        <v>747</v>
      </c>
      <c r="R160" s="466">
        <v>220106000</v>
      </c>
      <c r="S160" s="326" t="s">
        <v>747</v>
      </c>
      <c r="T160" s="349" t="s">
        <v>1691</v>
      </c>
      <c r="U160" s="103">
        <v>200</v>
      </c>
      <c r="V160" s="103">
        <v>26</v>
      </c>
      <c r="W160" s="427" t="s">
        <v>741</v>
      </c>
      <c r="X160" s="324" t="s">
        <v>742</v>
      </c>
      <c r="Y160" s="326" t="s">
        <v>743</v>
      </c>
      <c r="Z160" s="419"/>
      <c r="AA160" s="419"/>
      <c r="AB160" s="419"/>
      <c r="AC160" s="419"/>
      <c r="AD160" s="419"/>
      <c r="AE160" s="419"/>
      <c r="AF160" s="419"/>
      <c r="AG160" s="419"/>
      <c r="AH160" s="419"/>
      <c r="AI160" s="419"/>
      <c r="AJ160" s="419"/>
      <c r="AK160" s="419"/>
      <c r="AL160" s="419"/>
      <c r="AM160" s="419"/>
      <c r="AN160" s="419"/>
      <c r="AO160" s="419"/>
      <c r="AP160" s="419"/>
      <c r="AQ160" s="419"/>
      <c r="AR160" s="419"/>
      <c r="AS160" s="419"/>
      <c r="AT160" s="419"/>
      <c r="AU160" s="419"/>
      <c r="AV160" s="419"/>
      <c r="AW160" s="419"/>
      <c r="AX160" s="419"/>
      <c r="AY160" s="419"/>
      <c r="AZ160" s="419"/>
      <c r="BA160" s="419"/>
      <c r="BB160" s="419"/>
      <c r="BC160" s="419"/>
      <c r="BD160" s="458">
        <f>10000000.01-10000000.01</f>
        <v>0</v>
      </c>
      <c r="BE160" s="458"/>
      <c r="BF160" s="458"/>
      <c r="BG160" s="419"/>
      <c r="BH160" s="419"/>
      <c r="BI160" s="419"/>
      <c r="BJ160" s="419"/>
      <c r="BK160" s="419"/>
      <c r="BL160" s="419"/>
      <c r="BM160" s="419"/>
      <c r="BN160" s="419"/>
      <c r="BO160" s="419"/>
      <c r="BP160" s="403">
        <f t="shared" si="71"/>
        <v>0</v>
      </c>
      <c r="BQ160" s="403">
        <f t="shared" si="69"/>
        <v>0</v>
      </c>
      <c r="BR160" s="403">
        <f t="shared" si="70"/>
        <v>0</v>
      </c>
      <c r="BS160" s="359" t="s">
        <v>1662</v>
      </c>
      <c r="BT160" s="5"/>
    </row>
    <row r="161" spans="1:110" ht="159.75" customHeight="1" x14ac:dyDescent="0.2">
      <c r="A161" s="327">
        <v>314</v>
      </c>
      <c r="B161" s="326" t="s">
        <v>1634</v>
      </c>
      <c r="C161" s="323">
        <v>1</v>
      </c>
      <c r="D161" s="326" t="s">
        <v>1622</v>
      </c>
      <c r="E161" s="323">
        <v>22</v>
      </c>
      <c r="F161" s="417" t="s">
        <v>156</v>
      </c>
      <c r="G161" s="323">
        <v>2201</v>
      </c>
      <c r="H161" s="326" t="s">
        <v>277</v>
      </c>
      <c r="I161" s="323">
        <v>2201</v>
      </c>
      <c r="J161" s="326" t="s">
        <v>1595</v>
      </c>
      <c r="K161" s="326" t="s">
        <v>716</v>
      </c>
      <c r="L161" s="323">
        <v>2201001</v>
      </c>
      <c r="M161" s="326" t="s">
        <v>233</v>
      </c>
      <c r="N161" s="323">
        <v>2201001</v>
      </c>
      <c r="O161" s="326" t="s">
        <v>233</v>
      </c>
      <c r="P161" s="323">
        <v>2201001</v>
      </c>
      <c r="Q161" s="326" t="s">
        <v>737</v>
      </c>
      <c r="R161" s="323">
        <v>2201001</v>
      </c>
      <c r="S161" s="326" t="s">
        <v>737</v>
      </c>
      <c r="T161" s="349" t="s">
        <v>1689</v>
      </c>
      <c r="U161" s="103">
        <v>5</v>
      </c>
      <c r="V161" s="103">
        <v>3</v>
      </c>
      <c r="W161" s="427" t="s">
        <v>748</v>
      </c>
      <c r="X161" s="324" t="s">
        <v>1671</v>
      </c>
      <c r="Y161" s="326" t="s">
        <v>1672</v>
      </c>
      <c r="Z161" s="419"/>
      <c r="AA161" s="419"/>
      <c r="AB161" s="419"/>
      <c r="AC161" s="419"/>
      <c r="AD161" s="419"/>
      <c r="AE161" s="419"/>
      <c r="AF161" s="419"/>
      <c r="AG161" s="419"/>
      <c r="AH161" s="419"/>
      <c r="AI161" s="419"/>
      <c r="AJ161" s="419"/>
      <c r="AK161" s="419"/>
      <c r="AL161" s="419"/>
      <c r="AM161" s="419"/>
      <c r="AN161" s="419"/>
      <c r="AO161" s="419"/>
      <c r="AP161" s="419"/>
      <c r="AQ161" s="419"/>
      <c r="AR161" s="419"/>
      <c r="AS161" s="419"/>
      <c r="AT161" s="419"/>
      <c r="AU161" s="419"/>
      <c r="AV161" s="419"/>
      <c r="AW161" s="419"/>
      <c r="AX161" s="419"/>
      <c r="AY161" s="419"/>
      <c r="AZ161" s="419"/>
      <c r="BA161" s="419"/>
      <c r="BB161" s="419"/>
      <c r="BC161" s="419"/>
      <c r="BD161" s="458">
        <v>9000000</v>
      </c>
      <c r="BE161" s="458">
        <v>9000000</v>
      </c>
      <c r="BF161" s="458">
        <v>3000000</v>
      </c>
      <c r="BG161" s="419"/>
      <c r="BH161" s="419"/>
      <c r="BI161" s="419"/>
      <c r="BJ161" s="419"/>
      <c r="BK161" s="419"/>
      <c r="BL161" s="419"/>
      <c r="BM161" s="419"/>
      <c r="BN161" s="419"/>
      <c r="BO161" s="419"/>
      <c r="BP161" s="403">
        <f t="shared" si="71"/>
        <v>9000000</v>
      </c>
      <c r="BQ161" s="403">
        <f t="shared" si="69"/>
        <v>9000000</v>
      </c>
      <c r="BR161" s="403">
        <f t="shared" si="70"/>
        <v>3000000</v>
      </c>
      <c r="BS161" s="359" t="s">
        <v>1662</v>
      </c>
      <c r="BT161" s="5"/>
    </row>
    <row r="162" spans="1:110" ht="122.25" customHeight="1" x14ac:dyDescent="0.2">
      <c r="A162" s="327">
        <v>314</v>
      </c>
      <c r="B162" s="326" t="s">
        <v>1634</v>
      </c>
      <c r="C162" s="323">
        <v>1</v>
      </c>
      <c r="D162" s="326" t="s">
        <v>1622</v>
      </c>
      <c r="E162" s="323">
        <v>22</v>
      </c>
      <c r="F162" s="417" t="s">
        <v>156</v>
      </c>
      <c r="G162" s="323">
        <v>2201</v>
      </c>
      <c r="H162" s="326" t="s">
        <v>277</v>
      </c>
      <c r="I162" s="323">
        <v>2201</v>
      </c>
      <c r="J162" s="326" t="s">
        <v>1595</v>
      </c>
      <c r="K162" s="326" t="s">
        <v>667</v>
      </c>
      <c r="L162" s="323">
        <v>2201048</v>
      </c>
      <c r="M162" s="326" t="s">
        <v>750</v>
      </c>
      <c r="N162" s="323">
        <v>2201048</v>
      </c>
      <c r="O162" s="326" t="s">
        <v>750</v>
      </c>
      <c r="P162" s="435">
        <v>220104801</v>
      </c>
      <c r="Q162" s="326" t="s">
        <v>751</v>
      </c>
      <c r="R162" s="435">
        <v>220104801</v>
      </c>
      <c r="S162" s="326" t="s">
        <v>751</v>
      </c>
      <c r="T162" s="349" t="s">
        <v>1689</v>
      </c>
      <c r="U162" s="103">
        <v>1</v>
      </c>
      <c r="V162" s="103">
        <v>0.5</v>
      </c>
      <c r="W162" s="427" t="s">
        <v>748</v>
      </c>
      <c r="X162" s="324" t="s">
        <v>1671</v>
      </c>
      <c r="Y162" s="326" t="s">
        <v>1672</v>
      </c>
      <c r="Z162" s="419"/>
      <c r="AA162" s="419"/>
      <c r="AB162" s="419"/>
      <c r="AC162" s="419"/>
      <c r="AD162" s="419"/>
      <c r="AE162" s="419"/>
      <c r="AF162" s="419"/>
      <c r="AG162" s="419"/>
      <c r="AH162" s="419"/>
      <c r="AI162" s="419"/>
      <c r="AJ162" s="419"/>
      <c r="AK162" s="419"/>
      <c r="AL162" s="419"/>
      <c r="AM162" s="419"/>
      <c r="AN162" s="419"/>
      <c r="AO162" s="419"/>
      <c r="AP162" s="419"/>
      <c r="AQ162" s="419"/>
      <c r="AR162" s="419"/>
      <c r="AS162" s="419"/>
      <c r="AT162" s="419"/>
      <c r="AU162" s="419"/>
      <c r="AV162" s="419"/>
      <c r="AW162" s="419"/>
      <c r="AX162" s="419"/>
      <c r="AY162" s="419"/>
      <c r="AZ162" s="419"/>
      <c r="BA162" s="419"/>
      <c r="BB162" s="419"/>
      <c r="BC162" s="419"/>
      <c r="BD162" s="458">
        <f>9000000-9000000</f>
        <v>0</v>
      </c>
      <c r="BE162" s="458"/>
      <c r="BF162" s="458"/>
      <c r="BG162" s="419"/>
      <c r="BH162" s="419"/>
      <c r="BI162" s="419"/>
      <c r="BJ162" s="419"/>
      <c r="BK162" s="419"/>
      <c r="BL162" s="419"/>
      <c r="BM162" s="419"/>
      <c r="BN162" s="419"/>
      <c r="BO162" s="419"/>
      <c r="BP162" s="403">
        <f t="shared" si="71"/>
        <v>0</v>
      </c>
      <c r="BQ162" s="403">
        <f t="shared" si="69"/>
        <v>0</v>
      </c>
      <c r="BR162" s="403">
        <f t="shared" si="70"/>
        <v>0</v>
      </c>
      <c r="BS162" s="359" t="s">
        <v>1662</v>
      </c>
      <c r="BT162" s="5"/>
    </row>
    <row r="163" spans="1:110" s="75" customFormat="1" ht="156" customHeight="1" x14ac:dyDescent="0.25">
      <c r="A163" s="327">
        <v>314</v>
      </c>
      <c r="B163" s="326" t="s">
        <v>1634</v>
      </c>
      <c r="C163" s="323">
        <v>1</v>
      </c>
      <c r="D163" s="326" t="s">
        <v>1622</v>
      </c>
      <c r="E163" s="323">
        <v>22</v>
      </c>
      <c r="F163" s="417" t="s">
        <v>156</v>
      </c>
      <c r="G163" s="323" t="s">
        <v>41</v>
      </c>
      <c r="H163" s="326" t="s">
        <v>1567</v>
      </c>
      <c r="I163" s="478">
        <v>2202</v>
      </c>
      <c r="J163" s="326" t="s">
        <v>1568</v>
      </c>
      <c r="K163" s="326" t="s">
        <v>752</v>
      </c>
      <c r="L163" s="323" t="s">
        <v>41</v>
      </c>
      <c r="M163" s="326" t="s">
        <v>753</v>
      </c>
      <c r="N163" s="323">
        <v>2202006</v>
      </c>
      <c r="O163" s="326" t="s">
        <v>753</v>
      </c>
      <c r="P163" s="323" t="s">
        <v>41</v>
      </c>
      <c r="Q163" s="326" t="s">
        <v>754</v>
      </c>
      <c r="R163" s="323">
        <v>220200604</v>
      </c>
      <c r="S163" s="326" t="s">
        <v>755</v>
      </c>
      <c r="T163" s="349" t="s">
        <v>1689</v>
      </c>
      <c r="U163" s="103">
        <v>2</v>
      </c>
      <c r="V163" s="103">
        <v>2</v>
      </c>
      <c r="W163" s="349" t="s">
        <v>756</v>
      </c>
      <c r="X163" s="324" t="s">
        <v>757</v>
      </c>
      <c r="Y163" s="326" t="s">
        <v>758</v>
      </c>
      <c r="Z163" s="419"/>
      <c r="AA163" s="419"/>
      <c r="AB163" s="419"/>
      <c r="AC163" s="419"/>
      <c r="AD163" s="419"/>
      <c r="AE163" s="419"/>
      <c r="AF163" s="419"/>
      <c r="AG163" s="419"/>
      <c r="AH163" s="419"/>
      <c r="AI163" s="420">
        <v>1818304</v>
      </c>
      <c r="AJ163" s="419">
        <v>1111847</v>
      </c>
      <c r="AK163" s="419">
        <v>1111847</v>
      </c>
      <c r="AL163" s="419"/>
      <c r="AM163" s="419"/>
      <c r="AN163" s="419"/>
      <c r="AO163" s="419"/>
      <c r="AP163" s="419"/>
      <c r="AQ163" s="419"/>
      <c r="AR163" s="454"/>
      <c r="AS163" s="454"/>
      <c r="AT163" s="454"/>
      <c r="AU163" s="454"/>
      <c r="AV163" s="454"/>
      <c r="AW163" s="454"/>
      <c r="AX163" s="419"/>
      <c r="AY163" s="419"/>
      <c r="AZ163" s="419"/>
      <c r="BA163" s="419"/>
      <c r="BB163" s="419"/>
      <c r="BC163" s="419"/>
      <c r="BD163" s="424">
        <f>100000000+2000000000-2000000000+2398965+300000000</f>
        <v>402398965</v>
      </c>
      <c r="BE163" s="424">
        <v>102398965</v>
      </c>
      <c r="BF163" s="424">
        <v>52100341</v>
      </c>
      <c r="BG163" s="419"/>
      <c r="BH163" s="419"/>
      <c r="BI163" s="419"/>
      <c r="BJ163" s="419"/>
      <c r="BK163" s="419"/>
      <c r="BL163" s="419"/>
      <c r="BM163" s="419"/>
      <c r="BN163" s="419"/>
      <c r="BO163" s="419"/>
      <c r="BP163" s="403">
        <f t="shared" ref="BP163:BR164" si="72">+Z163+AC163+AF163+AI163+AL163+AO163+AR163+AU163+AX163+BA163+BD163+BG163+BJ163</f>
        <v>404217269</v>
      </c>
      <c r="BQ163" s="403">
        <f t="shared" si="72"/>
        <v>103510812</v>
      </c>
      <c r="BR163" s="403">
        <f t="shared" si="72"/>
        <v>53212188</v>
      </c>
      <c r="BS163" s="359" t="s">
        <v>1662</v>
      </c>
      <c r="BT163" s="5"/>
    </row>
    <row r="164" spans="1:110" s="20" customFormat="1" ht="147.75" customHeight="1" x14ac:dyDescent="0.25">
      <c r="A164" s="327">
        <v>314</v>
      </c>
      <c r="B164" s="326" t="s">
        <v>1634</v>
      </c>
      <c r="C164" s="323">
        <v>2</v>
      </c>
      <c r="D164" s="326" t="s">
        <v>1629</v>
      </c>
      <c r="E164" s="323">
        <v>39</v>
      </c>
      <c r="F164" s="326" t="s">
        <v>1488</v>
      </c>
      <c r="G164" s="323">
        <v>3904</v>
      </c>
      <c r="H164" s="326" t="s">
        <v>1610</v>
      </c>
      <c r="I164" s="323">
        <v>3904</v>
      </c>
      <c r="J164" s="326" t="s">
        <v>1610</v>
      </c>
      <c r="K164" s="326" t="s">
        <v>760</v>
      </c>
      <c r="L164" s="323">
        <v>3904006</v>
      </c>
      <c r="M164" s="326" t="s">
        <v>761</v>
      </c>
      <c r="N164" s="323">
        <v>3904006</v>
      </c>
      <c r="O164" s="326" t="s">
        <v>761</v>
      </c>
      <c r="P164" s="422">
        <v>390400604</v>
      </c>
      <c r="Q164" s="443" t="s">
        <v>762</v>
      </c>
      <c r="R164" s="422">
        <v>390400604</v>
      </c>
      <c r="S164" s="443" t="s">
        <v>763</v>
      </c>
      <c r="T164" s="349" t="s">
        <v>1691</v>
      </c>
      <c r="U164" s="103">
        <v>18</v>
      </c>
      <c r="V164" s="103">
        <v>0</v>
      </c>
      <c r="W164" s="478" t="s">
        <v>764</v>
      </c>
      <c r="X164" s="324" t="s">
        <v>765</v>
      </c>
      <c r="Y164" s="326" t="s">
        <v>766</v>
      </c>
      <c r="Z164" s="419"/>
      <c r="AA164" s="419"/>
      <c r="AB164" s="419"/>
      <c r="AC164" s="419"/>
      <c r="AD164" s="419"/>
      <c r="AE164" s="419"/>
      <c r="AF164" s="419"/>
      <c r="AG164" s="419"/>
      <c r="AH164" s="419"/>
      <c r="AI164" s="401"/>
      <c r="AJ164" s="419"/>
      <c r="AK164" s="419"/>
      <c r="AL164" s="419"/>
      <c r="AM164" s="419"/>
      <c r="AN164" s="419"/>
      <c r="AO164" s="419"/>
      <c r="AP164" s="419"/>
      <c r="AQ164" s="419"/>
      <c r="AR164" s="454"/>
      <c r="AS164" s="454"/>
      <c r="AT164" s="454"/>
      <c r="AU164" s="454"/>
      <c r="AV164" s="454"/>
      <c r="AW164" s="454"/>
      <c r="AX164" s="419"/>
      <c r="AY164" s="419"/>
      <c r="AZ164" s="419"/>
      <c r="BA164" s="419"/>
      <c r="BB164" s="419"/>
      <c r="BC164" s="419"/>
      <c r="BD164" s="424">
        <v>7500000</v>
      </c>
      <c r="BE164" s="424"/>
      <c r="BF164" s="424"/>
      <c r="BG164" s="419"/>
      <c r="BH164" s="419"/>
      <c r="BI164" s="419"/>
      <c r="BJ164" s="419"/>
      <c r="BK164" s="419"/>
      <c r="BL164" s="419"/>
      <c r="BM164" s="419"/>
      <c r="BN164" s="419"/>
      <c r="BO164" s="419"/>
      <c r="BP164" s="403">
        <f t="shared" si="72"/>
        <v>7500000</v>
      </c>
      <c r="BQ164" s="403">
        <f t="shared" si="72"/>
        <v>0</v>
      </c>
      <c r="BR164" s="403">
        <f t="shared" si="72"/>
        <v>0</v>
      </c>
      <c r="BS164" s="359" t="s">
        <v>1662</v>
      </c>
      <c r="BT164" s="5"/>
      <c r="BU164" s="49"/>
      <c r="BV164" s="49"/>
      <c r="BW164" s="49"/>
      <c r="BX164" s="49"/>
      <c r="BY164" s="49"/>
      <c r="BZ164" s="49"/>
      <c r="CA164" s="49"/>
      <c r="CB164" s="49"/>
      <c r="CC164" s="49"/>
      <c r="CD164" s="49"/>
      <c r="CE164" s="49"/>
      <c r="CF164" s="49"/>
      <c r="CG164" s="49"/>
      <c r="CH164" s="49"/>
      <c r="CI164" s="49"/>
      <c r="CJ164" s="49"/>
      <c r="CK164" s="49"/>
      <c r="CL164" s="49"/>
      <c r="CM164" s="49"/>
      <c r="CN164" s="49"/>
      <c r="CO164" s="49"/>
      <c r="CP164" s="49"/>
      <c r="CQ164" s="49"/>
      <c r="CR164" s="49"/>
      <c r="CS164" s="49"/>
      <c r="CT164" s="49"/>
      <c r="CU164" s="49"/>
      <c r="CV164" s="49"/>
      <c r="CW164" s="49"/>
      <c r="CX164" s="49"/>
      <c r="CY164" s="49"/>
      <c r="CZ164" s="49"/>
      <c r="DA164" s="49"/>
      <c r="DB164" s="49"/>
      <c r="DC164" s="49"/>
      <c r="DD164" s="49"/>
      <c r="DE164" s="49"/>
      <c r="DF164" s="49"/>
    </row>
    <row r="165" spans="1:110" ht="222.75" customHeight="1" x14ac:dyDescent="0.2">
      <c r="A165" s="327">
        <v>316</v>
      </c>
      <c r="B165" s="326" t="s">
        <v>1635</v>
      </c>
      <c r="C165" s="323">
        <v>1</v>
      </c>
      <c r="D165" s="326" t="s">
        <v>1622</v>
      </c>
      <c r="E165" s="323">
        <v>19</v>
      </c>
      <c r="F165" s="326" t="s">
        <v>147</v>
      </c>
      <c r="G165" s="323">
        <v>1905</v>
      </c>
      <c r="H165" s="326" t="s">
        <v>768</v>
      </c>
      <c r="I165" s="323">
        <v>1905</v>
      </c>
      <c r="J165" s="326" t="s">
        <v>1594</v>
      </c>
      <c r="K165" s="326" t="s">
        <v>769</v>
      </c>
      <c r="L165" s="435">
        <v>1905021</v>
      </c>
      <c r="M165" s="326" t="s">
        <v>770</v>
      </c>
      <c r="N165" s="435">
        <v>1905021</v>
      </c>
      <c r="O165" s="326" t="s">
        <v>770</v>
      </c>
      <c r="P165" s="435">
        <v>190502100</v>
      </c>
      <c r="Q165" s="326" t="s">
        <v>771</v>
      </c>
      <c r="R165" s="323">
        <v>190502100</v>
      </c>
      <c r="S165" s="326" t="s">
        <v>771</v>
      </c>
      <c r="T165" s="349" t="s">
        <v>1689</v>
      </c>
      <c r="U165" s="103">
        <v>12</v>
      </c>
      <c r="V165" s="103">
        <v>10</v>
      </c>
      <c r="W165" s="427" t="s">
        <v>772</v>
      </c>
      <c r="X165" s="324" t="s">
        <v>773</v>
      </c>
      <c r="Y165" s="326" t="s">
        <v>774</v>
      </c>
      <c r="Z165" s="419">
        <v>0</v>
      </c>
      <c r="AA165" s="419"/>
      <c r="AB165" s="419"/>
      <c r="AC165" s="419">
        <v>0</v>
      </c>
      <c r="AD165" s="419"/>
      <c r="AE165" s="419"/>
      <c r="AF165" s="419">
        <v>0</v>
      </c>
      <c r="AG165" s="419"/>
      <c r="AH165" s="419"/>
      <c r="AI165" s="419">
        <v>0</v>
      </c>
      <c r="AJ165" s="419"/>
      <c r="AK165" s="419"/>
      <c r="AL165" s="419">
        <v>0</v>
      </c>
      <c r="AM165" s="419"/>
      <c r="AN165" s="419"/>
      <c r="AO165" s="419">
        <v>0</v>
      </c>
      <c r="AP165" s="419"/>
      <c r="AQ165" s="419"/>
      <c r="AR165" s="419">
        <v>0</v>
      </c>
      <c r="AS165" s="419"/>
      <c r="AT165" s="419"/>
      <c r="AU165" s="419">
        <v>0</v>
      </c>
      <c r="AV165" s="419"/>
      <c r="AW165" s="419"/>
      <c r="AX165" s="419">
        <v>0</v>
      </c>
      <c r="AY165" s="419"/>
      <c r="AZ165" s="419"/>
      <c r="BA165" s="419">
        <v>0</v>
      </c>
      <c r="BB165" s="419"/>
      <c r="BC165" s="419"/>
      <c r="BD165" s="424">
        <f>100000000+15386000</f>
        <v>115386000</v>
      </c>
      <c r="BE165" s="424">
        <v>102525000</v>
      </c>
      <c r="BF165" s="424">
        <v>65095667</v>
      </c>
      <c r="BG165" s="419">
        <v>0</v>
      </c>
      <c r="BH165" s="419"/>
      <c r="BI165" s="419"/>
      <c r="BJ165" s="419">
        <v>0</v>
      </c>
      <c r="BK165" s="419"/>
      <c r="BL165" s="419"/>
      <c r="BM165" s="419"/>
      <c r="BN165" s="419"/>
      <c r="BO165" s="419"/>
      <c r="BP165" s="403">
        <f t="shared" ref="BP165:BP166" si="73">+Z165+AC165+AF165+AI165+AL165+AO165+AR165+AU165+AX165+BA165+BD165+BG165+BJ165</f>
        <v>115386000</v>
      </c>
      <c r="BQ165" s="403">
        <f t="shared" ref="BQ165:BR167" si="74">+AA165+AD165+AG165+AJ165+AM165+AP165+AS165+AV165+AY165+BB165+BE165+BH165+BK165</f>
        <v>102525000</v>
      </c>
      <c r="BR165" s="403">
        <f t="shared" si="74"/>
        <v>65095667</v>
      </c>
      <c r="BS165" s="359" t="s">
        <v>1663</v>
      </c>
      <c r="BT165" s="5"/>
    </row>
    <row r="166" spans="1:110" ht="186" customHeight="1" x14ac:dyDescent="0.2">
      <c r="A166" s="327">
        <v>316</v>
      </c>
      <c r="B166" s="326" t="s">
        <v>1635</v>
      </c>
      <c r="C166" s="323">
        <v>1</v>
      </c>
      <c r="D166" s="326" t="s">
        <v>1622</v>
      </c>
      <c r="E166" s="323">
        <v>19</v>
      </c>
      <c r="F166" s="326" t="s">
        <v>147</v>
      </c>
      <c r="G166" s="323">
        <v>1905</v>
      </c>
      <c r="H166" s="326" t="s">
        <v>768</v>
      </c>
      <c r="I166" s="323">
        <v>1905</v>
      </c>
      <c r="J166" s="326" t="s">
        <v>1594</v>
      </c>
      <c r="K166" s="326" t="s">
        <v>775</v>
      </c>
      <c r="L166" s="430">
        <v>1905022</v>
      </c>
      <c r="M166" s="429" t="s">
        <v>776</v>
      </c>
      <c r="N166" s="430">
        <v>1905022</v>
      </c>
      <c r="O166" s="429" t="s">
        <v>776</v>
      </c>
      <c r="P166" s="422">
        <v>190502200</v>
      </c>
      <c r="Q166" s="326" t="s">
        <v>777</v>
      </c>
      <c r="R166" s="422">
        <v>190502200</v>
      </c>
      <c r="S166" s="326" t="s">
        <v>777</v>
      </c>
      <c r="T166" s="349" t="s">
        <v>1689</v>
      </c>
      <c r="U166" s="103">
        <v>12</v>
      </c>
      <c r="V166" s="103">
        <v>10</v>
      </c>
      <c r="W166" s="427" t="s">
        <v>772</v>
      </c>
      <c r="X166" s="324" t="s">
        <v>773</v>
      </c>
      <c r="Y166" s="326" t="s">
        <v>774</v>
      </c>
      <c r="Z166" s="419">
        <v>0</v>
      </c>
      <c r="AA166" s="419"/>
      <c r="AB166" s="419"/>
      <c r="AC166" s="419"/>
      <c r="AD166" s="419"/>
      <c r="AE166" s="419"/>
      <c r="AF166" s="419"/>
      <c r="AG166" s="419"/>
      <c r="AH166" s="419"/>
      <c r="AI166" s="419"/>
      <c r="AJ166" s="419"/>
      <c r="AK166" s="419"/>
      <c r="AL166" s="419"/>
      <c r="AM166" s="419"/>
      <c r="AN166" s="419"/>
      <c r="AO166" s="419"/>
      <c r="AP166" s="419"/>
      <c r="AQ166" s="419"/>
      <c r="AR166" s="419"/>
      <c r="AS166" s="419"/>
      <c r="AT166" s="419"/>
      <c r="AU166" s="419"/>
      <c r="AV166" s="419"/>
      <c r="AW166" s="419"/>
      <c r="AX166" s="419"/>
      <c r="AY166" s="419"/>
      <c r="AZ166" s="419"/>
      <c r="BA166" s="419"/>
      <c r="BB166" s="419"/>
      <c r="BC166" s="419"/>
      <c r="BD166" s="424">
        <f>75000000-15386000-5000000</f>
        <v>54614000</v>
      </c>
      <c r="BE166" s="424">
        <v>46238550</v>
      </c>
      <c r="BF166" s="424">
        <v>32185000</v>
      </c>
      <c r="BG166" s="419"/>
      <c r="BH166" s="419"/>
      <c r="BI166" s="419"/>
      <c r="BJ166" s="419"/>
      <c r="BK166" s="419"/>
      <c r="BL166" s="419"/>
      <c r="BM166" s="419"/>
      <c r="BN166" s="419"/>
      <c r="BO166" s="419"/>
      <c r="BP166" s="403">
        <f t="shared" si="73"/>
        <v>54614000</v>
      </c>
      <c r="BQ166" s="403">
        <f t="shared" si="74"/>
        <v>46238550</v>
      </c>
      <c r="BR166" s="403">
        <f t="shared" si="74"/>
        <v>32185000</v>
      </c>
      <c r="BS166" s="359" t="s">
        <v>1663</v>
      </c>
      <c r="BT166" s="5"/>
    </row>
    <row r="167" spans="1:110" ht="183" customHeight="1" x14ac:dyDescent="0.2">
      <c r="A167" s="327">
        <v>316</v>
      </c>
      <c r="B167" s="326" t="s">
        <v>1635</v>
      </c>
      <c r="C167" s="323">
        <v>1</v>
      </c>
      <c r="D167" s="326" t="s">
        <v>1622</v>
      </c>
      <c r="E167" s="323">
        <v>33</v>
      </c>
      <c r="F167" s="417" t="s">
        <v>166</v>
      </c>
      <c r="G167" s="323">
        <v>3301</v>
      </c>
      <c r="H167" s="326" t="s">
        <v>167</v>
      </c>
      <c r="I167" s="323">
        <v>3301</v>
      </c>
      <c r="J167" s="326" t="s">
        <v>1606</v>
      </c>
      <c r="K167" s="326" t="s">
        <v>778</v>
      </c>
      <c r="L167" s="435">
        <v>3301051</v>
      </c>
      <c r="M167" s="326" t="s">
        <v>779</v>
      </c>
      <c r="N167" s="435">
        <v>3301051</v>
      </c>
      <c r="O167" s="326" t="s">
        <v>779</v>
      </c>
      <c r="P167" s="435">
        <v>330105110</v>
      </c>
      <c r="Q167" s="326" t="s">
        <v>780</v>
      </c>
      <c r="R167" s="435">
        <v>330105110</v>
      </c>
      <c r="S167" s="326" t="s">
        <v>780</v>
      </c>
      <c r="T167" s="349" t="s">
        <v>1691</v>
      </c>
      <c r="U167" s="103">
        <v>250</v>
      </c>
      <c r="V167" s="103">
        <v>225</v>
      </c>
      <c r="W167" s="349" t="s">
        <v>781</v>
      </c>
      <c r="X167" s="324" t="s">
        <v>782</v>
      </c>
      <c r="Y167" s="326" t="s">
        <v>783</v>
      </c>
      <c r="Z167" s="419"/>
      <c r="AA167" s="419"/>
      <c r="AB167" s="419"/>
      <c r="AC167" s="419"/>
      <c r="AD167" s="419"/>
      <c r="AE167" s="419"/>
      <c r="AF167" s="419"/>
      <c r="AG167" s="419"/>
      <c r="AH167" s="419"/>
      <c r="AI167" s="419"/>
      <c r="AJ167" s="419"/>
      <c r="AK167" s="419"/>
      <c r="AL167" s="419"/>
      <c r="AM167" s="419"/>
      <c r="AN167" s="419"/>
      <c r="AO167" s="419"/>
      <c r="AP167" s="419"/>
      <c r="AQ167" s="419"/>
      <c r="AR167" s="419"/>
      <c r="AS167" s="419"/>
      <c r="AT167" s="419"/>
      <c r="AU167" s="419"/>
      <c r="AV167" s="419"/>
      <c r="AW167" s="419"/>
      <c r="AX167" s="419"/>
      <c r="AY167" s="419"/>
      <c r="AZ167" s="419"/>
      <c r="BA167" s="419"/>
      <c r="BB167" s="419"/>
      <c r="BC167" s="419"/>
      <c r="BD167" s="424">
        <v>14250000</v>
      </c>
      <c r="BE167" s="424">
        <v>12985000</v>
      </c>
      <c r="BF167" s="424">
        <v>9275000</v>
      </c>
      <c r="BG167" s="419"/>
      <c r="BH167" s="419"/>
      <c r="BI167" s="419"/>
      <c r="BJ167" s="419"/>
      <c r="BK167" s="419"/>
      <c r="BL167" s="419"/>
      <c r="BM167" s="419"/>
      <c r="BN167" s="419"/>
      <c r="BO167" s="419"/>
      <c r="BP167" s="403">
        <f>+Z167+AC167+AF167+AI167+AL167+AO167+AR167+AU167+AX167+BA167+BD167+BG167+BJ167</f>
        <v>14250000</v>
      </c>
      <c r="BQ167" s="403">
        <f t="shared" si="74"/>
        <v>12985000</v>
      </c>
      <c r="BR167" s="403">
        <f t="shared" si="74"/>
        <v>9275000</v>
      </c>
      <c r="BS167" s="359" t="s">
        <v>1663</v>
      </c>
      <c r="BT167" s="5"/>
    </row>
    <row r="168" spans="1:110" ht="127.5" customHeight="1" x14ac:dyDescent="0.2">
      <c r="A168" s="327">
        <v>316</v>
      </c>
      <c r="B168" s="326" t="s">
        <v>1635</v>
      </c>
      <c r="C168" s="323">
        <v>1</v>
      </c>
      <c r="D168" s="326" t="s">
        <v>1622</v>
      </c>
      <c r="E168" s="323">
        <v>41</v>
      </c>
      <c r="F168" s="326" t="s">
        <v>784</v>
      </c>
      <c r="G168" s="323">
        <v>4102</v>
      </c>
      <c r="H168" s="326" t="s">
        <v>785</v>
      </c>
      <c r="I168" s="323">
        <v>4102</v>
      </c>
      <c r="J168" s="326" t="s">
        <v>1571</v>
      </c>
      <c r="K168" s="326" t="s">
        <v>786</v>
      </c>
      <c r="L168" s="323" t="s">
        <v>41</v>
      </c>
      <c r="M168" s="326" t="s">
        <v>787</v>
      </c>
      <c r="N168" s="435">
        <v>4102035</v>
      </c>
      <c r="O168" s="326" t="s">
        <v>84</v>
      </c>
      <c r="P168" s="323" t="s">
        <v>41</v>
      </c>
      <c r="Q168" s="326" t="s">
        <v>788</v>
      </c>
      <c r="R168" s="99">
        <v>410203500</v>
      </c>
      <c r="S168" s="326" t="s">
        <v>86</v>
      </c>
      <c r="T168" s="349" t="s">
        <v>1689</v>
      </c>
      <c r="U168" s="445">
        <v>1</v>
      </c>
      <c r="V168" s="445">
        <v>0.6</v>
      </c>
      <c r="W168" s="427" t="s">
        <v>789</v>
      </c>
      <c r="X168" s="324" t="s">
        <v>1489</v>
      </c>
      <c r="Y168" s="326" t="s">
        <v>790</v>
      </c>
      <c r="Z168" s="419"/>
      <c r="AA168" s="419"/>
      <c r="AB168" s="419"/>
      <c r="AC168" s="419"/>
      <c r="AD168" s="419"/>
      <c r="AE168" s="419"/>
      <c r="AF168" s="419"/>
      <c r="AG168" s="419"/>
      <c r="AH168" s="419"/>
      <c r="AI168" s="419"/>
      <c r="AJ168" s="419"/>
      <c r="AK168" s="419"/>
      <c r="AL168" s="419"/>
      <c r="AM168" s="419"/>
      <c r="AN168" s="419"/>
      <c r="AO168" s="419"/>
      <c r="AP168" s="419"/>
      <c r="AQ168" s="419"/>
      <c r="AR168" s="419"/>
      <c r="AS168" s="419"/>
      <c r="AT168" s="419"/>
      <c r="AU168" s="419"/>
      <c r="AV168" s="419"/>
      <c r="AW168" s="419"/>
      <c r="AX168" s="419"/>
      <c r="AY168" s="419"/>
      <c r="AZ168" s="419"/>
      <c r="BA168" s="419"/>
      <c r="BB168" s="419"/>
      <c r="BC168" s="419"/>
      <c r="BD168" s="424">
        <f>20000000+30000000</f>
        <v>50000000</v>
      </c>
      <c r="BE168" s="424">
        <v>40102667</v>
      </c>
      <c r="BF168" s="424">
        <v>0</v>
      </c>
      <c r="BG168" s="419"/>
      <c r="BH168" s="419"/>
      <c r="BI168" s="419"/>
      <c r="BJ168" s="419"/>
      <c r="BK168" s="419"/>
      <c r="BL168" s="419"/>
      <c r="BM168" s="419"/>
      <c r="BN168" s="419"/>
      <c r="BO168" s="419"/>
      <c r="BP168" s="403">
        <f t="shared" ref="BP168:BP177" si="75">+Z168+AC168+AF168+AI168+AL168+AO168+AR168+AU168+AX168+BA168+BD168+BG168+BJ168</f>
        <v>50000000</v>
      </c>
      <c r="BQ168" s="403">
        <f t="shared" ref="BQ168:BQ177" si="76">+AA168+AD168+AG168+AJ168+AM168+AP168+AS168+AV168+AY168+BB168+BE168+BH168+BK168</f>
        <v>40102667</v>
      </c>
      <c r="BR168" s="403">
        <f t="shared" ref="BR168:BR177" si="77">+AB168+AE168+AH168+AK168+AN168+AQ168+AT168+AW168+AZ168+BC168+BF168+BI168+BL168</f>
        <v>0</v>
      </c>
      <c r="BS168" s="359" t="s">
        <v>1663</v>
      </c>
      <c r="BT168" s="5"/>
    </row>
    <row r="169" spans="1:110" ht="92.25" customHeight="1" x14ac:dyDescent="0.2">
      <c r="A169" s="327">
        <v>316</v>
      </c>
      <c r="B169" s="326" t="s">
        <v>1635</v>
      </c>
      <c r="C169" s="323">
        <v>1</v>
      </c>
      <c r="D169" s="326" t="s">
        <v>1622</v>
      </c>
      <c r="E169" s="323">
        <v>41</v>
      </c>
      <c r="F169" s="326" t="s">
        <v>784</v>
      </c>
      <c r="G169" s="323">
        <v>4102</v>
      </c>
      <c r="H169" s="326" t="s">
        <v>785</v>
      </c>
      <c r="I169" s="323">
        <v>4102</v>
      </c>
      <c r="J169" s="326" t="s">
        <v>1571</v>
      </c>
      <c r="K169" s="326" t="s">
        <v>791</v>
      </c>
      <c r="L169" s="323" t="s">
        <v>41</v>
      </c>
      <c r="M169" s="326" t="s">
        <v>792</v>
      </c>
      <c r="N169" s="435">
        <v>4102001</v>
      </c>
      <c r="O169" s="326" t="s">
        <v>793</v>
      </c>
      <c r="P169" s="323" t="s">
        <v>41</v>
      </c>
      <c r="Q169" s="443" t="s">
        <v>794</v>
      </c>
      <c r="R169" s="435">
        <v>410200100</v>
      </c>
      <c r="S169" s="443" t="s">
        <v>795</v>
      </c>
      <c r="T169" s="349" t="s">
        <v>1689</v>
      </c>
      <c r="U169" s="445">
        <v>12</v>
      </c>
      <c r="V169" s="445">
        <v>10</v>
      </c>
      <c r="W169" s="427" t="s">
        <v>789</v>
      </c>
      <c r="X169" s="324" t="s">
        <v>1489</v>
      </c>
      <c r="Y169" s="326" t="s">
        <v>790</v>
      </c>
      <c r="Z169" s="419"/>
      <c r="AA169" s="419"/>
      <c r="AB169" s="419"/>
      <c r="AC169" s="419"/>
      <c r="AD169" s="419"/>
      <c r="AE169" s="419"/>
      <c r="AF169" s="419"/>
      <c r="AG169" s="419"/>
      <c r="AH169" s="419"/>
      <c r="AI169" s="419"/>
      <c r="AJ169" s="419"/>
      <c r="AK169" s="419"/>
      <c r="AL169" s="419"/>
      <c r="AM169" s="419"/>
      <c r="AN169" s="419"/>
      <c r="AO169" s="419"/>
      <c r="AP169" s="419"/>
      <c r="AQ169" s="419"/>
      <c r="AR169" s="419"/>
      <c r="AS169" s="419"/>
      <c r="AT169" s="419"/>
      <c r="AU169" s="419"/>
      <c r="AV169" s="419"/>
      <c r="AW169" s="419"/>
      <c r="AX169" s="419"/>
      <c r="AY169" s="419"/>
      <c r="AZ169" s="419"/>
      <c r="BA169" s="419"/>
      <c r="BB169" s="419"/>
      <c r="BC169" s="419"/>
      <c r="BD169" s="424">
        <f>50000000+1930000</f>
        <v>51930000</v>
      </c>
      <c r="BE169" s="424">
        <v>46063834</v>
      </c>
      <c r="BF169" s="424">
        <v>31735000</v>
      </c>
      <c r="BG169" s="419"/>
      <c r="BH169" s="419"/>
      <c r="BI169" s="419"/>
      <c r="BJ169" s="419"/>
      <c r="BK169" s="419"/>
      <c r="BL169" s="419"/>
      <c r="BM169" s="419"/>
      <c r="BN169" s="419"/>
      <c r="BO169" s="419"/>
      <c r="BP169" s="403">
        <f t="shared" si="75"/>
        <v>51930000</v>
      </c>
      <c r="BQ169" s="403">
        <f t="shared" si="76"/>
        <v>46063834</v>
      </c>
      <c r="BR169" s="403">
        <f t="shared" si="77"/>
        <v>31735000</v>
      </c>
      <c r="BS169" s="359" t="s">
        <v>1663</v>
      </c>
      <c r="BT169" s="5"/>
    </row>
    <row r="170" spans="1:110" ht="270.75" customHeight="1" x14ac:dyDescent="0.2">
      <c r="A170" s="327">
        <v>316</v>
      </c>
      <c r="B170" s="326" t="s">
        <v>1635</v>
      </c>
      <c r="C170" s="323">
        <v>1</v>
      </c>
      <c r="D170" s="326" t="s">
        <v>1622</v>
      </c>
      <c r="E170" s="323">
        <v>41</v>
      </c>
      <c r="F170" s="326" t="s">
        <v>784</v>
      </c>
      <c r="G170" s="323">
        <v>4102</v>
      </c>
      <c r="H170" s="326" t="s">
        <v>785</v>
      </c>
      <c r="I170" s="323">
        <v>4102</v>
      </c>
      <c r="J170" s="326" t="s">
        <v>1571</v>
      </c>
      <c r="K170" s="326" t="s">
        <v>796</v>
      </c>
      <c r="L170" s="323" t="s">
        <v>41</v>
      </c>
      <c r="M170" s="326" t="s">
        <v>797</v>
      </c>
      <c r="N170" s="402" t="s">
        <v>798</v>
      </c>
      <c r="O170" s="326" t="s">
        <v>799</v>
      </c>
      <c r="P170" s="323" t="s">
        <v>41</v>
      </c>
      <c r="Q170" s="326" t="s">
        <v>800</v>
      </c>
      <c r="R170" s="402" t="s">
        <v>801</v>
      </c>
      <c r="S170" s="443" t="s">
        <v>802</v>
      </c>
      <c r="T170" s="349" t="s">
        <v>1689</v>
      </c>
      <c r="U170" s="445">
        <v>1</v>
      </c>
      <c r="V170" s="445">
        <v>0.6</v>
      </c>
      <c r="W170" s="349" t="s">
        <v>803</v>
      </c>
      <c r="X170" s="324" t="s">
        <v>804</v>
      </c>
      <c r="Y170" s="326" t="s">
        <v>805</v>
      </c>
      <c r="Z170" s="419"/>
      <c r="AA170" s="419"/>
      <c r="AB170" s="419"/>
      <c r="AC170" s="419"/>
      <c r="AD170" s="419"/>
      <c r="AE170" s="419"/>
      <c r="AF170" s="419"/>
      <c r="AG170" s="419"/>
      <c r="AH170" s="419"/>
      <c r="AI170" s="419"/>
      <c r="AJ170" s="419"/>
      <c r="AK170" s="419"/>
      <c r="AL170" s="419"/>
      <c r="AM170" s="419"/>
      <c r="AN170" s="419"/>
      <c r="AO170" s="419"/>
      <c r="AP170" s="419"/>
      <c r="AQ170" s="419"/>
      <c r="AR170" s="419"/>
      <c r="AS170" s="419"/>
      <c r="AT170" s="419"/>
      <c r="AU170" s="419"/>
      <c r="AV170" s="419"/>
      <c r="AW170" s="419"/>
      <c r="AX170" s="419"/>
      <c r="AY170" s="419"/>
      <c r="AZ170" s="419"/>
      <c r="BA170" s="419"/>
      <c r="BB170" s="419"/>
      <c r="BC170" s="419"/>
      <c r="BD170" s="424">
        <f>135000000-3000000</f>
        <v>132000000</v>
      </c>
      <c r="BE170" s="424">
        <v>79519000</v>
      </c>
      <c r="BF170" s="424">
        <v>46190000</v>
      </c>
      <c r="BG170" s="419"/>
      <c r="BH170" s="419"/>
      <c r="BI170" s="419"/>
      <c r="BJ170" s="419"/>
      <c r="BK170" s="419"/>
      <c r="BL170" s="419"/>
      <c r="BM170" s="419"/>
      <c r="BN170" s="419"/>
      <c r="BO170" s="419"/>
      <c r="BP170" s="403">
        <f t="shared" si="75"/>
        <v>132000000</v>
      </c>
      <c r="BQ170" s="403">
        <f t="shared" si="76"/>
        <v>79519000</v>
      </c>
      <c r="BR170" s="403">
        <f t="shared" si="77"/>
        <v>46190000</v>
      </c>
      <c r="BS170" s="359" t="s">
        <v>1663</v>
      </c>
      <c r="BT170" s="5"/>
    </row>
    <row r="171" spans="1:110" ht="237" customHeight="1" x14ac:dyDescent="0.2">
      <c r="A171" s="327">
        <v>316</v>
      </c>
      <c r="B171" s="326" t="s">
        <v>1635</v>
      </c>
      <c r="C171" s="323">
        <v>1</v>
      </c>
      <c r="D171" s="326" t="s">
        <v>1622</v>
      </c>
      <c r="E171" s="323">
        <v>41</v>
      </c>
      <c r="F171" s="326" t="s">
        <v>784</v>
      </c>
      <c r="G171" s="323">
        <v>4102</v>
      </c>
      <c r="H171" s="326" t="s">
        <v>785</v>
      </c>
      <c r="I171" s="323">
        <v>4102</v>
      </c>
      <c r="J171" s="326" t="s">
        <v>1571</v>
      </c>
      <c r="K171" s="326" t="s">
        <v>806</v>
      </c>
      <c r="L171" s="323" t="s">
        <v>41</v>
      </c>
      <c r="M171" s="326" t="s">
        <v>807</v>
      </c>
      <c r="N171" s="402" t="s">
        <v>808</v>
      </c>
      <c r="O171" s="326" t="s">
        <v>84</v>
      </c>
      <c r="P171" s="323" t="s">
        <v>41</v>
      </c>
      <c r="Q171" s="326" t="s">
        <v>809</v>
      </c>
      <c r="R171" s="435" t="s">
        <v>810</v>
      </c>
      <c r="S171" s="326" t="s">
        <v>811</v>
      </c>
      <c r="T171" s="349" t="s">
        <v>1691</v>
      </c>
      <c r="U171" s="445">
        <v>1</v>
      </c>
      <c r="V171" s="445">
        <v>0.9</v>
      </c>
      <c r="W171" s="427" t="s">
        <v>812</v>
      </c>
      <c r="X171" s="324" t="s">
        <v>813</v>
      </c>
      <c r="Y171" s="326" t="s">
        <v>814</v>
      </c>
      <c r="Z171" s="419"/>
      <c r="AA171" s="419"/>
      <c r="AB171" s="419"/>
      <c r="AC171" s="419"/>
      <c r="AD171" s="419"/>
      <c r="AE171" s="419"/>
      <c r="AF171" s="419"/>
      <c r="AG171" s="419"/>
      <c r="AH171" s="419"/>
      <c r="AI171" s="419"/>
      <c r="AJ171" s="419"/>
      <c r="AK171" s="419"/>
      <c r="AL171" s="419"/>
      <c r="AM171" s="419"/>
      <c r="AN171" s="419"/>
      <c r="AO171" s="419"/>
      <c r="AP171" s="419"/>
      <c r="AQ171" s="419"/>
      <c r="AR171" s="419"/>
      <c r="AS171" s="419"/>
      <c r="AT171" s="419"/>
      <c r="AU171" s="419"/>
      <c r="AV171" s="419"/>
      <c r="AW171" s="419"/>
      <c r="AX171" s="419"/>
      <c r="AY171" s="419"/>
      <c r="AZ171" s="419"/>
      <c r="BA171" s="419"/>
      <c r="BB171" s="419"/>
      <c r="BC171" s="419"/>
      <c r="BD171" s="424">
        <f>36000000-12460000</f>
        <v>23540000</v>
      </c>
      <c r="BE171" s="424">
        <v>23540000</v>
      </c>
      <c r="BF171" s="424">
        <v>21310000</v>
      </c>
      <c r="BG171" s="419"/>
      <c r="BH171" s="419"/>
      <c r="BI171" s="419"/>
      <c r="BJ171" s="419"/>
      <c r="BK171" s="419"/>
      <c r="BL171" s="419"/>
      <c r="BM171" s="419"/>
      <c r="BN171" s="419"/>
      <c r="BO171" s="419"/>
      <c r="BP171" s="403">
        <f t="shared" ref="BP171:BP172" si="78">+Z171+AC171+AF171+AI171+AL171+AO171+AR171+AU171+AX171+BA171+BD171+BG171+BJ171</f>
        <v>23540000</v>
      </c>
      <c r="BQ171" s="403">
        <f t="shared" si="76"/>
        <v>23540000</v>
      </c>
      <c r="BR171" s="403">
        <f t="shared" si="77"/>
        <v>21310000</v>
      </c>
      <c r="BS171" s="359" t="s">
        <v>1663</v>
      </c>
      <c r="BT171" s="5"/>
    </row>
    <row r="172" spans="1:110" ht="234" customHeight="1" x14ac:dyDescent="0.2">
      <c r="A172" s="327">
        <v>316</v>
      </c>
      <c r="B172" s="326" t="s">
        <v>1635</v>
      </c>
      <c r="C172" s="323">
        <v>1</v>
      </c>
      <c r="D172" s="326" t="s">
        <v>1622</v>
      </c>
      <c r="E172" s="323">
        <v>41</v>
      </c>
      <c r="F172" s="326" t="s">
        <v>784</v>
      </c>
      <c r="G172" s="323">
        <v>4102</v>
      </c>
      <c r="H172" s="326" t="s">
        <v>785</v>
      </c>
      <c r="I172" s="323">
        <v>4102</v>
      </c>
      <c r="J172" s="326" t="s">
        <v>1571</v>
      </c>
      <c r="K172" s="326" t="s">
        <v>806</v>
      </c>
      <c r="L172" s="323" t="s">
        <v>41</v>
      </c>
      <c r="M172" s="326" t="s">
        <v>815</v>
      </c>
      <c r="N172" s="402" t="s">
        <v>798</v>
      </c>
      <c r="O172" s="326" t="s">
        <v>816</v>
      </c>
      <c r="P172" s="323" t="s">
        <v>41</v>
      </c>
      <c r="Q172" s="326" t="s">
        <v>817</v>
      </c>
      <c r="R172" s="435">
        <v>410204301</v>
      </c>
      <c r="S172" s="326" t="s">
        <v>818</v>
      </c>
      <c r="T172" s="349" t="s">
        <v>1689</v>
      </c>
      <c r="U172" s="445">
        <v>1</v>
      </c>
      <c r="V172" s="445">
        <v>0.25</v>
      </c>
      <c r="W172" s="427" t="s">
        <v>812</v>
      </c>
      <c r="X172" s="324" t="s">
        <v>813</v>
      </c>
      <c r="Y172" s="326" t="s">
        <v>814</v>
      </c>
      <c r="Z172" s="419"/>
      <c r="AA172" s="419"/>
      <c r="AB172" s="419"/>
      <c r="AC172" s="419"/>
      <c r="AD172" s="419"/>
      <c r="AE172" s="419"/>
      <c r="AF172" s="419"/>
      <c r="AG172" s="419"/>
      <c r="AH172" s="419"/>
      <c r="AI172" s="419"/>
      <c r="AJ172" s="419"/>
      <c r="AK172" s="419"/>
      <c r="AL172" s="419"/>
      <c r="AM172" s="419"/>
      <c r="AN172" s="419"/>
      <c r="AO172" s="419"/>
      <c r="AP172" s="419"/>
      <c r="AQ172" s="419"/>
      <c r="AR172" s="419"/>
      <c r="AS172" s="419"/>
      <c r="AT172" s="419"/>
      <c r="AU172" s="419"/>
      <c r="AV172" s="419"/>
      <c r="AW172" s="419"/>
      <c r="AX172" s="419"/>
      <c r="AY172" s="419"/>
      <c r="AZ172" s="419"/>
      <c r="BA172" s="419"/>
      <c r="BB172" s="419"/>
      <c r="BC172" s="419"/>
      <c r="BD172" s="424">
        <f>204000000+54647889+12460000+170000000</f>
        <v>441107889</v>
      </c>
      <c r="BE172" s="424">
        <v>63395000</v>
      </c>
      <c r="BF172" s="424">
        <v>42332000</v>
      </c>
      <c r="BG172" s="419"/>
      <c r="BH172" s="419"/>
      <c r="BI172" s="419"/>
      <c r="BJ172" s="419"/>
      <c r="BK172" s="419"/>
      <c r="BL172" s="419"/>
      <c r="BM172" s="419"/>
      <c r="BN172" s="419"/>
      <c r="BO172" s="419"/>
      <c r="BP172" s="403">
        <f t="shared" si="78"/>
        <v>441107889</v>
      </c>
      <c r="BQ172" s="403">
        <f t="shared" si="76"/>
        <v>63395000</v>
      </c>
      <c r="BR172" s="403">
        <f t="shared" si="77"/>
        <v>42332000</v>
      </c>
      <c r="BS172" s="359" t="s">
        <v>1663</v>
      </c>
      <c r="BT172" s="5"/>
    </row>
    <row r="173" spans="1:110" s="33" customFormat="1" ht="246.75" customHeight="1" x14ac:dyDescent="0.2">
      <c r="A173" s="327">
        <v>316</v>
      </c>
      <c r="B173" s="326" t="s">
        <v>1635</v>
      </c>
      <c r="C173" s="323">
        <v>1</v>
      </c>
      <c r="D173" s="326" t="s">
        <v>1622</v>
      </c>
      <c r="E173" s="323">
        <v>41</v>
      </c>
      <c r="F173" s="326" t="s">
        <v>784</v>
      </c>
      <c r="G173" s="323">
        <v>4102</v>
      </c>
      <c r="H173" s="326" t="s">
        <v>785</v>
      </c>
      <c r="I173" s="323">
        <v>4102</v>
      </c>
      <c r="J173" s="326" t="s">
        <v>1571</v>
      </c>
      <c r="K173" s="326" t="s">
        <v>819</v>
      </c>
      <c r="L173" s="323" t="s">
        <v>41</v>
      </c>
      <c r="M173" s="326" t="s">
        <v>820</v>
      </c>
      <c r="N173" s="435">
        <v>4102038</v>
      </c>
      <c r="O173" s="326" t="s">
        <v>821</v>
      </c>
      <c r="P173" s="323" t="s">
        <v>41</v>
      </c>
      <c r="Q173" s="326" t="s">
        <v>822</v>
      </c>
      <c r="R173" s="435">
        <v>410203800</v>
      </c>
      <c r="S173" s="326" t="s">
        <v>850</v>
      </c>
      <c r="T173" s="349" t="s">
        <v>1689</v>
      </c>
      <c r="U173" s="445">
        <v>1</v>
      </c>
      <c r="V173" s="445">
        <v>0.7</v>
      </c>
      <c r="W173" s="349" t="s">
        <v>823</v>
      </c>
      <c r="X173" s="324" t="s">
        <v>824</v>
      </c>
      <c r="Y173" s="326" t="s">
        <v>825</v>
      </c>
      <c r="Z173" s="419"/>
      <c r="AA173" s="419"/>
      <c r="AB173" s="419"/>
      <c r="AC173" s="419"/>
      <c r="AD173" s="419"/>
      <c r="AE173" s="419"/>
      <c r="AF173" s="419"/>
      <c r="AG173" s="419"/>
      <c r="AH173" s="419"/>
      <c r="AI173" s="419"/>
      <c r="AJ173" s="419"/>
      <c r="AK173" s="419"/>
      <c r="AL173" s="419"/>
      <c r="AM173" s="419"/>
      <c r="AN173" s="419"/>
      <c r="AO173" s="419"/>
      <c r="AP173" s="419"/>
      <c r="AQ173" s="419"/>
      <c r="AR173" s="419"/>
      <c r="AS173" s="419"/>
      <c r="AT173" s="419"/>
      <c r="AU173" s="419"/>
      <c r="AV173" s="419"/>
      <c r="AW173" s="419"/>
      <c r="AX173" s="419"/>
      <c r="AY173" s="419"/>
      <c r="AZ173" s="419"/>
      <c r="BA173" s="419"/>
      <c r="BB173" s="419"/>
      <c r="BC173" s="419"/>
      <c r="BD173" s="424">
        <f>210000000-10000000</f>
        <v>200000000</v>
      </c>
      <c r="BE173" s="424">
        <v>139324380</v>
      </c>
      <c r="BF173" s="424">
        <v>64719400</v>
      </c>
      <c r="BG173" s="419"/>
      <c r="BH173" s="419"/>
      <c r="BI173" s="419"/>
      <c r="BJ173" s="419"/>
      <c r="BK173" s="419"/>
      <c r="BL173" s="419"/>
      <c r="BM173" s="419"/>
      <c r="BN173" s="419"/>
      <c r="BO173" s="419"/>
      <c r="BP173" s="403">
        <f t="shared" si="75"/>
        <v>200000000</v>
      </c>
      <c r="BQ173" s="403">
        <f t="shared" si="76"/>
        <v>139324380</v>
      </c>
      <c r="BR173" s="403">
        <f t="shared" si="77"/>
        <v>64719400</v>
      </c>
      <c r="BS173" s="359" t="s">
        <v>1663</v>
      </c>
      <c r="BT173" s="5"/>
    </row>
    <row r="174" spans="1:110" ht="189.75" customHeight="1" x14ac:dyDescent="0.2">
      <c r="A174" s="327">
        <v>316</v>
      </c>
      <c r="B174" s="326" t="s">
        <v>1635</v>
      </c>
      <c r="C174" s="323">
        <v>1</v>
      </c>
      <c r="D174" s="326" t="s">
        <v>1622</v>
      </c>
      <c r="E174" s="323">
        <v>41</v>
      </c>
      <c r="F174" s="326" t="s">
        <v>784</v>
      </c>
      <c r="G174" s="323">
        <v>4102</v>
      </c>
      <c r="H174" s="326" t="s">
        <v>785</v>
      </c>
      <c r="I174" s="323">
        <v>4102</v>
      </c>
      <c r="J174" s="326" t="s">
        <v>1571</v>
      </c>
      <c r="K174" s="326" t="s">
        <v>826</v>
      </c>
      <c r="L174" s="323" t="s">
        <v>41</v>
      </c>
      <c r="M174" s="326" t="s">
        <v>827</v>
      </c>
      <c r="N174" s="435">
        <v>4102042</v>
      </c>
      <c r="O174" s="326" t="s">
        <v>828</v>
      </c>
      <c r="P174" s="323" t="s">
        <v>41</v>
      </c>
      <c r="Q174" s="326" t="s">
        <v>829</v>
      </c>
      <c r="R174" s="435">
        <v>410204200</v>
      </c>
      <c r="S174" s="324" t="s">
        <v>830</v>
      </c>
      <c r="T174" s="349" t="s">
        <v>1689</v>
      </c>
      <c r="U174" s="445">
        <v>12</v>
      </c>
      <c r="V174" s="445">
        <v>8</v>
      </c>
      <c r="W174" s="349" t="s">
        <v>831</v>
      </c>
      <c r="X174" s="479" t="s">
        <v>832</v>
      </c>
      <c r="Y174" s="429" t="s">
        <v>833</v>
      </c>
      <c r="Z174" s="419"/>
      <c r="AA174" s="419"/>
      <c r="AB174" s="419"/>
      <c r="AC174" s="419"/>
      <c r="AD174" s="419"/>
      <c r="AE174" s="419"/>
      <c r="AF174" s="419"/>
      <c r="AG174" s="419"/>
      <c r="AH174" s="419"/>
      <c r="AI174" s="419"/>
      <c r="AJ174" s="419"/>
      <c r="AK174" s="419"/>
      <c r="AL174" s="419"/>
      <c r="AM174" s="419"/>
      <c r="AN174" s="419"/>
      <c r="AO174" s="419"/>
      <c r="AP174" s="419"/>
      <c r="AQ174" s="419"/>
      <c r="AR174" s="419"/>
      <c r="AS174" s="419"/>
      <c r="AT174" s="419"/>
      <c r="AU174" s="419"/>
      <c r="AV174" s="419"/>
      <c r="AW174" s="419"/>
      <c r="AX174" s="419"/>
      <c r="AY174" s="419"/>
      <c r="AZ174" s="419"/>
      <c r="BA174" s="419"/>
      <c r="BB174" s="419"/>
      <c r="BC174" s="419"/>
      <c r="BD174" s="424">
        <f>18000000+10000000</f>
        <v>28000000</v>
      </c>
      <c r="BE174" s="424">
        <v>18880296</v>
      </c>
      <c r="BF174" s="424">
        <v>12259333</v>
      </c>
      <c r="BG174" s="419"/>
      <c r="BH174" s="419"/>
      <c r="BI174" s="419"/>
      <c r="BJ174" s="419"/>
      <c r="BK174" s="419"/>
      <c r="BL174" s="419"/>
      <c r="BM174" s="419"/>
      <c r="BN174" s="419"/>
      <c r="BO174" s="419"/>
      <c r="BP174" s="403">
        <f t="shared" si="75"/>
        <v>28000000</v>
      </c>
      <c r="BQ174" s="403">
        <f t="shared" si="76"/>
        <v>18880296</v>
      </c>
      <c r="BR174" s="403">
        <f t="shared" si="77"/>
        <v>12259333</v>
      </c>
      <c r="BS174" s="359" t="s">
        <v>1663</v>
      </c>
      <c r="BT174" s="5"/>
    </row>
    <row r="175" spans="1:110" ht="136.5" customHeight="1" x14ac:dyDescent="0.2">
      <c r="A175" s="327">
        <v>316</v>
      </c>
      <c r="B175" s="326" t="s">
        <v>1635</v>
      </c>
      <c r="C175" s="323">
        <v>1</v>
      </c>
      <c r="D175" s="326" t="s">
        <v>1622</v>
      </c>
      <c r="E175" s="323">
        <v>41</v>
      </c>
      <c r="F175" s="326" t="s">
        <v>784</v>
      </c>
      <c r="G175" s="323">
        <v>4102</v>
      </c>
      <c r="H175" s="326" t="s">
        <v>785</v>
      </c>
      <c r="I175" s="323">
        <v>4102</v>
      </c>
      <c r="J175" s="326" t="s">
        <v>1571</v>
      </c>
      <c r="K175" s="326" t="s">
        <v>834</v>
      </c>
      <c r="L175" s="323" t="s">
        <v>41</v>
      </c>
      <c r="M175" s="434" t="s">
        <v>835</v>
      </c>
      <c r="N175" s="435">
        <v>4102001</v>
      </c>
      <c r="O175" s="434" t="s">
        <v>836</v>
      </c>
      <c r="P175" s="323" t="s">
        <v>41</v>
      </c>
      <c r="Q175" s="326" t="s">
        <v>837</v>
      </c>
      <c r="R175" s="435">
        <v>410200100</v>
      </c>
      <c r="S175" s="326" t="s">
        <v>838</v>
      </c>
      <c r="T175" s="349" t="s">
        <v>1689</v>
      </c>
      <c r="U175" s="445">
        <v>1</v>
      </c>
      <c r="V175" s="445">
        <v>0.3</v>
      </c>
      <c r="W175" s="427" t="s">
        <v>839</v>
      </c>
      <c r="X175" s="479" t="s">
        <v>840</v>
      </c>
      <c r="Y175" s="429" t="s">
        <v>841</v>
      </c>
      <c r="Z175" s="419"/>
      <c r="AA175" s="419"/>
      <c r="AB175" s="419"/>
      <c r="AC175" s="419"/>
      <c r="AD175" s="419"/>
      <c r="AE175" s="419"/>
      <c r="AF175" s="419"/>
      <c r="AG175" s="419"/>
      <c r="AH175" s="419"/>
      <c r="AI175" s="419"/>
      <c r="AJ175" s="419"/>
      <c r="AK175" s="419"/>
      <c r="AL175" s="419"/>
      <c r="AM175" s="419"/>
      <c r="AN175" s="419"/>
      <c r="AO175" s="419"/>
      <c r="AP175" s="419"/>
      <c r="AQ175" s="419"/>
      <c r="AR175" s="419"/>
      <c r="AS175" s="419"/>
      <c r="AT175" s="419"/>
      <c r="AU175" s="419"/>
      <c r="AV175" s="419"/>
      <c r="AW175" s="419"/>
      <c r="AX175" s="419"/>
      <c r="AY175" s="419"/>
      <c r="AZ175" s="419"/>
      <c r="BA175" s="419"/>
      <c r="BB175" s="419"/>
      <c r="BC175" s="419"/>
      <c r="BD175" s="424">
        <f>20000000+12985000</f>
        <v>32985000</v>
      </c>
      <c r="BE175" s="424">
        <v>5195000</v>
      </c>
      <c r="BF175" s="424">
        <v>2540000</v>
      </c>
      <c r="BG175" s="419"/>
      <c r="BH175" s="419"/>
      <c r="BI175" s="419"/>
      <c r="BJ175" s="419"/>
      <c r="BK175" s="419"/>
      <c r="BL175" s="419"/>
      <c r="BM175" s="419"/>
      <c r="BN175" s="419"/>
      <c r="BO175" s="419"/>
      <c r="BP175" s="403">
        <f t="shared" si="75"/>
        <v>32985000</v>
      </c>
      <c r="BQ175" s="403">
        <f t="shared" si="76"/>
        <v>5195000</v>
      </c>
      <c r="BR175" s="403">
        <f t="shared" si="77"/>
        <v>2540000</v>
      </c>
      <c r="BS175" s="359" t="s">
        <v>1663</v>
      </c>
      <c r="BT175" s="5"/>
    </row>
    <row r="176" spans="1:110" ht="248.25" customHeight="1" x14ac:dyDescent="0.2">
      <c r="A176" s="327">
        <v>316</v>
      </c>
      <c r="B176" s="326" t="s">
        <v>1635</v>
      </c>
      <c r="C176" s="323">
        <v>1</v>
      </c>
      <c r="D176" s="326" t="s">
        <v>1622</v>
      </c>
      <c r="E176" s="323">
        <v>41</v>
      </c>
      <c r="F176" s="326" t="s">
        <v>784</v>
      </c>
      <c r="G176" s="323">
        <v>4102</v>
      </c>
      <c r="H176" s="326" t="s">
        <v>785</v>
      </c>
      <c r="I176" s="323">
        <v>4102</v>
      </c>
      <c r="J176" s="326" t="s">
        <v>1571</v>
      </c>
      <c r="K176" s="326" t="s">
        <v>842</v>
      </c>
      <c r="L176" s="323">
        <v>4102022</v>
      </c>
      <c r="M176" s="429" t="s">
        <v>843</v>
      </c>
      <c r="N176" s="430">
        <v>4102046</v>
      </c>
      <c r="O176" s="429" t="s">
        <v>844</v>
      </c>
      <c r="P176" s="430" t="s">
        <v>845</v>
      </c>
      <c r="Q176" s="326" t="s">
        <v>846</v>
      </c>
      <c r="R176" s="430">
        <v>410204600</v>
      </c>
      <c r="S176" s="326" t="s">
        <v>847</v>
      </c>
      <c r="T176" s="349" t="s">
        <v>1691</v>
      </c>
      <c r="U176" s="445">
        <v>16</v>
      </c>
      <c r="V176" s="445">
        <v>14</v>
      </c>
      <c r="W176" s="427" t="s">
        <v>839</v>
      </c>
      <c r="X176" s="479" t="s">
        <v>840</v>
      </c>
      <c r="Y176" s="429" t="s">
        <v>841</v>
      </c>
      <c r="Z176" s="419"/>
      <c r="AA176" s="419"/>
      <c r="AB176" s="419"/>
      <c r="AC176" s="419"/>
      <c r="AD176" s="419"/>
      <c r="AE176" s="419"/>
      <c r="AF176" s="419"/>
      <c r="AG176" s="419"/>
      <c r="AH176" s="419"/>
      <c r="AI176" s="419"/>
      <c r="AJ176" s="419"/>
      <c r="AK176" s="419"/>
      <c r="AL176" s="419"/>
      <c r="AM176" s="419"/>
      <c r="AN176" s="419"/>
      <c r="AO176" s="419"/>
      <c r="AP176" s="419"/>
      <c r="AQ176" s="419"/>
      <c r="AR176" s="419"/>
      <c r="AS176" s="419"/>
      <c r="AT176" s="419"/>
      <c r="AU176" s="419"/>
      <c r="AV176" s="419"/>
      <c r="AW176" s="419"/>
      <c r="AX176" s="419"/>
      <c r="AY176" s="419"/>
      <c r="AZ176" s="419"/>
      <c r="BA176" s="419"/>
      <c r="BB176" s="419"/>
      <c r="BC176" s="419"/>
      <c r="BD176" s="424">
        <v>18000000</v>
      </c>
      <c r="BE176" s="424">
        <v>15000000</v>
      </c>
      <c r="BF176" s="424">
        <v>11885000</v>
      </c>
      <c r="BG176" s="419"/>
      <c r="BH176" s="419"/>
      <c r="BI176" s="419"/>
      <c r="BJ176" s="419"/>
      <c r="BK176" s="419"/>
      <c r="BL176" s="419"/>
      <c r="BM176" s="419"/>
      <c r="BN176" s="419"/>
      <c r="BO176" s="419"/>
      <c r="BP176" s="403">
        <f t="shared" si="75"/>
        <v>18000000</v>
      </c>
      <c r="BQ176" s="403">
        <f t="shared" si="76"/>
        <v>15000000</v>
      </c>
      <c r="BR176" s="403">
        <f t="shared" si="77"/>
        <v>11885000</v>
      </c>
      <c r="BS176" s="359" t="s">
        <v>1663</v>
      </c>
      <c r="BT176" s="5"/>
    </row>
    <row r="177" spans="1:72" ht="174" customHeight="1" x14ac:dyDescent="0.2">
      <c r="A177" s="327">
        <v>316</v>
      </c>
      <c r="B177" s="326" t="s">
        <v>1635</v>
      </c>
      <c r="C177" s="323">
        <v>1</v>
      </c>
      <c r="D177" s="326" t="s">
        <v>1622</v>
      </c>
      <c r="E177" s="323">
        <v>41</v>
      </c>
      <c r="F177" s="326" t="s">
        <v>784</v>
      </c>
      <c r="G177" s="323">
        <v>4102</v>
      </c>
      <c r="H177" s="326" t="s">
        <v>785</v>
      </c>
      <c r="I177" s="323">
        <v>4102</v>
      </c>
      <c r="J177" s="326" t="s">
        <v>1571</v>
      </c>
      <c r="K177" s="326" t="s">
        <v>848</v>
      </c>
      <c r="L177" s="323">
        <v>4102038</v>
      </c>
      <c r="M177" s="326" t="s">
        <v>849</v>
      </c>
      <c r="N177" s="323">
        <v>4102038</v>
      </c>
      <c r="O177" s="326" t="s">
        <v>849</v>
      </c>
      <c r="P177" s="422">
        <v>410203800</v>
      </c>
      <c r="Q177" s="443" t="s">
        <v>850</v>
      </c>
      <c r="R177" s="422">
        <v>410203800</v>
      </c>
      <c r="S177" s="443" t="s">
        <v>850</v>
      </c>
      <c r="T177" s="349" t="s">
        <v>1691</v>
      </c>
      <c r="U177" s="445">
        <v>10</v>
      </c>
      <c r="V177" s="445">
        <v>4</v>
      </c>
      <c r="W177" s="349" t="s">
        <v>851</v>
      </c>
      <c r="X177" s="479" t="s">
        <v>852</v>
      </c>
      <c r="Y177" s="429" t="s">
        <v>853</v>
      </c>
      <c r="Z177" s="419"/>
      <c r="AA177" s="419"/>
      <c r="AB177" s="419"/>
      <c r="AC177" s="419"/>
      <c r="AD177" s="419"/>
      <c r="AE177" s="419"/>
      <c r="AF177" s="419"/>
      <c r="AG177" s="419"/>
      <c r="AH177" s="419"/>
      <c r="AI177" s="419"/>
      <c r="AJ177" s="419"/>
      <c r="AK177" s="419"/>
      <c r="AL177" s="419"/>
      <c r="AM177" s="419"/>
      <c r="AN177" s="419"/>
      <c r="AO177" s="419"/>
      <c r="AP177" s="419"/>
      <c r="AQ177" s="419"/>
      <c r="AR177" s="419"/>
      <c r="AS177" s="419"/>
      <c r="AT177" s="419"/>
      <c r="AU177" s="419"/>
      <c r="AV177" s="419"/>
      <c r="AW177" s="419"/>
      <c r="AX177" s="419"/>
      <c r="AY177" s="419"/>
      <c r="AZ177" s="419"/>
      <c r="BA177" s="419"/>
      <c r="BB177" s="419"/>
      <c r="BC177" s="419"/>
      <c r="BD177" s="424">
        <v>37000000</v>
      </c>
      <c r="BE177" s="424">
        <v>13952167</v>
      </c>
      <c r="BF177" s="424">
        <v>2500000</v>
      </c>
      <c r="BG177" s="419"/>
      <c r="BH177" s="419"/>
      <c r="BI177" s="419"/>
      <c r="BJ177" s="419"/>
      <c r="BK177" s="419"/>
      <c r="BL177" s="419"/>
      <c r="BM177" s="419"/>
      <c r="BN177" s="419"/>
      <c r="BO177" s="419"/>
      <c r="BP177" s="403">
        <f t="shared" si="75"/>
        <v>37000000</v>
      </c>
      <c r="BQ177" s="403">
        <f t="shared" si="76"/>
        <v>13952167</v>
      </c>
      <c r="BR177" s="403">
        <f t="shared" si="77"/>
        <v>2500000</v>
      </c>
      <c r="BS177" s="359" t="s">
        <v>1663</v>
      </c>
      <c r="BT177" s="5"/>
    </row>
    <row r="178" spans="1:72" ht="141" customHeight="1" x14ac:dyDescent="0.2">
      <c r="A178" s="327">
        <v>316</v>
      </c>
      <c r="B178" s="326" t="s">
        <v>1635</v>
      </c>
      <c r="C178" s="323">
        <v>1</v>
      </c>
      <c r="D178" s="326" t="s">
        <v>1622</v>
      </c>
      <c r="E178" s="323">
        <v>41</v>
      </c>
      <c r="F178" s="326" t="s">
        <v>784</v>
      </c>
      <c r="G178" s="323">
        <v>4103</v>
      </c>
      <c r="H178" s="326" t="s">
        <v>302</v>
      </c>
      <c r="I178" s="323">
        <v>4103</v>
      </c>
      <c r="J178" s="326" t="s">
        <v>1614</v>
      </c>
      <c r="K178" s="326" t="s">
        <v>854</v>
      </c>
      <c r="L178" s="435">
        <v>4103059</v>
      </c>
      <c r="M178" s="326" t="s">
        <v>855</v>
      </c>
      <c r="N178" s="435">
        <v>4103059</v>
      </c>
      <c r="O178" s="326" t="s">
        <v>855</v>
      </c>
      <c r="P178" s="99">
        <v>410305900</v>
      </c>
      <c r="Q178" s="443" t="s">
        <v>856</v>
      </c>
      <c r="R178" s="99">
        <v>410305900</v>
      </c>
      <c r="S178" s="443" t="s">
        <v>856</v>
      </c>
      <c r="T178" s="349" t="s">
        <v>1691</v>
      </c>
      <c r="U178" s="103">
        <v>10</v>
      </c>
      <c r="V178" s="103">
        <v>9</v>
      </c>
      <c r="W178" s="349" t="s">
        <v>857</v>
      </c>
      <c r="X178" s="326" t="s">
        <v>858</v>
      </c>
      <c r="Y178" s="326" t="s">
        <v>859</v>
      </c>
      <c r="Z178" s="419"/>
      <c r="AA178" s="419"/>
      <c r="AB178" s="419"/>
      <c r="AC178" s="419"/>
      <c r="AD178" s="419"/>
      <c r="AE178" s="419"/>
      <c r="AF178" s="419"/>
      <c r="AG178" s="419"/>
      <c r="AH178" s="419"/>
      <c r="AI178" s="419"/>
      <c r="AJ178" s="419"/>
      <c r="AK178" s="419"/>
      <c r="AL178" s="419"/>
      <c r="AM178" s="419"/>
      <c r="AN178" s="419"/>
      <c r="AO178" s="419"/>
      <c r="AP178" s="419"/>
      <c r="AQ178" s="419"/>
      <c r="AR178" s="419"/>
      <c r="AS178" s="419"/>
      <c r="AT178" s="419"/>
      <c r="AU178" s="419"/>
      <c r="AV178" s="419"/>
      <c r="AW178" s="419"/>
      <c r="AX178" s="419"/>
      <c r="AY178" s="419"/>
      <c r="AZ178" s="419"/>
      <c r="BA178" s="419"/>
      <c r="BB178" s="419"/>
      <c r="BC178" s="419"/>
      <c r="BD178" s="424">
        <v>15000000</v>
      </c>
      <c r="BE178" s="424">
        <v>13600000</v>
      </c>
      <c r="BF178" s="424">
        <v>6600000</v>
      </c>
      <c r="BG178" s="419"/>
      <c r="BH178" s="419"/>
      <c r="BI178" s="419"/>
      <c r="BJ178" s="419"/>
      <c r="BK178" s="419"/>
      <c r="BL178" s="419"/>
      <c r="BM178" s="419"/>
      <c r="BN178" s="419"/>
      <c r="BO178" s="419"/>
      <c r="BP178" s="403">
        <f t="shared" ref="BP178:BP188" si="79">+Z178+AC178+AF178+AI178+AL178+AO178+AR178+AU178+AX178+BA178+BD178+BG178+BJ178</f>
        <v>15000000</v>
      </c>
      <c r="BQ178" s="403">
        <f t="shared" ref="BQ178:BR181" si="80">+AA178+AD178+AG178+AJ178+AM178+AP178+AS178+AV178+AY178+BB178+BE178+BH178+BK178</f>
        <v>13600000</v>
      </c>
      <c r="BR178" s="403">
        <f t="shared" si="80"/>
        <v>6600000</v>
      </c>
      <c r="BS178" s="359" t="s">
        <v>1663</v>
      </c>
      <c r="BT178" s="5"/>
    </row>
    <row r="179" spans="1:72" ht="150.75" customHeight="1" x14ac:dyDescent="0.2">
      <c r="A179" s="327">
        <v>316</v>
      </c>
      <c r="B179" s="326" t="s">
        <v>1635</v>
      </c>
      <c r="C179" s="323">
        <v>1</v>
      </c>
      <c r="D179" s="326" t="s">
        <v>1622</v>
      </c>
      <c r="E179" s="323">
        <v>41</v>
      </c>
      <c r="F179" s="326" t="s">
        <v>784</v>
      </c>
      <c r="G179" s="323">
        <v>4103</v>
      </c>
      <c r="H179" s="326" t="s">
        <v>302</v>
      </c>
      <c r="I179" s="323">
        <v>4103</v>
      </c>
      <c r="J179" s="326" t="s">
        <v>1614</v>
      </c>
      <c r="K179" s="326" t="s">
        <v>860</v>
      </c>
      <c r="L179" s="323">
        <v>4103052</v>
      </c>
      <c r="M179" s="326" t="s">
        <v>305</v>
      </c>
      <c r="N179" s="323">
        <v>4103052</v>
      </c>
      <c r="O179" s="326" t="s">
        <v>305</v>
      </c>
      <c r="P179" s="422">
        <v>410305202</v>
      </c>
      <c r="Q179" s="443" t="s">
        <v>861</v>
      </c>
      <c r="R179" s="422">
        <v>410305202</v>
      </c>
      <c r="S179" s="443" t="s">
        <v>861</v>
      </c>
      <c r="T179" s="349" t="s">
        <v>1689</v>
      </c>
      <c r="U179" s="103">
        <v>1</v>
      </c>
      <c r="V179" s="103">
        <v>1</v>
      </c>
      <c r="W179" s="349" t="s">
        <v>862</v>
      </c>
      <c r="X179" s="326" t="s">
        <v>863</v>
      </c>
      <c r="Y179" s="326" t="s">
        <v>864</v>
      </c>
      <c r="Z179" s="419"/>
      <c r="AA179" s="419"/>
      <c r="AB179" s="419"/>
      <c r="AC179" s="419"/>
      <c r="AD179" s="419"/>
      <c r="AE179" s="419"/>
      <c r="AF179" s="419"/>
      <c r="AG179" s="419"/>
      <c r="AH179" s="419"/>
      <c r="AI179" s="419"/>
      <c r="AJ179" s="419"/>
      <c r="AK179" s="419"/>
      <c r="AL179" s="419"/>
      <c r="AM179" s="419"/>
      <c r="AN179" s="419"/>
      <c r="AO179" s="419"/>
      <c r="AP179" s="419"/>
      <c r="AQ179" s="419"/>
      <c r="AR179" s="419"/>
      <c r="AS179" s="419"/>
      <c r="AT179" s="419"/>
      <c r="AU179" s="419"/>
      <c r="AV179" s="419"/>
      <c r="AW179" s="419"/>
      <c r="AX179" s="419"/>
      <c r="AY179" s="419"/>
      <c r="AZ179" s="419"/>
      <c r="BA179" s="419"/>
      <c r="BB179" s="419"/>
      <c r="BC179" s="419"/>
      <c r="BD179" s="424">
        <v>20000000</v>
      </c>
      <c r="BE179" s="424">
        <v>20000000</v>
      </c>
      <c r="BF179" s="424">
        <v>11540000</v>
      </c>
      <c r="BG179" s="419"/>
      <c r="BH179" s="419"/>
      <c r="BI179" s="419"/>
      <c r="BJ179" s="419"/>
      <c r="BK179" s="419"/>
      <c r="BL179" s="419"/>
      <c r="BM179" s="419"/>
      <c r="BN179" s="419"/>
      <c r="BO179" s="419"/>
      <c r="BP179" s="403">
        <f t="shared" si="79"/>
        <v>20000000</v>
      </c>
      <c r="BQ179" s="403">
        <f t="shared" si="80"/>
        <v>20000000</v>
      </c>
      <c r="BR179" s="403">
        <f t="shared" si="80"/>
        <v>11540000</v>
      </c>
      <c r="BS179" s="359" t="s">
        <v>1663</v>
      </c>
      <c r="BT179" s="5"/>
    </row>
    <row r="180" spans="1:72" ht="271.5" customHeight="1" x14ac:dyDescent="0.2">
      <c r="A180" s="327">
        <v>316</v>
      </c>
      <c r="B180" s="326" t="s">
        <v>1635</v>
      </c>
      <c r="C180" s="323">
        <v>1</v>
      </c>
      <c r="D180" s="326" t="s">
        <v>1622</v>
      </c>
      <c r="E180" s="323">
        <v>41</v>
      </c>
      <c r="F180" s="326" t="s">
        <v>784</v>
      </c>
      <c r="G180" s="323">
        <v>4103</v>
      </c>
      <c r="H180" s="326" t="s">
        <v>302</v>
      </c>
      <c r="I180" s="323">
        <v>4103</v>
      </c>
      <c r="J180" s="326" t="s">
        <v>1614</v>
      </c>
      <c r="K180" s="326" t="s">
        <v>842</v>
      </c>
      <c r="L180" s="323">
        <v>4103050</v>
      </c>
      <c r="M180" s="326" t="s">
        <v>865</v>
      </c>
      <c r="N180" s="323">
        <v>4103050</v>
      </c>
      <c r="O180" s="326" t="s">
        <v>865</v>
      </c>
      <c r="P180" s="422">
        <v>410305001</v>
      </c>
      <c r="Q180" s="443" t="s">
        <v>866</v>
      </c>
      <c r="R180" s="422">
        <v>410305001</v>
      </c>
      <c r="S180" s="443" t="s">
        <v>866</v>
      </c>
      <c r="T180" s="349" t="s">
        <v>1689</v>
      </c>
      <c r="U180" s="103">
        <v>12</v>
      </c>
      <c r="V180" s="103">
        <v>11</v>
      </c>
      <c r="W180" s="349" t="s">
        <v>867</v>
      </c>
      <c r="X180" s="326" t="s">
        <v>868</v>
      </c>
      <c r="Y180" s="326" t="s">
        <v>869</v>
      </c>
      <c r="Z180" s="419"/>
      <c r="AA180" s="419"/>
      <c r="AB180" s="419"/>
      <c r="AC180" s="419"/>
      <c r="AD180" s="419"/>
      <c r="AE180" s="419"/>
      <c r="AF180" s="419"/>
      <c r="AG180" s="419"/>
      <c r="AH180" s="419"/>
      <c r="AI180" s="419"/>
      <c r="AJ180" s="419"/>
      <c r="AK180" s="419"/>
      <c r="AL180" s="419"/>
      <c r="AM180" s="419"/>
      <c r="AN180" s="419"/>
      <c r="AO180" s="419"/>
      <c r="AP180" s="419"/>
      <c r="AQ180" s="419"/>
      <c r="AR180" s="419"/>
      <c r="AS180" s="419"/>
      <c r="AT180" s="419"/>
      <c r="AU180" s="419"/>
      <c r="AV180" s="419"/>
      <c r="AW180" s="419"/>
      <c r="AX180" s="419"/>
      <c r="AY180" s="419"/>
      <c r="AZ180" s="419"/>
      <c r="BA180" s="419"/>
      <c r="BB180" s="419"/>
      <c r="BC180" s="419"/>
      <c r="BD180" s="424">
        <v>25000000</v>
      </c>
      <c r="BE180" s="424">
        <v>24000000</v>
      </c>
      <c r="BF180" s="424">
        <v>15800000</v>
      </c>
      <c r="BG180" s="419"/>
      <c r="BH180" s="419"/>
      <c r="BI180" s="419"/>
      <c r="BJ180" s="419"/>
      <c r="BK180" s="419"/>
      <c r="BL180" s="419"/>
      <c r="BM180" s="419"/>
      <c r="BN180" s="419"/>
      <c r="BO180" s="419"/>
      <c r="BP180" s="403">
        <f t="shared" si="79"/>
        <v>25000000</v>
      </c>
      <c r="BQ180" s="403">
        <f t="shared" si="80"/>
        <v>24000000</v>
      </c>
      <c r="BR180" s="403">
        <f t="shared" si="80"/>
        <v>15800000</v>
      </c>
      <c r="BS180" s="359" t="s">
        <v>1663</v>
      </c>
      <c r="BT180" s="5"/>
    </row>
    <row r="181" spans="1:72" ht="149.25" customHeight="1" x14ac:dyDescent="0.2">
      <c r="A181" s="327">
        <v>316</v>
      </c>
      <c r="B181" s="326" t="s">
        <v>1635</v>
      </c>
      <c r="C181" s="323">
        <v>1</v>
      </c>
      <c r="D181" s="326" t="s">
        <v>1622</v>
      </c>
      <c r="E181" s="323">
        <v>41</v>
      </c>
      <c r="F181" s="326" t="s">
        <v>784</v>
      </c>
      <c r="G181" s="323">
        <v>4103</v>
      </c>
      <c r="H181" s="326" t="s">
        <v>302</v>
      </c>
      <c r="I181" s="323">
        <v>4103</v>
      </c>
      <c r="J181" s="326" t="s">
        <v>1614</v>
      </c>
      <c r="K181" s="326" t="s">
        <v>870</v>
      </c>
      <c r="L181" s="435">
        <v>4103058</v>
      </c>
      <c r="M181" s="326" t="s">
        <v>871</v>
      </c>
      <c r="N181" s="435">
        <v>4103058</v>
      </c>
      <c r="O181" s="326" t="s">
        <v>871</v>
      </c>
      <c r="P181" s="99">
        <v>410305800</v>
      </c>
      <c r="Q181" s="443" t="s">
        <v>872</v>
      </c>
      <c r="R181" s="99">
        <v>410305800</v>
      </c>
      <c r="S181" s="443" t="s">
        <v>872</v>
      </c>
      <c r="T181" s="349" t="s">
        <v>1691</v>
      </c>
      <c r="U181" s="103">
        <v>2</v>
      </c>
      <c r="V181" s="103">
        <v>2</v>
      </c>
      <c r="W181" s="349" t="s">
        <v>873</v>
      </c>
      <c r="X181" s="326" t="s">
        <v>874</v>
      </c>
      <c r="Y181" s="326" t="s">
        <v>875</v>
      </c>
      <c r="Z181" s="419"/>
      <c r="AA181" s="419"/>
      <c r="AB181" s="419"/>
      <c r="AC181" s="419"/>
      <c r="AD181" s="419"/>
      <c r="AE181" s="419"/>
      <c r="AF181" s="419"/>
      <c r="AG181" s="419"/>
      <c r="AH181" s="419"/>
      <c r="AI181" s="419"/>
      <c r="AJ181" s="419"/>
      <c r="AK181" s="419"/>
      <c r="AL181" s="419"/>
      <c r="AM181" s="419"/>
      <c r="AN181" s="419"/>
      <c r="AO181" s="419"/>
      <c r="AP181" s="419"/>
      <c r="AQ181" s="419"/>
      <c r="AR181" s="419"/>
      <c r="AS181" s="419"/>
      <c r="AT181" s="419"/>
      <c r="AU181" s="419"/>
      <c r="AV181" s="419"/>
      <c r="AW181" s="419"/>
      <c r="AX181" s="419"/>
      <c r="AY181" s="419"/>
      <c r="AZ181" s="419"/>
      <c r="BA181" s="419"/>
      <c r="BB181" s="419"/>
      <c r="BC181" s="419"/>
      <c r="BD181" s="424">
        <f>28000000+47112368</f>
        <v>75112368</v>
      </c>
      <c r="BE181" s="424">
        <v>26965000</v>
      </c>
      <c r="BF181" s="424">
        <v>15738387.51</v>
      </c>
      <c r="BG181" s="419"/>
      <c r="BH181" s="419"/>
      <c r="BI181" s="419"/>
      <c r="BJ181" s="419"/>
      <c r="BK181" s="419"/>
      <c r="BL181" s="419"/>
      <c r="BM181" s="419"/>
      <c r="BN181" s="419"/>
      <c r="BO181" s="419"/>
      <c r="BP181" s="403">
        <f t="shared" si="79"/>
        <v>75112368</v>
      </c>
      <c r="BQ181" s="403">
        <f t="shared" si="80"/>
        <v>26965000</v>
      </c>
      <c r="BR181" s="403">
        <f t="shared" si="80"/>
        <v>15738387.51</v>
      </c>
      <c r="BS181" s="359" t="s">
        <v>1663</v>
      </c>
      <c r="BT181" s="5"/>
    </row>
    <row r="182" spans="1:72" ht="96" customHeight="1" x14ac:dyDescent="0.2">
      <c r="A182" s="327">
        <v>316</v>
      </c>
      <c r="B182" s="326" t="s">
        <v>1635</v>
      </c>
      <c r="C182" s="323">
        <v>1</v>
      </c>
      <c r="D182" s="326" t="s">
        <v>1622</v>
      </c>
      <c r="E182" s="323">
        <v>41</v>
      </c>
      <c r="F182" s="326" t="s">
        <v>784</v>
      </c>
      <c r="G182" s="323">
        <v>4103</v>
      </c>
      <c r="H182" s="326" t="s">
        <v>302</v>
      </c>
      <c r="I182" s="323">
        <v>4103</v>
      </c>
      <c r="J182" s="326" t="s">
        <v>1614</v>
      </c>
      <c r="K182" s="434" t="s">
        <v>876</v>
      </c>
      <c r="L182" s="323" t="s">
        <v>41</v>
      </c>
      <c r="M182" s="326" t="s">
        <v>877</v>
      </c>
      <c r="N182" s="435">
        <v>4103060</v>
      </c>
      <c r="O182" s="326" t="s">
        <v>878</v>
      </c>
      <c r="P182" s="323" t="s">
        <v>41</v>
      </c>
      <c r="Q182" s="443" t="s">
        <v>879</v>
      </c>
      <c r="R182" s="435">
        <v>410306000</v>
      </c>
      <c r="S182" s="443" t="s">
        <v>880</v>
      </c>
      <c r="T182" s="349" t="s">
        <v>1691</v>
      </c>
      <c r="U182" s="103">
        <v>5</v>
      </c>
      <c r="V182" s="103">
        <v>0.7</v>
      </c>
      <c r="W182" s="427" t="s">
        <v>881</v>
      </c>
      <c r="X182" s="326" t="s">
        <v>882</v>
      </c>
      <c r="Y182" s="326" t="s">
        <v>883</v>
      </c>
      <c r="Z182" s="419"/>
      <c r="AA182" s="419"/>
      <c r="AB182" s="419"/>
      <c r="AC182" s="419"/>
      <c r="AD182" s="419"/>
      <c r="AE182" s="419"/>
      <c r="AF182" s="419"/>
      <c r="AG182" s="419"/>
      <c r="AH182" s="419"/>
      <c r="AI182" s="419"/>
      <c r="AJ182" s="419"/>
      <c r="AK182" s="419"/>
      <c r="AL182" s="419"/>
      <c r="AM182" s="419"/>
      <c r="AN182" s="419"/>
      <c r="AO182" s="419"/>
      <c r="AP182" s="419"/>
      <c r="AQ182" s="419"/>
      <c r="AR182" s="419"/>
      <c r="AS182" s="419"/>
      <c r="AT182" s="419"/>
      <c r="AU182" s="419"/>
      <c r="AV182" s="419"/>
      <c r="AW182" s="419"/>
      <c r="AX182" s="419"/>
      <c r="AY182" s="419"/>
      <c r="AZ182" s="419"/>
      <c r="BA182" s="419"/>
      <c r="BB182" s="419"/>
      <c r="BC182" s="419"/>
      <c r="BD182" s="424">
        <v>27000000</v>
      </c>
      <c r="BE182" s="424">
        <v>2000000</v>
      </c>
      <c r="BF182" s="424"/>
      <c r="BG182" s="419"/>
      <c r="BH182" s="419"/>
      <c r="BI182" s="419"/>
      <c r="BJ182" s="419"/>
      <c r="BK182" s="419"/>
      <c r="BL182" s="419"/>
      <c r="BM182" s="419"/>
      <c r="BN182" s="419"/>
      <c r="BO182" s="419"/>
      <c r="BP182" s="403">
        <f t="shared" si="79"/>
        <v>27000000</v>
      </c>
      <c r="BQ182" s="403">
        <f>+AA182+AD182+AG182+AJ182+AM182+AP182+AS182+AV182+AY182+BB182+BE182+BH182+BK182</f>
        <v>2000000</v>
      </c>
      <c r="BR182" s="403">
        <f t="shared" ref="BR182:BR184" si="81">+AB182+AE182+AH182+AK182+AN182+AQ182+AT182+AW182+AZ182+BC182+BF182+BI182+BL182</f>
        <v>0</v>
      </c>
      <c r="BS182" s="359" t="s">
        <v>1663</v>
      </c>
      <c r="BT182" s="5"/>
    </row>
    <row r="183" spans="1:72" ht="98.25" customHeight="1" x14ac:dyDescent="0.2">
      <c r="A183" s="327">
        <v>316</v>
      </c>
      <c r="B183" s="326" t="s">
        <v>1635</v>
      </c>
      <c r="C183" s="323">
        <v>1</v>
      </c>
      <c r="D183" s="326" t="s">
        <v>1622</v>
      </c>
      <c r="E183" s="323">
        <v>41</v>
      </c>
      <c r="F183" s="326" t="s">
        <v>784</v>
      </c>
      <c r="G183" s="323">
        <v>4103</v>
      </c>
      <c r="H183" s="326" t="s">
        <v>302</v>
      </c>
      <c r="I183" s="323">
        <v>4103</v>
      </c>
      <c r="J183" s="326" t="s">
        <v>1614</v>
      </c>
      <c r="K183" s="434" t="s">
        <v>884</v>
      </c>
      <c r="L183" s="323" t="s">
        <v>41</v>
      </c>
      <c r="M183" s="326" t="s">
        <v>885</v>
      </c>
      <c r="N183" s="435">
        <v>4103060</v>
      </c>
      <c r="O183" s="326" t="s">
        <v>878</v>
      </c>
      <c r="P183" s="323" t="s">
        <v>41</v>
      </c>
      <c r="Q183" s="326" t="s">
        <v>886</v>
      </c>
      <c r="R183" s="435">
        <v>410306000</v>
      </c>
      <c r="S183" s="326" t="s">
        <v>880</v>
      </c>
      <c r="T183" s="349" t="s">
        <v>1689</v>
      </c>
      <c r="U183" s="103">
        <v>2</v>
      </c>
      <c r="V183" s="103">
        <v>1</v>
      </c>
      <c r="W183" s="427" t="s">
        <v>881</v>
      </c>
      <c r="X183" s="326" t="s">
        <v>882</v>
      </c>
      <c r="Y183" s="326" t="s">
        <v>883</v>
      </c>
      <c r="Z183" s="419"/>
      <c r="AA183" s="419"/>
      <c r="AB183" s="419"/>
      <c r="AC183" s="419"/>
      <c r="AD183" s="419"/>
      <c r="AE183" s="419"/>
      <c r="AF183" s="419"/>
      <c r="AG183" s="419"/>
      <c r="AH183" s="419"/>
      <c r="AI183" s="419"/>
      <c r="AJ183" s="419"/>
      <c r="AK183" s="419"/>
      <c r="AL183" s="419"/>
      <c r="AM183" s="419"/>
      <c r="AN183" s="419"/>
      <c r="AO183" s="419"/>
      <c r="AP183" s="419"/>
      <c r="AQ183" s="419"/>
      <c r="AR183" s="419"/>
      <c r="AS183" s="419"/>
      <c r="AT183" s="419"/>
      <c r="AU183" s="419"/>
      <c r="AV183" s="419"/>
      <c r="AW183" s="419"/>
      <c r="AX183" s="419"/>
      <c r="AY183" s="419"/>
      <c r="AZ183" s="419"/>
      <c r="BA183" s="419"/>
      <c r="BB183" s="419"/>
      <c r="BC183" s="419"/>
      <c r="BD183" s="424">
        <v>20000000</v>
      </c>
      <c r="BE183" s="424">
        <v>10844445</v>
      </c>
      <c r="BF183" s="424"/>
      <c r="BG183" s="419"/>
      <c r="BH183" s="419"/>
      <c r="BI183" s="419"/>
      <c r="BJ183" s="419"/>
      <c r="BK183" s="419"/>
      <c r="BL183" s="419"/>
      <c r="BM183" s="419"/>
      <c r="BN183" s="419"/>
      <c r="BO183" s="419"/>
      <c r="BP183" s="403">
        <f t="shared" si="79"/>
        <v>20000000</v>
      </c>
      <c r="BQ183" s="403">
        <f>+AA183+AD183+AG183+AJ183+AM183+AP183+AS183+AV183+AY183+BB183+BE183+BH183+BK183</f>
        <v>10844445</v>
      </c>
      <c r="BR183" s="403">
        <f t="shared" si="81"/>
        <v>0</v>
      </c>
      <c r="BS183" s="359" t="s">
        <v>1663</v>
      </c>
      <c r="BT183" s="5"/>
    </row>
    <row r="184" spans="1:72" s="33" customFormat="1" ht="152.25" customHeight="1" x14ac:dyDescent="0.2">
      <c r="A184" s="327">
        <v>316</v>
      </c>
      <c r="B184" s="326" t="s">
        <v>1635</v>
      </c>
      <c r="C184" s="323">
        <v>1</v>
      </c>
      <c r="D184" s="326" t="s">
        <v>1622</v>
      </c>
      <c r="E184" s="323">
        <v>41</v>
      </c>
      <c r="F184" s="326" t="s">
        <v>784</v>
      </c>
      <c r="G184" s="323">
        <v>4103</v>
      </c>
      <c r="H184" s="326" t="s">
        <v>302</v>
      </c>
      <c r="I184" s="323">
        <v>4103</v>
      </c>
      <c r="J184" s="326" t="s">
        <v>1614</v>
      </c>
      <c r="K184" s="326" t="s">
        <v>887</v>
      </c>
      <c r="L184" s="323" t="s">
        <v>41</v>
      </c>
      <c r="M184" s="326" t="s">
        <v>888</v>
      </c>
      <c r="N184" s="435">
        <v>4103052</v>
      </c>
      <c r="O184" s="326" t="s">
        <v>305</v>
      </c>
      <c r="P184" s="323" t="s">
        <v>41</v>
      </c>
      <c r="Q184" s="443" t="s">
        <v>889</v>
      </c>
      <c r="R184" s="435">
        <v>410305202</v>
      </c>
      <c r="S184" s="443" t="s">
        <v>861</v>
      </c>
      <c r="T184" s="349" t="s">
        <v>1689</v>
      </c>
      <c r="U184" s="103">
        <v>1</v>
      </c>
      <c r="V184" s="103">
        <v>0.6</v>
      </c>
      <c r="W184" s="349" t="s">
        <v>890</v>
      </c>
      <c r="X184" s="326" t="s">
        <v>891</v>
      </c>
      <c r="Y184" s="326" t="s">
        <v>892</v>
      </c>
      <c r="Z184" s="419"/>
      <c r="AA184" s="419"/>
      <c r="AB184" s="419"/>
      <c r="AC184" s="419"/>
      <c r="AD184" s="419"/>
      <c r="AE184" s="419"/>
      <c r="AF184" s="419"/>
      <c r="AG184" s="419"/>
      <c r="AH184" s="419"/>
      <c r="AI184" s="419"/>
      <c r="AJ184" s="419"/>
      <c r="AK184" s="419"/>
      <c r="AL184" s="419"/>
      <c r="AM184" s="419"/>
      <c r="AN184" s="419"/>
      <c r="AO184" s="419"/>
      <c r="AP184" s="419"/>
      <c r="AQ184" s="419"/>
      <c r="AR184" s="419"/>
      <c r="AS184" s="419"/>
      <c r="AT184" s="419"/>
      <c r="AU184" s="419"/>
      <c r="AV184" s="419"/>
      <c r="AW184" s="419"/>
      <c r="AX184" s="419"/>
      <c r="AY184" s="419"/>
      <c r="AZ184" s="419"/>
      <c r="BA184" s="419"/>
      <c r="BB184" s="419"/>
      <c r="BC184" s="419"/>
      <c r="BD184" s="424">
        <f>40000000+11681346</f>
        <v>51681346</v>
      </c>
      <c r="BE184" s="424">
        <v>35177167</v>
      </c>
      <c r="BF184" s="424">
        <v>5770000</v>
      </c>
      <c r="BG184" s="419"/>
      <c r="BH184" s="419"/>
      <c r="BI184" s="419"/>
      <c r="BJ184" s="419"/>
      <c r="BK184" s="419"/>
      <c r="BL184" s="419"/>
      <c r="BM184" s="419"/>
      <c r="BN184" s="419"/>
      <c r="BO184" s="419"/>
      <c r="BP184" s="403">
        <f t="shared" si="79"/>
        <v>51681346</v>
      </c>
      <c r="BQ184" s="403">
        <f>+AA184+AD184+AG184+AJ184+AM184+AP184+AS184+AV184+AY184+BB184+BE184+BH184+BK184</f>
        <v>35177167</v>
      </c>
      <c r="BR184" s="403">
        <f t="shared" si="81"/>
        <v>5770000</v>
      </c>
      <c r="BS184" s="359" t="s">
        <v>1663</v>
      </c>
      <c r="BT184" s="5"/>
    </row>
    <row r="185" spans="1:72" ht="152.25" customHeight="1" x14ac:dyDescent="0.2">
      <c r="A185" s="327">
        <v>316</v>
      </c>
      <c r="B185" s="326" t="s">
        <v>1635</v>
      </c>
      <c r="C185" s="323">
        <v>1</v>
      </c>
      <c r="D185" s="326" t="s">
        <v>1622</v>
      </c>
      <c r="E185" s="323">
        <v>41</v>
      </c>
      <c r="F185" s="326" t="s">
        <v>784</v>
      </c>
      <c r="G185" s="323">
        <v>4104</v>
      </c>
      <c r="H185" s="326" t="s">
        <v>893</v>
      </c>
      <c r="I185" s="323">
        <v>4104</v>
      </c>
      <c r="J185" s="326" t="s">
        <v>1615</v>
      </c>
      <c r="K185" s="326" t="s">
        <v>894</v>
      </c>
      <c r="L185" s="323">
        <v>4104035</v>
      </c>
      <c r="M185" s="326" t="s">
        <v>895</v>
      </c>
      <c r="N185" s="435">
        <v>4104020</v>
      </c>
      <c r="O185" s="326" t="s">
        <v>896</v>
      </c>
      <c r="P185" s="99">
        <v>410403500</v>
      </c>
      <c r="Q185" s="326" t="s">
        <v>897</v>
      </c>
      <c r="R185" s="435">
        <v>410402000</v>
      </c>
      <c r="S185" s="326" t="s">
        <v>898</v>
      </c>
      <c r="T185" s="349" t="s">
        <v>1691</v>
      </c>
      <c r="U185" s="103">
        <v>50</v>
      </c>
      <c r="V185" s="103">
        <v>0</v>
      </c>
      <c r="W185" s="427" t="s">
        <v>899</v>
      </c>
      <c r="X185" s="326" t="s">
        <v>900</v>
      </c>
      <c r="Y185" s="326" t="s">
        <v>901</v>
      </c>
      <c r="Z185" s="419"/>
      <c r="AA185" s="419"/>
      <c r="AB185" s="419"/>
      <c r="AC185" s="419"/>
      <c r="AD185" s="419"/>
      <c r="AE185" s="419"/>
      <c r="AF185" s="419"/>
      <c r="AG185" s="419"/>
      <c r="AH185" s="419"/>
      <c r="AI185" s="419"/>
      <c r="AJ185" s="419"/>
      <c r="AK185" s="419"/>
      <c r="AL185" s="419"/>
      <c r="AM185" s="419"/>
      <c r="AN185" s="419"/>
      <c r="AO185" s="419"/>
      <c r="AP185" s="419"/>
      <c r="AQ185" s="419"/>
      <c r="AR185" s="419"/>
      <c r="AS185" s="419"/>
      <c r="AT185" s="419"/>
      <c r="AU185" s="419"/>
      <c r="AV185" s="419"/>
      <c r="AW185" s="419"/>
      <c r="AX185" s="419"/>
      <c r="AY185" s="419"/>
      <c r="AZ185" s="419"/>
      <c r="BA185" s="419"/>
      <c r="BB185" s="419"/>
      <c r="BC185" s="419"/>
      <c r="BD185" s="424">
        <f>25000000+54000000-11540000</f>
        <v>67460000</v>
      </c>
      <c r="BE185" s="424"/>
      <c r="BF185" s="424"/>
      <c r="BG185" s="419"/>
      <c r="BH185" s="419"/>
      <c r="BI185" s="419"/>
      <c r="BJ185" s="419"/>
      <c r="BK185" s="419"/>
      <c r="BL185" s="419"/>
      <c r="BM185" s="419"/>
      <c r="BN185" s="419"/>
      <c r="BO185" s="419"/>
      <c r="BP185" s="403">
        <f t="shared" si="79"/>
        <v>67460000</v>
      </c>
      <c r="BQ185" s="403">
        <f t="shared" ref="BQ185" si="82">+AA185+AD185+AG185+AJ185+AM185+AP185+AS185+AV185+AY185+BB185+BE185+BH185+BK185</f>
        <v>0</v>
      </c>
      <c r="BR185" s="403">
        <f t="shared" ref="BR185" si="83">+AB185+AE185+AH185+AK185+AN185+AQ185+AT185+AW185+AZ185+BC185+BF185+BI185+BL185</f>
        <v>0</v>
      </c>
      <c r="BS185" s="359" t="s">
        <v>1663</v>
      </c>
      <c r="BT185" s="5"/>
    </row>
    <row r="186" spans="1:72" ht="134.25" customHeight="1" x14ac:dyDescent="0.2">
      <c r="A186" s="327">
        <v>316</v>
      </c>
      <c r="B186" s="326" t="s">
        <v>1635</v>
      </c>
      <c r="C186" s="323">
        <v>1</v>
      </c>
      <c r="D186" s="326" t="s">
        <v>1622</v>
      </c>
      <c r="E186" s="323">
        <v>41</v>
      </c>
      <c r="F186" s="326" t="s">
        <v>784</v>
      </c>
      <c r="G186" s="323">
        <v>4104</v>
      </c>
      <c r="H186" s="326" t="s">
        <v>893</v>
      </c>
      <c r="I186" s="323">
        <v>4104</v>
      </c>
      <c r="J186" s="326" t="s">
        <v>1615</v>
      </c>
      <c r="K186" s="326" t="s">
        <v>902</v>
      </c>
      <c r="L186" s="323">
        <v>4104035</v>
      </c>
      <c r="M186" s="326" t="s">
        <v>895</v>
      </c>
      <c r="N186" s="435">
        <v>4104020</v>
      </c>
      <c r="O186" s="326" t="s">
        <v>896</v>
      </c>
      <c r="P186" s="323" t="s">
        <v>41</v>
      </c>
      <c r="Q186" s="326" t="s">
        <v>903</v>
      </c>
      <c r="R186" s="435">
        <v>410402000</v>
      </c>
      <c r="S186" s="326" t="s">
        <v>898</v>
      </c>
      <c r="T186" s="349" t="s">
        <v>1689</v>
      </c>
      <c r="U186" s="103">
        <v>12</v>
      </c>
      <c r="V186" s="103">
        <v>7</v>
      </c>
      <c r="W186" s="427" t="s">
        <v>899</v>
      </c>
      <c r="X186" s="326" t="s">
        <v>900</v>
      </c>
      <c r="Y186" s="326" t="s">
        <v>901</v>
      </c>
      <c r="Z186" s="419"/>
      <c r="AA186" s="419"/>
      <c r="AB186" s="419"/>
      <c r="AC186" s="419"/>
      <c r="AD186" s="419"/>
      <c r="AE186" s="419"/>
      <c r="AF186" s="419"/>
      <c r="AG186" s="419"/>
      <c r="AH186" s="419"/>
      <c r="AI186" s="419"/>
      <c r="AJ186" s="419"/>
      <c r="AK186" s="419"/>
      <c r="AL186" s="419"/>
      <c r="AM186" s="419"/>
      <c r="AN186" s="419"/>
      <c r="AO186" s="419"/>
      <c r="AP186" s="419"/>
      <c r="AQ186" s="419"/>
      <c r="AR186" s="419"/>
      <c r="AS186" s="419"/>
      <c r="AT186" s="419"/>
      <c r="AU186" s="419"/>
      <c r="AV186" s="419"/>
      <c r="AW186" s="419"/>
      <c r="AX186" s="419"/>
      <c r="AY186" s="419"/>
      <c r="AZ186" s="419"/>
      <c r="BA186" s="419"/>
      <c r="BB186" s="419"/>
      <c r="BC186" s="419"/>
      <c r="BD186" s="424">
        <f>19000000+4080000+11540000</f>
        <v>34620000</v>
      </c>
      <c r="BE186" s="424">
        <v>25080000</v>
      </c>
      <c r="BF186" s="424">
        <f>11540000+2885000</f>
        <v>14425000</v>
      </c>
      <c r="BG186" s="419"/>
      <c r="BH186" s="419"/>
      <c r="BI186" s="419"/>
      <c r="BJ186" s="419"/>
      <c r="BK186" s="419"/>
      <c r="BL186" s="419"/>
      <c r="BM186" s="419"/>
      <c r="BN186" s="419"/>
      <c r="BO186" s="419"/>
      <c r="BP186" s="403">
        <f t="shared" si="79"/>
        <v>34620000</v>
      </c>
      <c r="BQ186" s="403">
        <f t="shared" ref="BQ186:BR189" si="84">+AA186+AD186+AG186+AJ186+AM186+AP186+AS186+AV186+AY186+BB186+BE186+BH186+BK186</f>
        <v>25080000</v>
      </c>
      <c r="BR186" s="403">
        <f t="shared" si="84"/>
        <v>14425000</v>
      </c>
      <c r="BS186" s="359" t="s">
        <v>1663</v>
      </c>
      <c r="BT186" s="5"/>
    </row>
    <row r="187" spans="1:72" ht="108.75" customHeight="1" x14ac:dyDescent="0.2">
      <c r="A187" s="327">
        <v>316</v>
      </c>
      <c r="B187" s="326" t="s">
        <v>1635</v>
      </c>
      <c r="C187" s="323">
        <v>1</v>
      </c>
      <c r="D187" s="326" t="s">
        <v>1622</v>
      </c>
      <c r="E187" s="323">
        <v>41</v>
      </c>
      <c r="F187" s="326" t="s">
        <v>784</v>
      </c>
      <c r="G187" s="323">
        <v>4104</v>
      </c>
      <c r="H187" s="326" t="s">
        <v>893</v>
      </c>
      <c r="I187" s="323">
        <v>4104</v>
      </c>
      <c r="J187" s="326" t="s">
        <v>1615</v>
      </c>
      <c r="K187" s="326" t="s">
        <v>904</v>
      </c>
      <c r="L187" s="99">
        <v>4104026</v>
      </c>
      <c r="M187" s="326" t="s">
        <v>905</v>
      </c>
      <c r="N187" s="435">
        <v>4104027</v>
      </c>
      <c r="O187" s="326" t="s">
        <v>906</v>
      </c>
      <c r="P187" s="323" t="s">
        <v>41</v>
      </c>
      <c r="Q187" s="326" t="s">
        <v>907</v>
      </c>
      <c r="R187" s="435">
        <v>410402700</v>
      </c>
      <c r="S187" s="326" t="s">
        <v>908</v>
      </c>
      <c r="T187" s="349" t="s">
        <v>1689</v>
      </c>
      <c r="U187" s="103">
        <v>12</v>
      </c>
      <c r="V187" s="103">
        <v>12</v>
      </c>
      <c r="W187" s="349" t="s">
        <v>909</v>
      </c>
      <c r="X187" s="326" t="s">
        <v>910</v>
      </c>
      <c r="Y187" s="326" t="s">
        <v>911</v>
      </c>
      <c r="Z187" s="419"/>
      <c r="AA187" s="419"/>
      <c r="AB187" s="419"/>
      <c r="AC187" s="419"/>
      <c r="AD187" s="419"/>
      <c r="AE187" s="419"/>
      <c r="AF187" s="419"/>
      <c r="AG187" s="419"/>
      <c r="AH187" s="419"/>
      <c r="AI187" s="419"/>
      <c r="AJ187" s="419"/>
      <c r="AK187" s="419"/>
      <c r="AL187" s="419"/>
      <c r="AM187" s="419"/>
      <c r="AN187" s="419"/>
      <c r="AO187" s="419"/>
      <c r="AP187" s="419"/>
      <c r="AQ187" s="419"/>
      <c r="AR187" s="419"/>
      <c r="AS187" s="419"/>
      <c r="AT187" s="419"/>
      <c r="AU187" s="419"/>
      <c r="AV187" s="419"/>
      <c r="AW187" s="419"/>
      <c r="AX187" s="419"/>
      <c r="AY187" s="419"/>
      <c r="AZ187" s="419"/>
      <c r="BA187" s="419"/>
      <c r="BB187" s="419"/>
      <c r="BC187" s="419"/>
      <c r="BD187" s="424">
        <v>35000000</v>
      </c>
      <c r="BE187" s="424">
        <v>34910735</v>
      </c>
      <c r="BF187" s="424">
        <v>23845000</v>
      </c>
      <c r="BG187" s="419"/>
      <c r="BH187" s="419"/>
      <c r="BI187" s="419"/>
      <c r="BJ187" s="419"/>
      <c r="BK187" s="419"/>
      <c r="BL187" s="419"/>
      <c r="BM187" s="419"/>
      <c r="BN187" s="419"/>
      <c r="BO187" s="419"/>
      <c r="BP187" s="403">
        <f t="shared" si="79"/>
        <v>35000000</v>
      </c>
      <c r="BQ187" s="403">
        <f t="shared" si="84"/>
        <v>34910735</v>
      </c>
      <c r="BR187" s="403">
        <f t="shared" si="84"/>
        <v>23845000</v>
      </c>
      <c r="BS187" s="359" t="s">
        <v>1663</v>
      </c>
      <c r="BT187" s="5"/>
    </row>
    <row r="188" spans="1:72" ht="131.25" customHeight="1" x14ac:dyDescent="0.2">
      <c r="A188" s="327">
        <v>316</v>
      </c>
      <c r="B188" s="326" t="s">
        <v>1635</v>
      </c>
      <c r="C188" s="323">
        <v>1</v>
      </c>
      <c r="D188" s="326" t="s">
        <v>1622</v>
      </c>
      <c r="E188" s="323">
        <v>41</v>
      </c>
      <c r="F188" s="326" t="s">
        <v>784</v>
      </c>
      <c r="G188" s="323">
        <v>4104</v>
      </c>
      <c r="H188" s="326" t="s">
        <v>893</v>
      </c>
      <c r="I188" s="323">
        <v>4104</v>
      </c>
      <c r="J188" s="326" t="s">
        <v>1615</v>
      </c>
      <c r="K188" s="326" t="s">
        <v>912</v>
      </c>
      <c r="L188" s="435">
        <v>4104015</v>
      </c>
      <c r="M188" s="429" t="s">
        <v>913</v>
      </c>
      <c r="N188" s="435">
        <v>4104015</v>
      </c>
      <c r="O188" s="429" t="s">
        <v>914</v>
      </c>
      <c r="P188" s="99">
        <v>410401500</v>
      </c>
      <c r="Q188" s="443" t="s">
        <v>915</v>
      </c>
      <c r="R188" s="99">
        <v>410401500</v>
      </c>
      <c r="S188" s="443" t="s">
        <v>916</v>
      </c>
      <c r="T188" s="349" t="s">
        <v>1689</v>
      </c>
      <c r="U188" s="422">
        <v>7500</v>
      </c>
      <c r="V188" s="422">
        <v>3240</v>
      </c>
      <c r="W188" s="427" t="s">
        <v>917</v>
      </c>
      <c r="X188" s="326" t="s">
        <v>918</v>
      </c>
      <c r="Y188" s="326" t="s">
        <v>919</v>
      </c>
      <c r="Z188" s="419"/>
      <c r="AA188" s="419"/>
      <c r="AB188" s="419"/>
      <c r="AC188" s="419"/>
      <c r="AD188" s="419"/>
      <c r="AE188" s="419"/>
      <c r="AF188" s="419"/>
      <c r="AG188" s="419"/>
      <c r="AH188" s="419"/>
      <c r="AI188" s="419"/>
      <c r="AJ188" s="419"/>
      <c r="AK188" s="419"/>
      <c r="AL188" s="419"/>
      <c r="AM188" s="419"/>
      <c r="AN188" s="419"/>
      <c r="AO188" s="419"/>
      <c r="AP188" s="419"/>
      <c r="AQ188" s="419"/>
      <c r="AR188" s="419"/>
      <c r="AS188" s="419"/>
      <c r="AT188" s="419"/>
      <c r="AU188" s="419"/>
      <c r="AV188" s="419"/>
      <c r="AW188" s="419"/>
      <c r="AX188" s="419"/>
      <c r="AY188" s="419"/>
      <c r="AZ188" s="419"/>
      <c r="BA188" s="419"/>
      <c r="BB188" s="419"/>
      <c r="BC188" s="419"/>
      <c r="BD188" s="424">
        <f>20000000-1000000+11800000</f>
        <v>30800000</v>
      </c>
      <c r="BE188" s="424">
        <v>26960000</v>
      </c>
      <c r="BF188" s="424">
        <v>21845000</v>
      </c>
      <c r="BG188" s="419"/>
      <c r="BH188" s="419"/>
      <c r="BI188" s="419"/>
      <c r="BJ188" s="419"/>
      <c r="BK188" s="419"/>
      <c r="BL188" s="419"/>
      <c r="BM188" s="419"/>
      <c r="BN188" s="419"/>
      <c r="BO188" s="419"/>
      <c r="BP188" s="403">
        <f t="shared" si="79"/>
        <v>30800000</v>
      </c>
      <c r="BQ188" s="403">
        <f t="shared" si="84"/>
        <v>26960000</v>
      </c>
      <c r="BR188" s="403">
        <f t="shared" si="84"/>
        <v>21845000</v>
      </c>
      <c r="BS188" s="359" t="s">
        <v>1663</v>
      </c>
      <c r="BT188" s="5"/>
    </row>
    <row r="189" spans="1:72" s="33" customFormat="1" ht="203.25" customHeight="1" x14ac:dyDescent="0.2">
      <c r="A189" s="327">
        <v>316</v>
      </c>
      <c r="B189" s="326" t="s">
        <v>1635</v>
      </c>
      <c r="C189" s="323">
        <v>1</v>
      </c>
      <c r="D189" s="326" t="s">
        <v>1622</v>
      </c>
      <c r="E189" s="323">
        <v>41</v>
      </c>
      <c r="F189" s="326" t="s">
        <v>784</v>
      </c>
      <c r="G189" s="323">
        <v>4104</v>
      </c>
      <c r="H189" s="326" t="s">
        <v>893</v>
      </c>
      <c r="I189" s="323">
        <v>4104</v>
      </c>
      <c r="J189" s="326" t="s">
        <v>1615</v>
      </c>
      <c r="K189" s="326" t="s">
        <v>920</v>
      </c>
      <c r="L189" s="323" t="s">
        <v>41</v>
      </c>
      <c r="M189" s="429" t="s">
        <v>921</v>
      </c>
      <c r="N189" s="323">
        <v>4104008</v>
      </c>
      <c r="O189" s="429" t="s">
        <v>922</v>
      </c>
      <c r="P189" s="323" t="s">
        <v>41</v>
      </c>
      <c r="Q189" s="480" t="s">
        <v>923</v>
      </c>
      <c r="R189" s="323">
        <v>410400800</v>
      </c>
      <c r="S189" s="480" t="s">
        <v>924</v>
      </c>
      <c r="T189" s="349" t="s">
        <v>1689</v>
      </c>
      <c r="U189" s="103">
        <v>12</v>
      </c>
      <c r="V189" s="103">
        <v>12</v>
      </c>
      <c r="W189" s="427" t="s">
        <v>917</v>
      </c>
      <c r="X189" s="326" t="s">
        <v>918</v>
      </c>
      <c r="Y189" s="326" t="s">
        <v>919</v>
      </c>
      <c r="Z189" s="454">
        <f>1057961872+2468577702+543545433.01</f>
        <v>4070085007.0100002</v>
      </c>
      <c r="AA189" s="454">
        <v>2300059333.25</v>
      </c>
      <c r="AB189" s="454">
        <v>2300059333.25</v>
      </c>
      <c r="AC189" s="481"/>
      <c r="AD189" s="481"/>
      <c r="AE189" s="481"/>
      <c r="AF189" s="419"/>
      <c r="AG189" s="419"/>
      <c r="AH189" s="419"/>
      <c r="AI189" s="419"/>
      <c r="AJ189" s="419"/>
      <c r="AK189" s="419"/>
      <c r="AL189" s="419"/>
      <c r="AM189" s="419"/>
      <c r="AN189" s="419"/>
      <c r="AO189" s="419"/>
      <c r="AP189" s="419"/>
      <c r="AQ189" s="419"/>
      <c r="AR189" s="419"/>
      <c r="AS189" s="419"/>
      <c r="AT189" s="419"/>
      <c r="AU189" s="419"/>
      <c r="AV189" s="419"/>
      <c r="AW189" s="419"/>
      <c r="AX189" s="419"/>
      <c r="AY189" s="419"/>
      <c r="AZ189" s="419"/>
      <c r="BA189" s="419"/>
      <c r="BB189" s="419"/>
      <c r="BC189" s="419"/>
      <c r="BD189" s="424">
        <v>0</v>
      </c>
      <c r="BE189" s="424"/>
      <c r="BF189" s="424"/>
      <c r="BG189" s="419"/>
      <c r="BH189" s="419"/>
      <c r="BI189" s="419"/>
      <c r="BJ189" s="419"/>
      <c r="BK189" s="419"/>
      <c r="BL189" s="419"/>
      <c r="BM189" s="419"/>
      <c r="BN189" s="419"/>
      <c r="BO189" s="419"/>
      <c r="BP189" s="403">
        <f>+Z189+AC189+AF189+AI189+AL189+AO189+AR189+AU189+AX189+BA189+BD189+BG189+BJ189</f>
        <v>4070085007.0100002</v>
      </c>
      <c r="BQ189" s="403">
        <f t="shared" si="84"/>
        <v>2300059333.25</v>
      </c>
      <c r="BR189" s="403">
        <f t="shared" si="84"/>
        <v>2300059333.25</v>
      </c>
      <c r="BS189" s="359" t="s">
        <v>1663</v>
      </c>
      <c r="BT189" s="5"/>
    </row>
    <row r="190" spans="1:72" ht="135" customHeight="1" x14ac:dyDescent="0.2">
      <c r="A190" s="327">
        <v>316</v>
      </c>
      <c r="B190" s="326" t="s">
        <v>1635</v>
      </c>
      <c r="C190" s="323">
        <v>2</v>
      </c>
      <c r="D190" s="326" t="s">
        <v>1629</v>
      </c>
      <c r="E190" s="323">
        <v>17</v>
      </c>
      <c r="F190" s="326" t="s">
        <v>451</v>
      </c>
      <c r="G190" s="323">
        <v>1702</v>
      </c>
      <c r="H190" s="326" t="s">
        <v>452</v>
      </c>
      <c r="I190" s="323">
        <v>1702</v>
      </c>
      <c r="J190" s="326" t="s">
        <v>1583</v>
      </c>
      <c r="K190" s="326" t="s">
        <v>925</v>
      </c>
      <c r="L190" s="435">
        <v>1702011</v>
      </c>
      <c r="M190" s="326" t="s">
        <v>926</v>
      </c>
      <c r="N190" s="435">
        <v>1702011</v>
      </c>
      <c r="O190" s="326" t="s">
        <v>926</v>
      </c>
      <c r="P190" s="99" t="s">
        <v>927</v>
      </c>
      <c r="Q190" s="443" t="s">
        <v>928</v>
      </c>
      <c r="R190" s="99" t="s">
        <v>927</v>
      </c>
      <c r="S190" s="443" t="s">
        <v>928</v>
      </c>
      <c r="T190" s="349" t="s">
        <v>1691</v>
      </c>
      <c r="U190" s="103">
        <v>4</v>
      </c>
      <c r="V190" s="103">
        <v>4</v>
      </c>
      <c r="W190" s="349" t="s">
        <v>929</v>
      </c>
      <c r="X190" s="326" t="s">
        <v>930</v>
      </c>
      <c r="Y190" s="326" t="s">
        <v>931</v>
      </c>
      <c r="Z190" s="419"/>
      <c r="AA190" s="419"/>
      <c r="AB190" s="419"/>
      <c r="AC190" s="419"/>
      <c r="AD190" s="419"/>
      <c r="AE190" s="419"/>
      <c r="AF190" s="419"/>
      <c r="AG190" s="419"/>
      <c r="AH190" s="419"/>
      <c r="AI190" s="419"/>
      <c r="AJ190" s="419"/>
      <c r="AK190" s="419"/>
      <c r="AL190" s="419"/>
      <c r="AM190" s="419"/>
      <c r="AN190" s="419"/>
      <c r="AO190" s="419"/>
      <c r="AP190" s="419"/>
      <c r="AQ190" s="419"/>
      <c r="AR190" s="419"/>
      <c r="AS190" s="419"/>
      <c r="AT190" s="419"/>
      <c r="AU190" s="419"/>
      <c r="AV190" s="419"/>
      <c r="AW190" s="419"/>
      <c r="AX190" s="419"/>
      <c r="AY190" s="419"/>
      <c r="AZ190" s="419"/>
      <c r="BA190" s="419"/>
      <c r="BB190" s="419"/>
      <c r="BC190" s="419"/>
      <c r="BD190" s="424">
        <v>18000000</v>
      </c>
      <c r="BE190" s="424">
        <v>18000000</v>
      </c>
      <c r="BF190" s="424">
        <v>11540000</v>
      </c>
      <c r="BG190" s="419"/>
      <c r="BH190" s="419"/>
      <c r="BI190" s="419"/>
      <c r="BJ190" s="419"/>
      <c r="BK190" s="419"/>
      <c r="BL190" s="419"/>
      <c r="BM190" s="419"/>
      <c r="BN190" s="419"/>
      <c r="BO190" s="419"/>
      <c r="BP190" s="403">
        <f>+Z190+AC190+AF190+AI190+AL190+AO190+AR190+AU190+AX190+BA190+BD190+BG190+BJ190</f>
        <v>18000000</v>
      </c>
      <c r="BQ190" s="403">
        <f t="shared" ref="BQ190:BR192" si="85">+AA190+AD190+AG190+AJ190+AM190+AP190+AS190+AV190+AY190+BB190+BE190+BH190+BK190</f>
        <v>18000000</v>
      </c>
      <c r="BR190" s="403">
        <f t="shared" si="85"/>
        <v>11540000</v>
      </c>
      <c r="BS190" s="359" t="s">
        <v>1663</v>
      </c>
      <c r="BT190" s="5"/>
    </row>
    <row r="191" spans="1:72" ht="131.25" customHeight="1" x14ac:dyDescent="0.2">
      <c r="A191" s="327">
        <v>316</v>
      </c>
      <c r="B191" s="326" t="s">
        <v>1635</v>
      </c>
      <c r="C191" s="323">
        <v>2</v>
      </c>
      <c r="D191" s="326" t="s">
        <v>1629</v>
      </c>
      <c r="E191" s="323">
        <v>36</v>
      </c>
      <c r="F191" s="442" t="s">
        <v>433</v>
      </c>
      <c r="G191" s="323">
        <v>3604</v>
      </c>
      <c r="H191" s="326" t="s">
        <v>932</v>
      </c>
      <c r="I191" s="323">
        <v>3604</v>
      </c>
      <c r="J191" s="326" t="s">
        <v>1609</v>
      </c>
      <c r="K191" s="326" t="s">
        <v>933</v>
      </c>
      <c r="L191" s="323">
        <v>3604006</v>
      </c>
      <c r="M191" s="326" t="s">
        <v>934</v>
      </c>
      <c r="N191" s="323">
        <v>3604006</v>
      </c>
      <c r="O191" s="326" t="s">
        <v>934</v>
      </c>
      <c r="P191" s="99">
        <v>360400600</v>
      </c>
      <c r="Q191" s="421" t="s">
        <v>330</v>
      </c>
      <c r="R191" s="99">
        <v>360400600</v>
      </c>
      <c r="S191" s="421" t="s">
        <v>330</v>
      </c>
      <c r="T191" s="349" t="s">
        <v>1691</v>
      </c>
      <c r="U191" s="471">
        <v>200</v>
      </c>
      <c r="V191" s="471">
        <v>180</v>
      </c>
      <c r="W191" s="349" t="s">
        <v>935</v>
      </c>
      <c r="X191" s="429" t="s">
        <v>936</v>
      </c>
      <c r="Y191" s="429" t="s">
        <v>937</v>
      </c>
      <c r="Z191" s="419"/>
      <c r="AA191" s="419"/>
      <c r="AB191" s="419"/>
      <c r="AC191" s="419"/>
      <c r="AD191" s="419"/>
      <c r="AE191" s="419"/>
      <c r="AF191" s="419"/>
      <c r="AG191" s="419"/>
      <c r="AH191" s="419"/>
      <c r="AI191" s="419"/>
      <c r="AJ191" s="419"/>
      <c r="AK191" s="419"/>
      <c r="AL191" s="419"/>
      <c r="AM191" s="419"/>
      <c r="AN191" s="419"/>
      <c r="AO191" s="419"/>
      <c r="AP191" s="419"/>
      <c r="AQ191" s="419"/>
      <c r="AR191" s="419"/>
      <c r="AS191" s="419"/>
      <c r="AT191" s="419"/>
      <c r="AU191" s="419"/>
      <c r="AV191" s="419"/>
      <c r="AW191" s="419"/>
      <c r="AX191" s="419"/>
      <c r="AY191" s="419"/>
      <c r="AZ191" s="419"/>
      <c r="BA191" s="419"/>
      <c r="BB191" s="419"/>
      <c r="BC191" s="419"/>
      <c r="BD191" s="424">
        <f>18000000+20195000</f>
        <v>38195000</v>
      </c>
      <c r="BE191" s="424">
        <v>29095000</v>
      </c>
      <c r="BF191" s="424">
        <v>14670000</v>
      </c>
      <c r="BG191" s="419"/>
      <c r="BH191" s="419"/>
      <c r="BI191" s="419"/>
      <c r="BJ191" s="419"/>
      <c r="BK191" s="419"/>
      <c r="BL191" s="419"/>
      <c r="BM191" s="419"/>
      <c r="BN191" s="419"/>
      <c r="BO191" s="419"/>
      <c r="BP191" s="403">
        <f>+Z191+AC191+AF191+AI191+AL191+AO191+AR191+AU191+AX191+BA191+BD191+BG191+BJ191</f>
        <v>38195000</v>
      </c>
      <c r="BQ191" s="403">
        <f t="shared" si="85"/>
        <v>29095000</v>
      </c>
      <c r="BR191" s="403">
        <f t="shared" si="85"/>
        <v>14670000</v>
      </c>
      <c r="BS191" s="359" t="s">
        <v>1663</v>
      </c>
      <c r="BT191" s="5"/>
    </row>
    <row r="192" spans="1:72" ht="122.25" customHeight="1" x14ac:dyDescent="0.2">
      <c r="A192" s="327">
        <v>316</v>
      </c>
      <c r="B192" s="326" t="s">
        <v>1635</v>
      </c>
      <c r="C192" s="323">
        <v>4</v>
      </c>
      <c r="D192" s="326" t="s">
        <v>1620</v>
      </c>
      <c r="E192" s="323">
        <v>45</v>
      </c>
      <c r="F192" s="326" t="s">
        <v>938</v>
      </c>
      <c r="G192" s="323">
        <v>4502</v>
      </c>
      <c r="H192" s="326" t="s">
        <v>1574</v>
      </c>
      <c r="I192" s="323">
        <v>4502</v>
      </c>
      <c r="J192" s="326" t="s">
        <v>1575</v>
      </c>
      <c r="K192" s="326" t="s">
        <v>939</v>
      </c>
      <c r="L192" s="435">
        <v>4502001</v>
      </c>
      <c r="M192" s="326" t="s">
        <v>72</v>
      </c>
      <c r="N192" s="435">
        <v>4502001</v>
      </c>
      <c r="O192" s="326" t="s">
        <v>72</v>
      </c>
      <c r="P192" s="323" t="s">
        <v>41</v>
      </c>
      <c r="Q192" s="443" t="s">
        <v>940</v>
      </c>
      <c r="R192" s="435">
        <v>450200108</v>
      </c>
      <c r="S192" s="443" t="s">
        <v>941</v>
      </c>
      <c r="T192" s="349" t="s">
        <v>1691</v>
      </c>
      <c r="U192" s="103">
        <v>1</v>
      </c>
      <c r="V192" s="103">
        <v>0.5</v>
      </c>
      <c r="W192" s="349" t="s">
        <v>942</v>
      </c>
      <c r="X192" s="326" t="s">
        <v>943</v>
      </c>
      <c r="Y192" s="326" t="s">
        <v>944</v>
      </c>
      <c r="Z192" s="419"/>
      <c r="AA192" s="419"/>
      <c r="AB192" s="419"/>
      <c r="AC192" s="419"/>
      <c r="AD192" s="419"/>
      <c r="AE192" s="419"/>
      <c r="AF192" s="419"/>
      <c r="AG192" s="419"/>
      <c r="AH192" s="419"/>
      <c r="AI192" s="419"/>
      <c r="AJ192" s="419"/>
      <c r="AK192" s="419"/>
      <c r="AL192" s="419"/>
      <c r="AM192" s="419"/>
      <c r="AN192" s="419"/>
      <c r="AO192" s="419"/>
      <c r="AP192" s="419"/>
      <c r="AQ192" s="419"/>
      <c r="AR192" s="419"/>
      <c r="AS192" s="419"/>
      <c r="AT192" s="419"/>
      <c r="AU192" s="419"/>
      <c r="AV192" s="419"/>
      <c r="AW192" s="419"/>
      <c r="AX192" s="419"/>
      <c r="AY192" s="419"/>
      <c r="AZ192" s="419"/>
      <c r="BA192" s="419"/>
      <c r="BB192" s="419"/>
      <c r="BC192" s="419"/>
      <c r="BD192" s="424">
        <v>18000000</v>
      </c>
      <c r="BE192" s="424">
        <v>13195000</v>
      </c>
      <c r="BF192" s="424"/>
      <c r="BG192" s="419"/>
      <c r="BH192" s="419"/>
      <c r="BI192" s="419"/>
      <c r="BJ192" s="419"/>
      <c r="BK192" s="419"/>
      <c r="BL192" s="419"/>
      <c r="BM192" s="419"/>
      <c r="BN192" s="419"/>
      <c r="BO192" s="419"/>
      <c r="BP192" s="403">
        <f>+Z192+AC192+AF192+AI192+AL192+AO192+AR192+AU192+AX192+BA192+BD192+BG192+BJ192</f>
        <v>18000000</v>
      </c>
      <c r="BQ192" s="403">
        <f t="shared" si="85"/>
        <v>13195000</v>
      </c>
      <c r="BR192" s="403">
        <f t="shared" si="85"/>
        <v>0</v>
      </c>
      <c r="BS192" s="359" t="s">
        <v>1663</v>
      </c>
      <c r="BT192" s="5"/>
    </row>
    <row r="193" spans="1:72" s="2" customFormat="1" ht="224.25" customHeight="1" x14ac:dyDescent="0.2">
      <c r="A193" s="327">
        <v>316</v>
      </c>
      <c r="B193" s="326" t="s">
        <v>1635</v>
      </c>
      <c r="C193" s="323">
        <v>4</v>
      </c>
      <c r="D193" s="326" t="s">
        <v>1620</v>
      </c>
      <c r="E193" s="323">
        <v>45</v>
      </c>
      <c r="F193" s="326" t="s">
        <v>938</v>
      </c>
      <c r="G193" s="323">
        <v>4502</v>
      </c>
      <c r="H193" s="326" t="s">
        <v>1574</v>
      </c>
      <c r="I193" s="323">
        <v>4502</v>
      </c>
      <c r="J193" s="326" t="s">
        <v>1575</v>
      </c>
      <c r="K193" s="326" t="s">
        <v>945</v>
      </c>
      <c r="L193" s="323" t="s">
        <v>41</v>
      </c>
      <c r="M193" s="326" t="s">
        <v>946</v>
      </c>
      <c r="N193" s="430">
        <v>4502038</v>
      </c>
      <c r="O193" s="326" t="s">
        <v>947</v>
      </c>
      <c r="P193" s="323" t="s">
        <v>41</v>
      </c>
      <c r="Q193" s="443" t="s">
        <v>948</v>
      </c>
      <c r="R193" s="422">
        <v>450203800</v>
      </c>
      <c r="S193" s="443" t="s">
        <v>949</v>
      </c>
      <c r="T193" s="349" t="s">
        <v>1689</v>
      </c>
      <c r="U193" s="103">
        <v>1</v>
      </c>
      <c r="V193" s="103">
        <v>0.9</v>
      </c>
      <c r="W193" s="349" t="s">
        <v>950</v>
      </c>
      <c r="X193" s="326" t="s">
        <v>951</v>
      </c>
      <c r="Y193" s="326" t="s">
        <v>952</v>
      </c>
      <c r="Z193" s="419"/>
      <c r="AA193" s="419"/>
      <c r="AB193" s="419"/>
      <c r="AC193" s="419"/>
      <c r="AD193" s="419"/>
      <c r="AE193" s="419"/>
      <c r="AF193" s="419"/>
      <c r="AG193" s="419"/>
      <c r="AH193" s="419"/>
      <c r="AI193" s="419"/>
      <c r="AJ193" s="419"/>
      <c r="AK193" s="419"/>
      <c r="AL193" s="419"/>
      <c r="AM193" s="419"/>
      <c r="AN193" s="419"/>
      <c r="AO193" s="419"/>
      <c r="AP193" s="419"/>
      <c r="AQ193" s="419"/>
      <c r="AR193" s="419"/>
      <c r="AS193" s="419"/>
      <c r="AT193" s="419"/>
      <c r="AU193" s="419"/>
      <c r="AV193" s="419"/>
      <c r="AW193" s="419"/>
      <c r="AX193" s="419"/>
      <c r="AY193" s="419"/>
      <c r="AZ193" s="419"/>
      <c r="BA193" s="419"/>
      <c r="BB193" s="419"/>
      <c r="BC193" s="419"/>
      <c r="BD193" s="424">
        <f>95000000-18000000</f>
        <v>77000000</v>
      </c>
      <c r="BE193" s="424">
        <v>71013346</v>
      </c>
      <c r="BF193" s="424">
        <v>50230000</v>
      </c>
      <c r="BG193" s="419"/>
      <c r="BH193" s="419"/>
      <c r="BI193" s="419"/>
      <c r="BJ193" s="419"/>
      <c r="BK193" s="419"/>
      <c r="BL193" s="419"/>
      <c r="BM193" s="419"/>
      <c r="BN193" s="419"/>
      <c r="BO193" s="419"/>
      <c r="BP193" s="403">
        <f t="shared" ref="BP193:BP194" si="86">+Z193+AC193+AF193+AI193+AL193+AO193+AR193+AU193+AX193+BA193+BD193+BG193+BJ193</f>
        <v>77000000</v>
      </c>
      <c r="BQ193" s="403">
        <f t="shared" ref="BQ193:BR196" si="87">+AA193+AD193+AG193+AJ193+AM193+AP193+AS193+AV193+AY193+BB193+BE193+BH193+BK193</f>
        <v>71013346</v>
      </c>
      <c r="BR193" s="403">
        <f t="shared" si="87"/>
        <v>50230000</v>
      </c>
      <c r="BS193" s="359" t="s">
        <v>1663</v>
      </c>
      <c r="BT193" s="5"/>
    </row>
    <row r="194" spans="1:72" s="2" customFormat="1" ht="216" customHeight="1" x14ac:dyDescent="0.2">
      <c r="A194" s="327">
        <v>316</v>
      </c>
      <c r="B194" s="326" t="s">
        <v>1635</v>
      </c>
      <c r="C194" s="323">
        <v>4</v>
      </c>
      <c r="D194" s="326" t="s">
        <v>1620</v>
      </c>
      <c r="E194" s="323">
        <v>45</v>
      </c>
      <c r="F194" s="326" t="s">
        <v>938</v>
      </c>
      <c r="G194" s="323">
        <v>4502</v>
      </c>
      <c r="H194" s="326" t="s">
        <v>1574</v>
      </c>
      <c r="I194" s="323">
        <v>4502</v>
      </c>
      <c r="J194" s="326" t="s">
        <v>1575</v>
      </c>
      <c r="K194" s="326" t="s">
        <v>953</v>
      </c>
      <c r="L194" s="323" t="s">
        <v>41</v>
      </c>
      <c r="M194" s="326" t="s">
        <v>954</v>
      </c>
      <c r="N194" s="430">
        <v>4502038</v>
      </c>
      <c r="O194" s="326" t="s">
        <v>947</v>
      </c>
      <c r="P194" s="323" t="s">
        <v>41</v>
      </c>
      <c r="Q194" s="443" t="s">
        <v>955</v>
      </c>
      <c r="R194" s="422">
        <v>450203800</v>
      </c>
      <c r="S194" s="443" t="s">
        <v>949</v>
      </c>
      <c r="T194" s="349" t="s">
        <v>1689</v>
      </c>
      <c r="U194" s="103">
        <v>1</v>
      </c>
      <c r="V194" s="103">
        <v>0.9</v>
      </c>
      <c r="W194" s="349" t="s">
        <v>956</v>
      </c>
      <c r="X194" s="326" t="s">
        <v>957</v>
      </c>
      <c r="Y194" s="326" t="s">
        <v>958</v>
      </c>
      <c r="Z194" s="419"/>
      <c r="AA194" s="419"/>
      <c r="AB194" s="419"/>
      <c r="AC194" s="419"/>
      <c r="AD194" s="419"/>
      <c r="AE194" s="419"/>
      <c r="AF194" s="419"/>
      <c r="AG194" s="419"/>
      <c r="AH194" s="419"/>
      <c r="AI194" s="419"/>
      <c r="AJ194" s="419"/>
      <c r="AK194" s="419"/>
      <c r="AL194" s="419"/>
      <c r="AM194" s="419"/>
      <c r="AN194" s="419"/>
      <c r="AO194" s="419"/>
      <c r="AP194" s="419"/>
      <c r="AQ194" s="419"/>
      <c r="AR194" s="419"/>
      <c r="AS194" s="419"/>
      <c r="AT194" s="419"/>
      <c r="AU194" s="419"/>
      <c r="AV194" s="419"/>
      <c r="AW194" s="419"/>
      <c r="AX194" s="419"/>
      <c r="AY194" s="419"/>
      <c r="AZ194" s="419"/>
      <c r="BA194" s="419"/>
      <c r="BB194" s="419"/>
      <c r="BC194" s="419"/>
      <c r="BD194" s="424">
        <v>90000000</v>
      </c>
      <c r="BE194" s="424">
        <v>82265800</v>
      </c>
      <c r="BF194" s="424">
        <v>62360000</v>
      </c>
      <c r="BG194" s="419"/>
      <c r="BH194" s="419"/>
      <c r="BI194" s="419"/>
      <c r="BJ194" s="419"/>
      <c r="BK194" s="419"/>
      <c r="BL194" s="419"/>
      <c r="BM194" s="419"/>
      <c r="BN194" s="419"/>
      <c r="BO194" s="419"/>
      <c r="BP194" s="403">
        <f t="shared" si="86"/>
        <v>90000000</v>
      </c>
      <c r="BQ194" s="403">
        <f t="shared" si="87"/>
        <v>82265800</v>
      </c>
      <c r="BR194" s="403">
        <f t="shared" si="87"/>
        <v>62360000</v>
      </c>
      <c r="BS194" s="359" t="s">
        <v>1663</v>
      </c>
      <c r="BT194" s="5"/>
    </row>
    <row r="195" spans="1:72" s="2" customFormat="1" ht="180" customHeight="1" x14ac:dyDescent="0.2">
      <c r="A195" s="327">
        <v>316</v>
      </c>
      <c r="B195" s="326" t="s">
        <v>1635</v>
      </c>
      <c r="C195" s="323">
        <v>4</v>
      </c>
      <c r="D195" s="326" t="s">
        <v>1620</v>
      </c>
      <c r="E195" s="323">
        <v>45</v>
      </c>
      <c r="F195" s="326" t="s">
        <v>938</v>
      </c>
      <c r="G195" s="323">
        <v>4502</v>
      </c>
      <c r="H195" s="326" t="s">
        <v>1574</v>
      </c>
      <c r="I195" s="323">
        <v>4502</v>
      </c>
      <c r="J195" s="326" t="s">
        <v>1575</v>
      </c>
      <c r="K195" s="326" t="s">
        <v>959</v>
      </c>
      <c r="L195" s="435">
        <v>4501024</v>
      </c>
      <c r="M195" s="326" t="s">
        <v>341</v>
      </c>
      <c r="N195" s="435">
        <v>4502024</v>
      </c>
      <c r="O195" s="326" t="s">
        <v>341</v>
      </c>
      <c r="P195" s="323" t="s">
        <v>41</v>
      </c>
      <c r="Q195" s="326" t="s">
        <v>960</v>
      </c>
      <c r="R195" s="435">
        <v>450202401</v>
      </c>
      <c r="S195" s="326" t="s">
        <v>961</v>
      </c>
      <c r="T195" s="349" t="s">
        <v>1689</v>
      </c>
      <c r="U195" s="103">
        <v>1</v>
      </c>
      <c r="V195" s="103">
        <v>0.9</v>
      </c>
      <c r="W195" s="349" t="s">
        <v>962</v>
      </c>
      <c r="X195" s="326" t="s">
        <v>963</v>
      </c>
      <c r="Y195" s="326" t="s">
        <v>964</v>
      </c>
      <c r="Z195" s="419">
        <v>0</v>
      </c>
      <c r="AA195" s="419"/>
      <c r="AB195" s="419"/>
      <c r="AC195" s="419">
        <v>0</v>
      </c>
      <c r="AD195" s="419"/>
      <c r="AE195" s="419"/>
      <c r="AF195" s="419">
        <v>0</v>
      </c>
      <c r="AG195" s="419"/>
      <c r="AH195" s="419"/>
      <c r="AI195" s="419">
        <v>0</v>
      </c>
      <c r="AJ195" s="419"/>
      <c r="AK195" s="419"/>
      <c r="AL195" s="419">
        <v>0</v>
      </c>
      <c r="AM195" s="419"/>
      <c r="AN195" s="419"/>
      <c r="AO195" s="419">
        <v>0</v>
      </c>
      <c r="AP195" s="419"/>
      <c r="AQ195" s="419"/>
      <c r="AR195" s="419">
        <v>0</v>
      </c>
      <c r="AS195" s="419"/>
      <c r="AT195" s="419"/>
      <c r="AU195" s="419">
        <v>0</v>
      </c>
      <c r="AV195" s="419"/>
      <c r="AW195" s="419"/>
      <c r="AX195" s="419">
        <v>0</v>
      </c>
      <c r="AY195" s="419"/>
      <c r="AZ195" s="419"/>
      <c r="BA195" s="419">
        <v>0</v>
      </c>
      <c r="BB195" s="419"/>
      <c r="BC195" s="419"/>
      <c r="BD195" s="424">
        <v>33000000</v>
      </c>
      <c r="BE195" s="424">
        <v>29538000</v>
      </c>
      <c r="BF195" s="424">
        <v>22818000</v>
      </c>
      <c r="BG195" s="419"/>
      <c r="BH195" s="419"/>
      <c r="BI195" s="419"/>
      <c r="BJ195" s="419"/>
      <c r="BK195" s="419"/>
      <c r="BL195" s="419"/>
      <c r="BM195" s="419"/>
      <c r="BN195" s="419"/>
      <c r="BO195" s="419"/>
      <c r="BP195" s="403">
        <f t="shared" ref="BP195:BP201" si="88">+Z195+AC195+AF195+AI195+AL195+AO195+AR195+AU195+AX195+BA195+BD195+BG195+BJ195</f>
        <v>33000000</v>
      </c>
      <c r="BQ195" s="403">
        <f t="shared" si="87"/>
        <v>29538000</v>
      </c>
      <c r="BR195" s="403">
        <f t="shared" si="87"/>
        <v>22818000</v>
      </c>
      <c r="BS195" s="359" t="s">
        <v>1663</v>
      </c>
      <c r="BT195" s="5"/>
    </row>
    <row r="196" spans="1:72" s="2" customFormat="1" ht="178.5" customHeight="1" x14ac:dyDescent="0.2">
      <c r="A196" s="327">
        <v>316</v>
      </c>
      <c r="B196" s="326" t="s">
        <v>1635</v>
      </c>
      <c r="C196" s="323">
        <v>4</v>
      </c>
      <c r="D196" s="326" t="s">
        <v>1620</v>
      </c>
      <c r="E196" s="323">
        <v>45</v>
      </c>
      <c r="F196" s="326" t="s">
        <v>938</v>
      </c>
      <c r="G196" s="323">
        <v>4502</v>
      </c>
      <c r="H196" s="326" t="s">
        <v>1574</v>
      </c>
      <c r="I196" s="323">
        <v>4502</v>
      </c>
      <c r="J196" s="326" t="s">
        <v>1575</v>
      </c>
      <c r="K196" s="326" t="s">
        <v>959</v>
      </c>
      <c r="L196" s="435">
        <v>4501024</v>
      </c>
      <c r="M196" s="326" t="s">
        <v>341</v>
      </c>
      <c r="N196" s="435">
        <v>4502024</v>
      </c>
      <c r="O196" s="326" t="s">
        <v>341</v>
      </c>
      <c r="P196" s="323" t="s">
        <v>41</v>
      </c>
      <c r="Q196" s="326" t="s">
        <v>965</v>
      </c>
      <c r="R196" s="435">
        <v>450202401</v>
      </c>
      <c r="S196" s="326" t="s">
        <v>961</v>
      </c>
      <c r="T196" s="349" t="s">
        <v>1689</v>
      </c>
      <c r="U196" s="103">
        <v>1</v>
      </c>
      <c r="V196" s="103">
        <v>0.9</v>
      </c>
      <c r="W196" s="349" t="s">
        <v>966</v>
      </c>
      <c r="X196" s="326" t="s">
        <v>967</v>
      </c>
      <c r="Y196" s="326" t="s">
        <v>968</v>
      </c>
      <c r="Z196" s="419"/>
      <c r="AA196" s="419"/>
      <c r="AB196" s="419"/>
      <c r="AC196" s="419"/>
      <c r="AD196" s="419"/>
      <c r="AE196" s="419"/>
      <c r="AF196" s="419"/>
      <c r="AG196" s="419"/>
      <c r="AH196" s="419"/>
      <c r="AI196" s="419"/>
      <c r="AJ196" s="419"/>
      <c r="AK196" s="419"/>
      <c r="AL196" s="419"/>
      <c r="AM196" s="419"/>
      <c r="AN196" s="419"/>
      <c r="AO196" s="419"/>
      <c r="AP196" s="419"/>
      <c r="AQ196" s="419"/>
      <c r="AR196" s="419"/>
      <c r="AS196" s="419"/>
      <c r="AT196" s="419"/>
      <c r="AU196" s="419"/>
      <c r="AV196" s="419"/>
      <c r="AW196" s="419"/>
      <c r="AX196" s="419"/>
      <c r="AY196" s="419"/>
      <c r="AZ196" s="419"/>
      <c r="BA196" s="419"/>
      <c r="BB196" s="419"/>
      <c r="BC196" s="419"/>
      <c r="BD196" s="424">
        <v>33000000</v>
      </c>
      <c r="BE196" s="424">
        <v>32331167</v>
      </c>
      <c r="BF196" s="424">
        <v>20702000</v>
      </c>
      <c r="BG196" s="419"/>
      <c r="BH196" s="419"/>
      <c r="BI196" s="419"/>
      <c r="BJ196" s="419"/>
      <c r="BK196" s="419"/>
      <c r="BL196" s="419"/>
      <c r="BM196" s="419"/>
      <c r="BN196" s="419"/>
      <c r="BO196" s="419"/>
      <c r="BP196" s="403">
        <f t="shared" si="88"/>
        <v>33000000</v>
      </c>
      <c r="BQ196" s="403">
        <f t="shared" si="87"/>
        <v>32331167</v>
      </c>
      <c r="BR196" s="403">
        <f t="shared" si="87"/>
        <v>20702000</v>
      </c>
      <c r="BS196" s="359" t="s">
        <v>1663</v>
      </c>
      <c r="BT196" s="5"/>
    </row>
    <row r="197" spans="1:72" s="2" customFormat="1" ht="207" customHeight="1" x14ac:dyDescent="0.2">
      <c r="A197" s="327">
        <v>316</v>
      </c>
      <c r="B197" s="326" t="s">
        <v>1635</v>
      </c>
      <c r="C197" s="323">
        <v>4</v>
      </c>
      <c r="D197" s="326" t="s">
        <v>1620</v>
      </c>
      <c r="E197" s="323">
        <v>45</v>
      </c>
      <c r="F197" s="326" t="s">
        <v>938</v>
      </c>
      <c r="G197" s="323" t="s">
        <v>41</v>
      </c>
      <c r="H197" s="326" t="s">
        <v>1578</v>
      </c>
      <c r="I197" s="323">
        <v>4599</v>
      </c>
      <c r="J197" s="326" t="s">
        <v>1579</v>
      </c>
      <c r="K197" s="326" t="s">
        <v>969</v>
      </c>
      <c r="L197" s="323" t="s">
        <v>41</v>
      </c>
      <c r="M197" s="429" t="s">
        <v>970</v>
      </c>
      <c r="N197" s="482" t="s">
        <v>971</v>
      </c>
      <c r="O197" s="429" t="s">
        <v>356</v>
      </c>
      <c r="P197" s="323" t="s">
        <v>41</v>
      </c>
      <c r="Q197" s="480" t="s">
        <v>972</v>
      </c>
      <c r="R197" s="482" t="s">
        <v>973</v>
      </c>
      <c r="S197" s="480" t="s">
        <v>974</v>
      </c>
      <c r="T197" s="349" t="s">
        <v>1689</v>
      </c>
      <c r="U197" s="103">
        <v>1</v>
      </c>
      <c r="V197" s="103">
        <v>0.5</v>
      </c>
      <c r="W197" s="349" t="s">
        <v>975</v>
      </c>
      <c r="X197" s="429" t="s">
        <v>1490</v>
      </c>
      <c r="Y197" s="326" t="s">
        <v>1491</v>
      </c>
      <c r="Z197" s="419"/>
      <c r="AA197" s="419"/>
      <c r="AB197" s="419"/>
      <c r="AC197" s="419"/>
      <c r="AD197" s="419"/>
      <c r="AE197" s="419"/>
      <c r="AF197" s="419"/>
      <c r="AG197" s="419"/>
      <c r="AH197" s="419"/>
      <c r="AI197" s="419"/>
      <c r="AJ197" s="419"/>
      <c r="AK197" s="419"/>
      <c r="AL197" s="419"/>
      <c r="AM197" s="419"/>
      <c r="AN197" s="419"/>
      <c r="AO197" s="419"/>
      <c r="AP197" s="419"/>
      <c r="AQ197" s="419"/>
      <c r="AR197" s="419"/>
      <c r="AS197" s="419"/>
      <c r="AT197" s="419"/>
      <c r="AU197" s="419"/>
      <c r="AV197" s="419"/>
      <c r="AW197" s="419"/>
      <c r="AX197" s="419"/>
      <c r="AY197" s="419"/>
      <c r="AZ197" s="419"/>
      <c r="BA197" s="419"/>
      <c r="BB197" s="419"/>
      <c r="BC197" s="419"/>
      <c r="BD197" s="424">
        <v>50000000</v>
      </c>
      <c r="BE197" s="424">
        <v>31941022</v>
      </c>
      <c r="BF197" s="424"/>
      <c r="BG197" s="419"/>
      <c r="BH197" s="419"/>
      <c r="BI197" s="419"/>
      <c r="BJ197" s="419"/>
      <c r="BK197" s="419"/>
      <c r="BL197" s="419"/>
      <c r="BM197" s="419"/>
      <c r="BN197" s="419"/>
      <c r="BO197" s="419"/>
      <c r="BP197" s="403">
        <f t="shared" si="88"/>
        <v>50000000</v>
      </c>
      <c r="BQ197" s="403">
        <f t="shared" ref="BQ197" si="89">+AA197+AD197+AG197+AJ197+AM197+AP197+AS197+AV197+AY197+BB197+BE197+BH197+BK197</f>
        <v>31941022</v>
      </c>
      <c r="BR197" s="403">
        <f t="shared" ref="BR197" si="90">+AB197+AE197+AH197+AK197+AN197+AQ197+AT197+AW197+AZ197+BC197+BF197+BI197+BL197</f>
        <v>0</v>
      </c>
      <c r="BS197" s="359" t="s">
        <v>1663</v>
      </c>
      <c r="BT197" s="5"/>
    </row>
    <row r="198" spans="1:72" s="2" customFormat="1" ht="237" customHeight="1" x14ac:dyDescent="0.2">
      <c r="A198" s="327">
        <v>316</v>
      </c>
      <c r="B198" s="326" t="s">
        <v>1635</v>
      </c>
      <c r="C198" s="323">
        <v>4</v>
      </c>
      <c r="D198" s="326" t="s">
        <v>1620</v>
      </c>
      <c r="E198" s="323">
        <v>45</v>
      </c>
      <c r="F198" s="326" t="s">
        <v>938</v>
      </c>
      <c r="G198" s="323" t="s">
        <v>41</v>
      </c>
      <c r="H198" s="326" t="s">
        <v>1578</v>
      </c>
      <c r="I198" s="323">
        <v>4599</v>
      </c>
      <c r="J198" s="326" t="s">
        <v>1579</v>
      </c>
      <c r="K198" s="326" t="s">
        <v>945</v>
      </c>
      <c r="L198" s="323" t="s">
        <v>41</v>
      </c>
      <c r="M198" s="326" t="s">
        <v>976</v>
      </c>
      <c r="N198" s="482" t="s">
        <v>971</v>
      </c>
      <c r="O198" s="429" t="s">
        <v>356</v>
      </c>
      <c r="P198" s="323" t="s">
        <v>41</v>
      </c>
      <c r="Q198" s="443" t="s">
        <v>977</v>
      </c>
      <c r="R198" s="482" t="s">
        <v>973</v>
      </c>
      <c r="S198" s="480" t="s">
        <v>974</v>
      </c>
      <c r="T198" s="349" t="s">
        <v>1689</v>
      </c>
      <c r="U198" s="103">
        <v>1</v>
      </c>
      <c r="V198" s="103">
        <v>1</v>
      </c>
      <c r="W198" s="349" t="s">
        <v>978</v>
      </c>
      <c r="X198" s="326" t="s">
        <v>979</v>
      </c>
      <c r="Y198" s="326" t="s">
        <v>952</v>
      </c>
      <c r="Z198" s="419"/>
      <c r="AA198" s="419"/>
      <c r="AB198" s="419"/>
      <c r="AC198" s="419"/>
      <c r="AD198" s="419"/>
      <c r="AE198" s="419"/>
      <c r="AF198" s="419"/>
      <c r="AG198" s="419"/>
      <c r="AH198" s="419"/>
      <c r="AI198" s="419"/>
      <c r="AJ198" s="419"/>
      <c r="AK198" s="419"/>
      <c r="AL198" s="419"/>
      <c r="AM198" s="419"/>
      <c r="AN198" s="419"/>
      <c r="AO198" s="419"/>
      <c r="AP198" s="419"/>
      <c r="AQ198" s="419"/>
      <c r="AR198" s="419"/>
      <c r="AS198" s="419"/>
      <c r="AT198" s="419"/>
      <c r="AU198" s="419"/>
      <c r="AV198" s="419"/>
      <c r="AW198" s="419"/>
      <c r="AX198" s="419"/>
      <c r="AY198" s="419"/>
      <c r="AZ198" s="419"/>
      <c r="BA198" s="419"/>
      <c r="BB198" s="419"/>
      <c r="BC198" s="419"/>
      <c r="BD198" s="424">
        <f>95000000-36000000-41000000</f>
        <v>18000000</v>
      </c>
      <c r="BE198" s="424">
        <v>18000000</v>
      </c>
      <c r="BF198" s="424">
        <v>12230000</v>
      </c>
      <c r="BG198" s="419"/>
      <c r="BH198" s="419"/>
      <c r="BI198" s="419"/>
      <c r="BJ198" s="419"/>
      <c r="BK198" s="419"/>
      <c r="BL198" s="419"/>
      <c r="BM198" s="419"/>
      <c r="BN198" s="419"/>
      <c r="BO198" s="419"/>
      <c r="BP198" s="403">
        <f t="shared" si="88"/>
        <v>18000000</v>
      </c>
      <c r="BQ198" s="403">
        <f>+AA198+AD198+AG198+AJ198+AM198+AP198+AS198+AV198+AY198+BB198+BE198+BH198+BK198</f>
        <v>18000000</v>
      </c>
      <c r="BR198" s="403">
        <f>+AB198+AE198+AH198+AK198+AN198+AQ198+AT198+AW198+AZ198+BC198+BF198+BI198+BL198</f>
        <v>12230000</v>
      </c>
      <c r="BS198" s="359" t="s">
        <v>1663</v>
      </c>
      <c r="BT198" s="5"/>
    </row>
    <row r="199" spans="1:72" s="2" customFormat="1" ht="189" customHeight="1" x14ac:dyDescent="0.2">
      <c r="A199" s="327">
        <v>316</v>
      </c>
      <c r="B199" s="326" t="s">
        <v>1635</v>
      </c>
      <c r="C199" s="323">
        <v>4</v>
      </c>
      <c r="D199" s="326" t="s">
        <v>1620</v>
      </c>
      <c r="E199" s="323">
        <v>45</v>
      </c>
      <c r="F199" s="326" t="s">
        <v>938</v>
      </c>
      <c r="G199" s="323" t="s">
        <v>41</v>
      </c>
      <c r="H199" s="326" t="s">
        <v>1578</v>
      </c>
      <c r="I199" s="323">
        <v>4599</v>
      </c>
      <c r="J199" s="326" t="s">
        <v>1579</v>
      </c>
      <c r="K199" s="326" t="s">
        <v>980</v>
      </c>
      <c r="L199" s="323" t="s">
        <v>41</v>
      </c>
      <c r="M199" s="429" t="s">
        <v>981</v>
      </c>
      <c r="N199" s="482" t="s">
        <v>971</v>
      </c>
      <c r="O199" s="429" t="s">
        <v>356</v>
      </c>
      <c r="P199" s="323" t="s">
        <v>41</v>
      </c>
      <c r="Q199" s="443" t="s">
        <v>982</v>
      </c>
      <c r="R199" s="482" t="s">
        <v>973</v>
      </c>
      <c r="S199" s="480" t="s">
        <v>974</v>
      </c>
      <c r="T199" s="349" t="s">
        <v>1689</v>
      </c>
      <c r="U199" s="103">
        <v>1</v>
      </c>
      <c r="V199" s="103">
        <v>0.8</v>
      </c>
      <c r="W199" s="349" t="s">
        <v>983</v>
      </c>
      <c r="X199" s="326" t="s">
        <v>984</v>
      </c>
      <c r="Y199" s="326" t="s">
        <v>985</v>
      </c>
      <c r="Z199" s="419"/>
      <c r="AA199" s="419"/>
      <c r="AB199" s="419"/>
      <c r="AC199" s="419"/>
      <c r="AD199" s="419"/>
      <c r="AE199" s="419"/>
      <c r="AF199" s="419"/>
      <c r="AG199" s="419"/>
      <c r="AH199" s="419"/>
      <c r="AI199" s="419"/>
      <c r="AJ199" s="419"/>
      <c r="AK199" s="419"/>
      <c r="AL199" s="419"/>
      <c r="AM199" s="419"/>
      <c r="AN199" s="419"/>
      <c r="AO199" s="419"/>
      <c r="AP199" s="419"/>
      <c r="AQ199" s="419"/>
      <c r="AR199" s="419"/>
      <c r="AS199" s="419"/>
      <c r="AT199" s="419"/>
      <c r="AU199" s="419"/>
      <c r="AV199" s="419"/>
      <c r="AW199" s="419"/>
      <c r="AX199" s="419"/>
      <c r="AY199" s="419"/>
      <c r="AZ199" s="419"/>
      <c r="BA199" s="419"/>
      <c r="BB199" s="419"/>
      <c r="BC199" s="419"/>
      <c r="BD199" s="424">
        <f>36000000+109894503-2800000</f>
        <v>143094503</v>
      </c>
      <c r="BE199" s="424">
        <v>38335000</v>
      </c>
      <c r="BF199" s="424">
        <v>29680000</v>
      </c>
      <c r="BG199" s="419"/>
      <c r="BH199" s="419"/>
      <c r="BI199" s="419"/>
      <c r="BJ199" s="419"/>
      <c r="BK199" s="419"/>
      <c r="BL199" s="419"/>
      <c r="BM199" s="419"/>
      <c r="BN199" s="419"/>
      <c r="BO199" s="419"/>
      <c r="BP199" s="403">
        <f t="shared" si="88"/>
        <v>143094503</v>
      </c>
      <c r="BQ199" s="403">
        <f>+AA199+AD199+AG199+AJ199+AM199+AP199+AS199+AV199+AY199+BB199+BE199+BH199+BK199</f>
        <v>38335000</v>
      </c>
      <c r="BR199" s="403">
        <f>+AB199+AE199+AH199+AK199+AN199+AQ199+AT199+AW199+AZ199+BC199+BF199+BI199+BL199</f>
        <v>29680000</v>
      </c>
      <c r="BS199" s="359" t="s">
        <v>1663</v>
      </c>
      <c r="BT199" s="5"/>
    </row>
    <row r="200" spans="1:72" ht="108" customHeight="1" x14ac:dyDescent="0.2">
      <c r="A200" s="327">
        <v>318</v>
      </c>
      <c r="B200" s="442" t="s">
        <v>1636</v>
      </c>
      <c r="C200" s="323">
        <v>1</v>
      </c>
      <c r="D200" s="417" t="s">
        <v>1622</v>
      </c>
      <c r="E200" s="323">
        <v>19</v>
      </c>
      <c r="F200" s="326" t="s">
        <v>147</v>
      </c>
      <c r="G200" s="323">
        <v>1903</v>
      </c>
      <c r="H200" s="326" t="s">
        <v>1592</v>
      </c>
      <c r="I200" s="323">
        <v>1903</v>
      </c>
      <c r="J200" s="326" t="s">
        <v>1593</v>
      </c>
      <c r="K200" s="326" t="s">
        <v>988</v>
      </c>
      <c r="L200" s="323">
        <v>1903009</v>
      </c>
      <c r="M200" s="326" t="s">
        <v>989</v>
      </c>
      <c r="N200" s="483">
        <v>1903009</v>
      </c>
      <c r="O200" s="326" t="s">
        <v>990</v>
      </c>
      <c r="P200" s="422">
        <v>190300900</v>
      </c>
      <c r="Q200" s="443" t="s">
        <v>991</v>
      </c>
      <c r="R200" s="422">
        <v>190300900</v>
      </c>
      <c r="S200" s="443" t="s">
        <v>1515</v>
      </c>
      <c r="T200" s="349" t="s">
        <v>1691</v>
      </c>
      <c r="U200" s="103">
        <v>600</v>
      </c>
      <c r="V200" s="103">
        <v>600</v>
      </c>
      <c r="W200" s="427" t="s">
        <v>992</v>
      </c>
      <c r="X200" s="326" t="s">
        <v>993</v>
      </c>
      <c r="Y200" s="326" t="s">
        <v>994</v>
      </c>
      <c r="Z200" s="419"/>
      <c r="AA200" s="419"/>
      <c r="AB200" s="419"/>
      <c r="AC200" s="419"/>
      <c r="AD200" s="419"/>
      <c r="AE200" s="419"/>
      <c r="AF200" s="419"/>
      <c r="AG200" s="419"/>
      <c r="AH200" s="419"/>
      <c r="AI200" s="419"/>
      <c r="AJ200" s="419"/>
      <c r="AK200" s="419"/>
      <c r="AL200" s="419">
        <f>38000000+27489500</f>
        <v>65489500</v>
      </c>
      <c r="AM200" s="196">
        <v>44027500</v>
      </c>
      <c r="AN200" s="196">
        <v>23080000</v>
      </c>
      <c r="AO200" s="419"/>
      <c r="AP200" s="419"/>
      <c r="AQ200" s="419"/>
      <c r="AR200" s="419"/>
      <c r="AS200" s="419"/>
      <c r="AT200" s="419"/>
      <c r="AU200" s="419"/>
      <c r="AV200" s="419"/>
      <c r="AW200" s="419"/>
      <c r="AX200" s="419"/>
      <c r="AY200" s="419"/>
      <c r="AZ200" s="419"/>
      <c r="BA200" s="419"/>
      <c r="BB200" s="419"/>
      <c r="BC200" s="419"/>
      <c r="BD200" s="424">
        <f>40000000-40000000</f>
        <v>0</v>
      </c>
      <c r="BE200" s="424"/>
      <c r="BF200" s="424"/>
      <c r="BG200" s="419"/>
      <c r="BH200" s="419"/>
      <c r="BI200" s="419"/>
      <c r="BJ200" s="419"/>
      <c r="BK200" s="419"/>
      <c r="BL200" s="419"/>
      <c r="BM200" s="419"/>
      <c r="BN200" s="419"/>
      <c r="BO200" s="419"/>
      <c r="BP200" s="403">
        <f t="shared" si="88"/>
        <v>65489500</v>
      </c>
      <c r="BQ200" s="403">
        <f t="shared" ref="BQ200:BQ221" si="91">+AA200+AD200+AG200+AJ200+AM200+AP200+AS200+AV200+AY200+BB200+BE200+BH200+BK200</f>
        <v>44027500</v>
      </c>
      <c r="BR200" s="403">
        <f t="shared" ref="BR200:BR221" si="92">+AB200+AE200+AH200+AK200+AN200+AQ200+AT200+AW200+AZ200+BC200+BF200+BI200+BL200</f>
        <v>23080000</v>
      </c>
      <c r="BS200" s="359" t="s">
        <v>1664</v>
      </c>
      <c r="BT200" s="5"/>
    </row>
    <row r="201" spans="1:72" s="2" customFormat="1" ht="85.5" customHeight="1" x14ac:dyDescent="0.2">
      <c r="A201" s="327">
        <v>318</v>
      </c>
      <c r="B201" s="442" t="s">
        <v>1636</v>
      </c>
      <c r="C201" s="323">
        <v>1</v>
      </c>
      <c r="D201" s="417" t="s">
        <v>1622</v>
      </c>
      <c r="E201" s="323">
        <v>19</v>
      </c>
      <c r="F201" s="326" t="s">
        <v>147</v>
      </c>
      <c r="G201" s="323">
        <v>1903</v>
      </c>
      <c r="H201" s="326" t="s">
        <v>1592</v>
      </c>
      <c r="I201" s="323">
        <v>1903</v>
      </c>
      <c r="J201" s="326" t="s">
        <v>1593</v>
      </c>
      <c r="K201" s="326" t="s">
        <v>995</v>
      </c>
      <c r="L201" s="323">
        <v>1903031</v>
      </c>
      <c r="M201" s="326" t="s">
        <v>996</v>
      </c>
      <c r="N201" s="323">
        <v>1903031</v>
      </c>
      <c r="O201" s="326" t="s">
        <v>996</v>
      </c>
      <c r="P201" s="422">
        <v>190303100</v>
      </c>
      <c r="Q201" s="443" t="s">
        <v>997</v>
      </c>
      <c r="R201" s="422">
        <v>190303100</v>
      </c>
      <c r="S201" s="443" t="s">
        <v>997</v>
      </c>
      <c r="T201" s="349" t="s">
        <v>1689</v>
      </c>
      <c r="U201" s="103">
        <v>12</v>
      </c>
      <c r="V201" s="103">
        <v>12</v>
      </c>
      <c r="W201" s="427" t="s">
        <v>992</v>
      </c>
      <c r="X201" s="326" t="s">
        <v>993</v>
      </c>
      <c r="Y201" s="326" t="s">
        <v>994</v>
      </c>
      <c r="Z201" s="419"/>
      <c r="AA201" s="419"/>
      <c r="AB201" s="419"/>
      <c r="AC201" s="419"/>
      <c r="AD201" s="419"/>
      <c r="AE201" s="419"/>
      <c r="AF201" s="419"/>
      <c r="AG201" s="419"/>
      <c r="AH201" s="419"/>
      <c r="AI201" s="419"/>
      <c r="AJ201" s="419"/>
      <c r="AK201" s="419"/>
      <c r="AL201" s="454">
        <v>74000000</v>
      </c>
      <c r="AM201" s="454">
        <v>58012500</v>
      </c>
      <c r="AN201" s="454">
        <v>37220000</v>
      </c>
      <c r="AO201" s="419"/>
      <c r="AP201" s="419"/>
      <c r="AQ201" s="419"/>
      <c r="AR201" s="419"/>
      <c r="AS201" s="419"/>
      <c r="AT201" s="419"/>
      <c r="AU201" s="419"/>
      <c r="AV201" s="419"/>
      <c r="AW201" s="419"/>
      <c r="AX201" s="419"/>
      <c r="AY201" s="419"/>
      <c r="AZ201" s="419"/>
      <c r="BA201" s="419"/>
      <c r="BB201" s="419"/>
      <c r="BC201" s="419"/>
      <c r="BD201" s="424"/>
      <c r="BE201" s="424"/>
      <c r="BF201" s="424"/>
      <c r="BG201" s="419"/>
      <c r="BH201" s="419"/>
      <c r="BI201" s="419"/>
      <c r="BJ201" s="419"/>
      <c r="BK201" s="419"/>
      <c r="BL201" s="419"/>
      <c r="BM201" s="419"/>
      <c r="BN201" s="419"/>
      <c r="BO201" s="419"/>
      <c r="BP201" s="403">
        <f t="shared" si="88"/>
        <v>74000000</v>
      </c>
      <c r="BQ201" s="403">
        <f t="shared" si="91"/>
        <v>58012500</v>
      </c>
      <c r="BR201" s="403">
        <f t="shared" si="92"/>
        <v>37220000</v>
      </c>
      <c r="BS201" s="359" t="s">
        <v>1664</v>
      </c>
      <c r="BT201" s="5"/>
    </row>
    <row r="202" spans="1:72" ht="83.25" customHeight="1" x14ac:dyDescent="0.2">
      <c r="A202" s="327">
        <v>318</v>
      </c>
      <c r="B202" s="442" t="s">
        <v>1636</v>
      </c>
      <c r="C202" s="323">
        <v>1</v>
      </c>
      <c r="D202" s="417" t="s">
        <v>1622</v>
      </c>
      <c r="E202" s="323">
        <v>19</v>
      </c>
      <c r="F202" s="326" t="s">
        <v>147</v>
      </c>
      <c r="G202" s="323">
        <v>1903</v>
      </c>
      <c r="H202" s="326" t="s">
        <v>1592</v>
      </c>
      <c r="I202" s="323">
        <v>1903</v>
      </c>
      <c r="J202" s="326" t="s">
        <v>1593</v>
      </c>
      <c r="K202" s="326" t="s">
        <v>998</v>
      </c>
      <c r="L202" s="323">
        <v>1903023</v>
      </c>
      <c r="M202" s="326" t="s">
        <v>999</v>
      </c>
      <c r="N202" s="483">
        <v>1903023</v>
      </c>
      <c r="O202" s="326" t="s">
        <v>999</v>
      </c>
      <c r="P202" s="422">
        <v>190302300</v>
      </c>
      <c r="Q202" s="326" t="s">
        <v>1000</v>
      </c>
      <c r="R202" s="422">
        <v>190302300</v>
      </c>
      <c r="S202" s="326" t="s">
        <v>1000</v>
      </c>
      <c r="T202" s="349" t="s">
        <v>1689</v>
      </c>
      <c r="U202" s="103">
        <v>12</v>
      </c>
      <c r="V202" s="103">
        <v>11</v>
      </c>
      <c r="W202" s="427" t="s">
        <v>992</v>
      </c>
      <c r="X202" s="326" t="s">
        <v>993</v>
      </c>
      <c r="Y202" s="326" t="s">
        <v>994</v>
      </c>
      <c r="Z202" s="419"/>
      <c r="AA202" s="419"/>
      <c r="AB202" s="419"/>
      <c r="AC202" s="419"/>
      <c r="AD202" s="419"/>
      <c r="AE202" s="419"/>
      <c r="AF202" s="419"/>
      <c r="AG202" s="419"/>
      <c r="AH202" s="419"/>
      <c r="AI202" s="419"/>
      <c r="AJ202" s="419"/>
      <c r="AK202" s="419"/>
      <c r="AL202" s="454">
        <f>28000000-2323500</f>
        <v>25676500</v>
      </c>
      <c r="AM202" s="419">
        <v>25676500</v>
      </c>
      <c r="AN202" s="419">
        <v>11540000</v>
      </c>
      <c r="AO202" s="419"/>
      <c r="AP202" s="419"/>
      <c r="AQ202" s="419"/>
      <c r="AR202" s="419"/>
      <c r="AS202" s="419"/>
      <c r="AT202" s="419"/>
      <c r="AU202" s="419"/>
      <c r="AV202" s="419"/>
      <c r="AW202" s="419"/>
      <c r="AX202" s="419"/>
      <c r="AY202" s="419"/>
      <c r="AZ202" s="419"/>
      <c r="BA202" s="419"/>
      <c r="BB202" s="419"/>
      <c r="BC202" s="419"/>
      <c r="BD202" s="484"/>
      <c r="BE202" s="484"/>
      <c r="BF202" s="484"/>
      <c r="BG202" s="419"/>
      <c r="BH202" s="419"/>
      <c r="BI202" s="419"/>
      <c r="BJ202" s="419"/>
      <c r="BK202" s="419"/>
      <c r="BL202" s="419"/>
      <c r="BM202" s="419"/>
      <c r="BN202" s="419"/>
      <c r="BO202" s="419"/>
      <c r="BP202" s="403">
        <f t="shared" ref="BP202:BP256" si="93">+Z202+AC202+AF202+AI202+AL202+AO202+AR202+AU202+AX202+BA202+BD202+BG202+BJ202</f>
        <v>25676500</v>
      </c>
      <c r="BQ202" s="403">
        <f t="shared" si="91"/>
        <v>25676500</v>
      </c>
      <c r="BR202" s="403">
        <f t="shared" si="92"/>
        <v>11540000</v>
      </c>
      <c r="BS202" s="359" t="s">
        <v>1664</v>
      </c>
      <c r="BT202" s="5"/>
    </row>
    <row r="203" spans="1:72" ht="175.5" customHeight="1" x14ac:dyDescent="0.2">
      <c r="A203" s="327">
        <v>318</v>
      </c>
      <c r="B203" s="442" t="s">
        <v>1636</v>
      </c>
      <c r="C203" s="323">
        <v>1</v>
      </c>
      <c r="D203" s="417" t="s">
        <v>1622</v>
      </c>
      <c r="E203" s="323">
        <v>19</v>
      </c>
      <c r="F203" s="326" t="s">
        <v>147</v>
      </c>
      <c r="G203" s="323">
        <v>1903</v>
      </c>
      <c r="H203" s="326" t="s">
        <v>1592</v>
      </c>
      <c r="I203" s="323">
        <v>1903</v>
      </c>
      <c r="J203" s="326" t="s">
        <v>1593</v>
      </c>
      <c r="K203" s="326" t="s">
        <v>1001</v>
      </c>
      <c r="L203" s="323" t="s">
        <v>41</v>
      </c>
      <c r="M203" s="326" t="s">
        <v>1002</v>
      </c>
      <c r="N203" s="483">
        <v>1903050</v>
      </c>
      <c r="O203" s="326" t="s">
        <v>1003</v>
      </c>
      <c r="P203" s="323" t="s">
        <v>41</v>
      </c>
      <c r="Q203" s="443" t="s">
        <v>1004</v>
      </c>
      <c r="R203" s="422">
        <v>190305000</v>
      </c>
      <c r="S203" s="443" t="s">
        <v>1005</v>
      </c>
      <c r="T203" s="349" t="s">
        <v>1689</v>
      </c>
      <c r="U203" s="103">
        <v>12</v>
      </c>
      <c r="V203" s="103">
        <v>12</v>
      </c>
      <c r="W203" s="427" t="s">
        <v>992</v>
      </c>
      <c r="X203" s="326" t="s">
        <v>993</v>
      </c>
      <c r="Y203" s="326" t="s">
        <v>994</v>
      </c>
      <c r="Z203" s="419"/>
      <c r="AA203" s="419"/>
      <c r="AB203" s="419"/>
      <c r="AC203" s="419"/>
      <c r="AD203" s="419"/>
      <c r="AE203" s="419"/>
      <c r="AF203" s="419"/>
      <c r="AG203" s="419"/>
      <c r="AH203" s="419"/>
      <c r="AI203" s="419"/>
      <c r="AJ203" s="419"/>
      <c r="AK203" s="419"/>
      <c r="AL203" s="419">
        <f>28000000-783500</f>
        <v>27216500</v>
      </c>
      <c r="AM203" s="196">
        <v>23177500</v>
      </c>
      <c r="AN203" s="196">
        <v>15965000</v>
      </c>
      <c r="AO203" s="485"/>
      <c r="AP203" s="485"/>
      <c r="AQ203" s="485"/>
      <c r="AR203" s="419"/>
      <c r="AS203" s="419"/>
      <c r="AT203" s="419"/>
      <c r="AU203" s="419"/>
      <c r="AV203" s="419"/>
      <c r="AW203" s="419"/>
      <c r="AX203" s="419"/>
      <c r="AY203" s="419"/>
      <c r="AZ203" s="419"/>
      <c r="BA203" s="419"/>
      <c r="BB203" s="419"/>
      <c r="BC203" s="419"/>
      <c r="BD203" s="484"/>
      <c r="BE203" s="484"/>
      <c r="BF203" s="484"/>
      <c r="BG203" s="419"/>
      <c r="BH203" s="419"/>
      <c r="BI203" s="419"/>
      <c r="BJ203" s="419"/>
      <c r="BK203" s="419"/>
      <c r="BL203" s="419"/>
      <c r="BM203" s="419"/>
      <c r="BN203" s="419"/>
      <c r="BO203" s="419"/>
      <c r="BP203" s="403">
        <f t="shared" si="93"/>
        <v>27216500</v>
      </c>
      <c r="BQ203" s="403">
        <f t="shared" si="91"/>
        <v>23177500</v>
      </c>
      <c r="BR203" s="403">
        <f t="shared" si="92"/>
        <v>15965000</v>
      </c>
      <c r="BS203" s="359" t="s">
        <v>1664</v>
      </c>
      <c r="BT203" s="5"/>
    </row>
    <row r="204" spans="1:72" ht="144" customHeight="1" x14ac:dyDescent="0.2">
      <c r="A204" s="327">
        <v>318</v>
      </c>
      <c r="B204" s="442" t="s">
        <v>1636</v>
      </c>
      <c r="C204" s="323">
        <v>1</v>
      </c>
      <c r="D204" s="417" t="s">
        <v>1622</v>
      </c>
      <c r="E204" s="323">
        <v>19</v>
      </c>
      <c r="F204" s="326" t="s">
        <v>147</v>
      </c>
      <c r="G204" s="323">
        <v>1903</v>
      </c>
      <c r="H204" s="326" t="s">
        <v>1592</v>
      </c>
      <c r="I204" s="323">
        <v>1903</v>
      </c>
      <c r="J204" s="326" t="s">
        <v>1593</v>
      </c>
      <c r="K204" s="326" t="s">
        <v>988</v>
      </c>
      <c r="L204" s="323" t="s">
        <v>41</v>
      </c>
      <c r="M204" s="326" t="s">
        <v>1006</v>
      </c>
      <c r="N204" s="483">
        <v>1903038</v>
      </c>
      <c r="O204" s="326" t="s">
        <v>1007</v>
      </c>
      <c r="P204" s="323" t="s">
        <v>41</v>
      </c>
      <c r="Q204" s="326" t="s">
        <v>1008</v>
      </c>
      <c r="R204" s="323">
        <v>190303801</v>
      </c>
      <c r="S204" s="326" t="s">
        <v>1009</v>
      </c>
      <c r="T204" s="349" t="s">
        <v>1689</v>
      </c>
      <c r="U204" s="323">
        <v>1</v>
      </c>
      <c r="V204" s="323">
        <v>1</v>
      </c>
      <c r="W204" s="427" t="s">
        <v>992</v>
      </c>
      <c r="X204" s="326" t="s">
        <v>993</v>
      </c>
      <c r="Y204" s="326" t="s">
        <v>994</v>
      </c>
      <c r="Z204" s="419"/>
      <c r="AA204" s="419"/>
      <c r="AB204" s="419"/>
      <c r="AC204" s="419"/>
      <c r="AD204" s="419"/>
      <c r="AE204" s="419"/>
      <c r="AF204" s="419"/>
      <c r="AG204" s="419"/>
      <c r="AH204" s="419"/>
      <c r="AI204" s="419"/>
      <c r="AJ204" s="419"/>
      <c r="AK204" s="419"/>
      <c r="AL204" s="419">
        <f>48000000-47618500</f>
        <v>381500</v>
      </c>
      <c r="AM204" s="419"/>
      <c r="AN204" s="419"/>
      <c r="AO204" s="419"/>
      <c r="AP204" s="419"/>
      <c r="AQ204" s="419"/>
      <c r="AR204" s="419"/>
      <c r="AS204" s="419"/>
      <c r="AT204" s="419"/>
      <c r="AU204" s="419"/>
      <c r="AV204" s="419"/>
      <c r="AW204" s="419"/>
      <c r="AX204" s="419"/>
      <c r="AY204" s="419"/>
      <c r="AZ204" s="419"/>
      <c r="BA204" s="419"/>
      <c r="BB204" s="419"/>
      <c r="BC204" s="419"/>
      <c r="BD204" s="484"/>
      <c r="BE204" s="484"/>
      <c r="BF204" s="484"/>
      <c r="BG204" s="419"/>
      <c r="BH204" s="419"/>
      <c r="BI204" s="419"/>
      <c r="BJ204" s="352">
        <f>842700000+2000000+571581421.21</f>
        <v>1416281421.21</v>
      </c>
      <c r="BK204" s="352">
        <v>482012606.32999998</v>
      </c>
      <c r="BL204" s="352">
        <v>450445106.32999998</v>
      </c>
      <c r="BM204" s="352"/>
      <c r="BN204" s="352"/>
      <c r="BO204" s="352"/>
      <c r="BP204" s="403">
        <f t="shared" si="93"/>
        <v>1416662921.21</v>
      </c>
      <c r="BQ204" s="403">
        <f t="shared" si="91"/>
        <v>482012606.32999998</v>
      </c>
      <c r="BR204" s="403">
        <f t="shared" si="92"/>
        <v>450445106.32999998</v>
      </c>
      <c r="BS204" s="359" t="s">
        <v>1664</v>
      </c>
      <c r="BT204" s="5"/>
    </row>
    <row r="205" spans="1:72" ht="120.75" customHeight="1" x14ac:dyDescent="0.2">
      <c r="A205" s="327">
        <v>318</v>
      </c>
      <c r="B205" s="442" t="s">
        <v>1636</v>
      </c>
      <c r="C205" s="323">
        <v>1</v>
      </c>
      <c r="D205" s="417" t="s">
        <v>1622</v>
      </c>
      <c r="E205" s="323">
        <v>19</v>
      </c>
      <c r="F205" s="326" t="s">
        <v>147</v>
      </c>
      <c r="G205" s="323">
        <v>1903</v>
      </c>
      <c r="H205" s="326" t="s">
        <v>1592</v>
      </c>
      <c r="I205" s="323">
        <v>1903</v>
      </c>
      <c r="J205" s="326" t="s">
        <v>1593</v>
      </c>
      <c r="K205" s="326" t="s">
        <v>1010</v>
      </c>
      <c r="L205" s="323">
        <v>1903038</v>
      </c>
      <c r="M205" s="326" t="s">
        <v>1007</v>
      </c>
      <c r="N205" s="323">
        <v>1903038</v>
      </c>
      <c r="O205" s="326" t="s">
        <v>1007</v>
      </c>
      <c r="P205" s="422">
        <v>190303801</v>
      </c>
      <c r="Q205" s="326" t="s">
        <v>1011</v>
      </c>
      <c r="R205" s="422">
        <v>190303801</v>
      </c>
      <c r="S205" s="326" t="s">
        <v>1011</v>
      </c>
      <c r="T205" s="349" t="s">
        <v>1689</v>
      </c>
      <c r="U205" s="103">
        <v>11</v>
      </c>
      <c r="V205" s="103">
        <v>11</v>
      </c>
      <c r="W205" s="427" t="s">
        <v>992</v>
      </c>
      <c r="X205" s="326" t="s">
        <v>993</v>
      </c>
      <c r="Y205" s="326" t="s">
        <v>994</v>
      </c>
      <c r="Z205" s="419"/>
      <c r="AA205" s="419"/>
      <c r="AB205" s="419"/>
      <c r="AC205" s="419"/>
      <c r="AD205" s="419"/>
      <c r="AE205" s="419"/>
      <c r="AF205" s="419"/>
      <c r="AG205" s="419"/>
      <c r="AH205" s="419"/>
      <c r="AI205" s="419"/>
      <c r="AJ205" s="419"/>
      <c r="AK205" s="419"/>
      <c r="AL205" s="352">
        <f>19000000+9050000</f>
        <v>28050000</v>
      </c>
      <c r="AM205" s="352">
        <v>19000000</v>
      </c>
      <c r="AN205" s="352">
        <v>13200000</v>
      </c>
      <c r="AO205" s="419"/>
      <c r="AP205" s="419"/>
      <c r="AQ205" s="419"/>
      <c r="AR205" s="419"/>
      <c r="AS205" s="419"/>
      <c r="AT205" s="419"/>
      <c r="AU205" s="419"/>
      <c r="AV205" s="419"/>
      <c r="AW205" s="419"/>
      <c r="AX205" s="419"/>
      <c r="AY205" s="419"/>
      <c r="AZ205" s="419"/>
      <c r="BA205" s="419"/>
      <c r="BB205" s="419"/>
      <c r="BC205" s="419"/>
      <c r="BD205" s="484"/>
      <c r="BE205" s="484"/>
      <c r="BF205" s="484"/>
      <c r="BG205" s="419"/>
      <c r="BH205" s="419"/>
      <c r="BI205" s="419"/>
      <c r="BJ205" s="419"/>
      <c r="BK205" s="419"/>
      <c r="BL205" s="419"/>
      <c r="BM205" s="419"/>
      <c r="BN205" s="419"/>
      <c r="BO205" s="419"/>
      <c r="BP205" s="403">
        <f>+Z205+AC205+AF205+AI205+AL205+AO205+AR205+AU205+AX205+BA205+BD205+BG205+BJ205</f>
        <v>28050000</v>
      </c>
      <c r="BQ205" s="403">
        <f t="shared" si="91"/>
        <v>19000000</v>
      </c>
      <c r="BR205" s="403">
        <f t="shared" si="92"/>
        <v>13200000</v>
      </c>
      <c r="BS205" s="359" t="s">
        <v>1664</v>
      </c>
      <c r="BT205" s="5"/>
    </row>
    <row r="206" spans="1:72" ht="78.75" customHeight="1" x14ac:dyDescent="0.2">
      <c r="A206" s="327">
        <v>318</v>
      </c>
      <c r="B206" s="442" t="s">
        <v>1636</v>
      </c>
      <c r="C206" s="323">
        <v>1</v>
      </c>
      <c r="D206" s="417" t="s">
        <v>1622</v>
      </c>
      <c r="E206" s="323">
        <v>19</v>
      </c>
      <c r="F206" s="326" t="s">
        <v>147</v>
      </c>
      <c r="G206" s="323">
        <v>1903</v>
      </c>
      <c r="H206" s="326" t="s">
        <v>1592</v>
      </c>
      <c r="I206" s="323">
        <v>1903</v>
      </c>
      <c r="J206" s="326" t="s">
        <v>1593</v>
      </c>
      <c r="K206" s="326" t="s">
        <v>995</v>
      </c>
      <c r="L206" s="323">
        <v>1903027</v>
      </c>
      <c r="M206" s="326" t="s">
        <v>1012</v>
      </c>
      <c r="N206" s="323">
        <v>1903027</v>
      </c>
      <c r="O206" s="326" t="s">
        <v>1012</v>
      </c>
      <c r="P206" s="422">
        <v>190302700</v>
      </c>
      <c r="Q206" s="443" t="s">
        <v>1013</v>
      </c>
      <c r="R206" s="422">
        <v>190302700</v>
      </c>
      <c r="S206" s="326" t="s">
        <v>1013</v>
      </c>
      <c r="T206" s="349" t="s">
        <v>1689</v>
      </c>
      <c r="U206" s="103">
        <v>5</v>
      </c>
      <c r="V206" s="103">
        <v>5</v>
      </c>
      <c r="W206" s="427" t="s">
        <v>992</v>
      </c>
      <c r="X206" s="326" t="s">
        <v>993</v>
      </c>
      <c r="Y206" s="326" t="s">
        <v>994</v>
      </c>
      <c r="Z206" s="419"/>
      <c r="AA206" s="419"/>
      <c r="AB206" s="419"/>
      <c r="AC206" s="419"/>
      <c r="AD206" s="419"/>
      <c r="AE206" s="419"/>
      <c r="AF206" s="419"/>
      <c r="AG206" s="419"/>
      <c r="AH206" s="419"/>
      <c r="AI206" s="419"/>
      <c r="AJ206" s="419"/>
      <c r="AK206" s="419"/>
      <c r="AL206" s="352">
        <f>19000000-7460000</f>
        <v>11540000</v>
      </c>
      <c r="AM206" s="352">
        <v>11540000</v>
      </c>
      <c r="AN206" s="352">
        <v>11540000</v>
      </c>
      <c r="AO206" s="419"/>
      <c r="AP206" s="419"/>
      <c r="AQ206" s="419"/>
      <c r="AR206" s="419"/>
      <c r="AS206" s="419"/>
      <c r="AT206" s="419"/>
      <c r="AU206" s="419"/>
      <c r="AV206" s="419"/>
      <c r="AW206" s="419"/>
      <c r="AX206" s="419"/>
      <c r="AY206" s="419"/>
      <c r="AZ206" s="419"/>
      <c r="BA206" s="419"/>
      <c r="BB206" s="419"/>
      <c r="BC206" s="419"/>
      <c r="BD206" s="484"/>
      <c r="BE206" s="484"/>
      <c r="BF206" s="484"/>
      <c r="BG206" s="419"/>
      <c r="BH206" s="419"/>
      <c r="BI206" s="419"/>
      <c r="BJ206" s="419"/>
      <c r="BK206" s="419"/>
      <c r="BL206" s="419"/>
      <c r="BM206" s="419"/>
      <c r="BN206" s="419"/>
      <c r="BO206" s="419"/>
      <c r="BP206" s="403">
        <f t="shared" si="93"/>
        <v>11540000</v>
      </c>
      <c r="BQ206" s="403">
        <f t="shared" si="91"/>
        <v>11540000</v>
      </c>
      <c r="BR206" s="403">
        <f t="shared" si="92"/>
        <v>11540000</v>
      </c>
      <c r="BS206" s="359" t="s">
        <v>1664</v>
      </c>
      <c r="BT206" s="5"/>
    </row>
    <row r="207" spans="1:72" ht="96.75" customHeight="1" x14ac:dyDescent="0.2">
      <c r="A207" s="327">
        <v>318</v>
      </c>
      <c r="B207" s="442" t="s">
        <v>1636</v>
      </c>
      <c r="C207" s="323">
        <v>1</v>
      </c>
      <c r="D207" s="417" t="s">
        <v>1622</v>
      </c>
      <c r="E207" s="323">
        <v>19</v>
      </c>
      <c r="F207" s="326" t="s">
        <v>147</v>
      </c>
      <c r="G207" s="323">
        <v>1903</v>
      </c>
      <c r="H207" s="326" t="s">
        <v>1592</v>
      </c>
      <c r="I207" s="323">
        <v>1903</v>
      </c>
      <c r="J207" s="326" t="s">
        <v>1593</v>
      </c>
      <c r="K207" s="326" t="s">
        <v>1014</v>
      </c>
      <c r="L207" s="323">
        <v>1903011</v>
      </c>
      <c r="M207" s="326" t="s">
        <v>1015</v>
      </c>
      <c r="N207" s="323">
        <v>1903011</v>
      </c>
      <c r="O207" s="326" t="s">
        <v>1015</v>
      </c>
      <c r="P207" s="422">
        <v>190301100</v>
      </c>
      <c r="Q207" s="326" t="s">
        <v>1016</v>
      </c>
      <c r="R207" s="422">
        <v>190301100</v>
      </c>
      <c r="S207" s="326" t="s">
        <v>1017</v>
      </c>
      <c r="T207" s="349" t="s">
        <v>1689</v>
      </c>
      <c r="U207" s="103">
        <v>140</v>
      </c>
      <c r="V207" s="103">
        <v>140</v>
      </c>
      <c r="W207" s="427" t="s">
        <v>992</v>
      </c>
      <c r="X207" s="326" t="s">
        <v>993</v>
      </c>
      <c r="Y207" s="326" t="s">
        <v>994</v>
      </c>
      <c r="Z207" s="419"/>
      <c r="AA207" s="419"/>
      <c r="AB207" s="419"/>
      <c r="AC207" s="419"/>
      <c r="AD207" s="419"/>
      <c r="AE207" s="419"/>
      <c r="AF207" s="419"/>
      <c r="AG207" s="419"/>
      <c r="AH207" s="419"/>
      <c r="AI207" s="419"/>
      <c r="AJ207" s="419"/>
      <c r="AK207" s="419"/>
      <c r="AL207" s="419">
        <f>19000000+21646000</f>
        <v>40646000</v>
      </c>
      <c r="AM207" s="419">
        <v>27655000</v>
      </c>
      <c r="AN207" s="419">
        <v>17420000</v>
      </c>
      <c r="AO207" s="419"/>
      <c r="AP207" s="419"/>
      <c r="AQ207" s="419"/>
      <c r="AR207" s="419"/>
      <c r="AS207" s="419"/>
      <c r="AT207" s="419"/>
      <c r="AU207" s="419"/>
      <c r="AV207" s="419"/>
      <c r="AW207" s="419"/>
      <c r="AX207" s="419"/>
      <c r="AY207" s="419"/>
      <c r="AZ207" s="419"/>
      <c r="BA207" s="419"/>
      <c r="BB207" s="419"/>
      <c r="BC207" s="419"/>
      <c r="BD207" s="484"/>
      <c r="BE207" s="484"/>
      <c r="BF207" s="484"/>
      <c r="BG207" s="419"/>
      <c r="BH207" s="419"/>
      <c r="BI207" s="419"/>
      <c r="BJ207" s="419"/>
      <c r="BK207" s="419"/>
      <c r="BL207" s="419"/>
      <c r="BM207" s="419"/>
      <c r="BN207" s="419"/>
      <c r="BO207" s="419"/>
      <c r="BP207" s="403">
        <f t="shared" si="93"/>
        <v>40646000</v>
      </c>
      <c r="BQ207" s="403">
        <f t="shared" si="91"/>
        <v>27655000</v>
      </c>
      <c r="BR207" s="403">
        <f t="shared" si="92"/>
        <v>17420000</v>
      </c>
      <c r="BS207" s="359" t="s">
        <v>1664</v>
      </c>
      <c r="BT207" s="5"/>
    </row>
    <row r="208" spans="1:72" ht="110.25" customHeight="1" x14ac:dyDescent="0.2">
      <c r="A208" s="327">
        <v>318</v>
      </c>
      <c r="B208" s="442" t="s">
        <v>1636</v>
      </c>
      <c r="C208" s="323">
        <v>1</v>
      </c>
      <c r="D208" s="417" t="s">
        <v>1622</v>
      </c>
      <c r="E208" s="323">
        <v>19</v>
      </c>
      <c r="F208" s="326" t="s">
        <v>147</v>
      </c>
      <c r="G208" s="323">
        <v>1903</v>
      </c>
      <c r="H208" s="326" t="s">
        <v>1592</v>
      </c>
      <c r="I208" s="323">
        <v>1903</v>
      </c>
      <c r="J208" s="326" t="s">
        <v>1593</v>
      </c>
      <c r="K208" s="326" t="s">
        <v>1018</v>
      </c>
      <c r="L208" s="323">
        <v>1903001</v>
      </c>
      <c r="M208" s="326" t="s">
        <v>84</v>
      </c>
      <c r="N208" s="323">
        <v>1903001</v>
      </c>
      <c r="O208" s="326" t="s">
        <v>84</v>
      </c>
      <c r="P208" s="422">
        <v>190300100</v>
      </c>
      <c r="Q208" s="443" t="s">
        <v>1019</v>
      </c>
      <c r="R208" s="422">
        <v>190300100</v>
      </c>
      <c r="S208" s="443" t="s">
        <v>1019</v>
      </c>
      <c r="T208" s="349" t="s">
        <v>1689</v>
      </c>
      <c r="U208" s="103">
        <v>1</v>
      </c>
      <c r="V208" s="103">
        <v>1</v>
      </c>
      <c r="W208" s="427" t="s">
        <v>1020</v>
      </c>
      <c r="X208" s="326" t="s">
        <v>1021</v>
      </c>
      <c r="Y208" s="326" t="s">
        <v>1022</v>
      </c>
      <c r="Z208" s="419"/>
      <c r="AA208" s="419"/>
      <c r="AB208" s="419"/>
      <c r="AC208" s="419"/>
      <c r="AD208" s="419"/>
      <c r="AE208" s="419"/>
      <c r="AF208" s="419"/>
      <c r="AG208" s="419"/>
      <c r="AH208" s="419"/>
      <c r="AI208" s="419"/>
      <c r="AJ208" s="419"/>
      <c r="AK208" s="419"/>
      <c r="AL208" s="419">
        <v>81470000</v>
      </c>
      <c r="AM208" s="419">
        <v>73580000</v>
      </c>
      <c r="AN208" s="419">
        <v>68005000</v>
      </c>
      <c r="AO208" s="419"/>
      <c r="AP208" s="419"/>
      <c r="AQ208" s="419"/>
      <c r="AR208" s="419"/>
      <c r="AS208" s="419"/>
      <c r="AT208" s="419"/>
      <c r="AU208" s="419"/>
      <c r="AV208" s="419"/>
      <c r="AW208" s="419"/>
      <c r="AX208" s="419"/>
      <c r="AY208" s="419"/>
      <c r="AZ208" s="419"/>
      <c r="BA208" s="419"/>
      <c r="BB208" s="419"/>
      <c r="BC208" s="419"/>
      <c r="BD208" s="424"/>
      <c r="BE208" s="424"/>
      <c r="BF208" s="424"/>
      <c r="BG208" s="419"/>
      <c r="BH208" s="419"/>
      <c r="BI208" s="419"/>
      <c r="BJ208" s="419"/>
      <c r="BK208" s="419"/>
      <c r="BL208" s="419"/>
      <c r="BM208" s="419"/>
      <c r="BN208" s="419"/>
      <c r="BO208" s="419"/>
      <c r="BP208" s="403">
        <f t="shared" si="93"/>
        <v>81470000</v>
      </c>
      <c r="BQ208" s="403">
        <f t="shared" si="91"/>
        <v>73580000</v>
      </c>
      <c r="BR208" s="403">
        <f t="shared" si="92"/>
        <v>68005000</v>
      </c>
      <c r="BS208" s="359" t="s">
        <v>1664</v>
      </c>
      <c r="BT208" s="5"/>
    </row>
    <row r="209" spans="1:72" ht="81.75" customHeight="1" x14ac:dyDescent="0.2">
      <c r="A209" s="327">
        <v>318</v>
      </c>
      <c r="B209" s="442" t="s">
        <v>1636</v>
      </c>
      <c r="C209" s="323">
        <v>1</v>
      </c>
      <c r="D209" s="417" t="s">
        <v>1622</v>
      </c>
      <c r="E209" s="323">
        <v>19</v>
      </c>
      <c r="F209" s="326" t="s">
        <v>147</v>
      </c>
      <c r="G209" s="323">
        <v>1903</v>
      </c>
      <c r="H209" s="326" t="s">
        <v>1592</v>
      </c>
      <c r="I209" s="323">
        <v>1903</v>
      </c>
      <c r="J209" s="326" t="s">
        <v>1593</v>
      </c>
      <c r="K209" s="326" t="s">
        <v>1023</v>
      </c>
      <c r="L209" s="323">
        <v>1903015</v>
      </c>
      <c r="M209" s="326" t="s">
        <v>1024</v>
      </c>
      <c r="N209" s="483">
        <v>1903015</v>
      </c>
      <c r="O209" s="326" t="s">
        <v>1024</v>
      </c>
      <c r="P209" s="422">
        <v>190301500</v>
      </c>
      <c r="Q209" s="326" t="s">
        <v>1025</v>
      </c>
      <c r="R209" s="422">
        <v>190301500</v>
      </c>
      <c r="S209" s="326" t="s">
        <v>1025</v>
      </c>
      <c r="T209" s="349" t="s">
        <v>1689</v>
      </c>
      <c r="U209" s="103">
        <v>12</v>
      </c>
      <c r="V209" s="103">
        <v>8</v>
      </c>
      <c r="W209" s="427" t="s">
        <v>1020</v>
      </c>
      <c r="X209" s="326" t="s">
        <v>1021</v>
      </c>
      <c r="Y209" s="326" t="s">
        <v>1022</v>
      </c>
      <c r="Z209" s="419"/>
      <c r="AA209" s="419"/>
      <c r="AB209" s="419"/>
      <c r="AC209" s="419"/>
      <c r="AD209" s="419"/>
      <c r="AE209" s="419"/>
      <c r="AF209" s="419"/>
      <c r="AG209" s="419"/>
      <c r="AH209" s="419"/>
      <c r="AI209" s="419"/>
      <c r="AJ209" s="419"/>
      <c r="AK209" s="419"/>
      <c r="AL209" s="419">
        <v>211530000</v>
      </c>
      <c r="AM209" s="419">
        <v>163440000</v>
      </c>
      <c r="AN209" s="419">
        <v>130665000</v>
      </c>
      <c r="AO209" s="419"/>
      <c r="AP209" s="419"/>
      <c r="AQ209" s="419"/>
      <c r="AR209" s="419"/>
      <c r="AS209" s="419"/>
      <c r="AT209" s="419"/>
      <c r="AU209" s="419"/>
      <c r="AV209" s="419"/>
      <c r="AW209" s="419"/>
      <c r="AX209" s="419"/>
      <c r="AY209" s="419"/>
      <c r="AZ209" s="419"/>
      <c r="BA209" s="419"/>
      <c r="BB209" s="419"/>
      <c r="BC209" s="419"/>
      <c r="BD209" s="424"/>
      <c r="BE209" s="424"/>
      <c r="BF209" s="424"/>
      <c r="BG209" s="419"/>
      <c r="BH209" s="419"/>
      <c r="BI209" s="419"/>
      <c r="BJ209" s="419"/>
      <c r="BK209" s="419"/>
      <c r="BL209" s="419"/>
      <c r="BM209" s="419"/>
      <c r="BN209" s="419"/>
      <c r="BO209" s="419"/>
      <c r="BP209" s="403">
        <f t="shared" si="93"/>
        <v>211530000</v>
      </c>
      <c r="BQ209" s="403">
        <f t="shared" si="91"/>
        <v>163440000</v>
      </c>
      <c r="BR209" s="403">
        <f t="shared" si="92"/>
        <v>130665000</v>
      </c>
      <c r="BS209" s="359" t="s">
        <v>1664</v>
      </c>
      <c r="BT209" s="5"/>
    </row>
    <row r="210" spans="1:72" ht="134.25" customHeight="1" x14ac:dyDescent="0.2">
      <c r="A210" s="327">
        <v>318</v>
      </c>
      <c r="B210" s="442" t="s">
        <v>1636</v>
      </c>
      <c r="C210" s="323">
        <v>1</v>
      </c>
      <c r="D210" s="417" t="s">
        <v>1622</v>
      </c>
      <c r="E210" s="323">
        <v>19</v>
      </c>
      <c r="F210" s="326" t="s">
        <v>147</v>
      </c>
      <c r="G210" s="323">
        <v>1903</v>
      </c>
      <c r="H210" s="326" t="s">
        <v>1592</v>
      </c>
      <c r="I210" s="323">
        <v>1903</v>
      </c>
      <c r="J210" s="326" t="s">
        <v>1593</v>
      </c>
      <c r="K210" s="326" t="s">
        <v>1026</v>
      </c>
      <c r="L210" s="323">
        <v>1903012</v>
      </c>
      <c r="M210" s="326" t="s">
        <v>1027</v>
      </c>
      <c r="N210" s="483">
        <v>1903012</v>
      </c>
      <c r="O210" s="326" t="s">
        <v>1027</v>
      </c>
      <c r="P210" s="422">
        <v>190301200</v>
      </c>
      <c r="Q210" s="326" t="s">
        <v>1028</v>
      </c>
      <c r="R210" s="422">
        <v>190301200</v>
      </c>
      <c r="S210" s="326" t="s">
        <v>1028</v>
      </c>
      <c r="T210" s="349" t="s">
        <v>1689</v>
      </c>
      <c r="U210" s="103">
        <v>4000</v>
      </c>
      <c r="V210" s="103">
        <v>3750</v>
      </c>
      <c r="W210" s="427" t="s">
        <v>1029</v>
      </c>
      <c r="X210" s="326" t="s">
        <v>1030</v>
      </c>
      <c r="Y210" s="326" t="s">
        <v>1031</v>
      </c>
      <c r="Z210" s="419"/>
      <c r="AA210" s="419"/>
      <c r="AB210" s="419"/>
      <c r="AC210" s="419"/>
      <c r="AD210" s="419"/>
      <c r="AE210" s="419"/>
      <c r="AF210" s="419"/>
      <c r="AG210" s="419"/>
      <c r="AH210" s="419"/>
      <c r="AI210" s="419">
        <f>100000000-100000000</f>
        <v>0</v>
      </c>
      <c r="AJ210" s="419"/>
      <c r="AK210" s="419"/>
      <c r="AL210" s="454">
        <f>610901448+25000000-30811412</f>
        <v>605090036</v>
      </c>
      <c r="AM210" s="454">
        <v>490055279</v>
      </c>
      <c r="AN210" s="454">
        <v>343359289</v>
      </c>
      <c r="AO210" s="454"/>
      <c r="AP210" s="454"/>
      <c r="AQ210" s="454"/>
      <c r="AR210" s="419"/>
      <c r="AS210" s="419"/>
      <c r="AT210" s="419"/>
      <c r="AU210" s="419"/>
      <c r="AV210" s="419"/>
      <c r="AW210" s="419"/>
      <c r="AX210" s="419"/>
      <c r="AY210" s="419"/>
      <c r="AZ210" s="419"/>
      <c r="BA210" s="419"/>
      <c r="BB210" s="419"/>
      <c r="BC210" s="419"/>
      <c r="BD210" s="424">
        <f>243062000-243062000+90734569</f>
        <v>90734569</v>
      </c>
      <c r="BE210" s="424">
        <v>90734569</v>
      </c>
      <c r="BF210" s="424">
        <v>90734569</v>
      </c>
      <c r="BG210" s="419"/>
      <c r="BH210" s="419"/>
      <c r="BI210" s="419"/>
      <c r="BJ210" s="348">
        <v>33078292</v>
      </c>
      <c r="BK210" s="348">
        <v>33078292</v>
      </c>
      <c r="BL210" s="348">
        <v>33078292</v>
      </c>
      <c r="BM210" s="348"/>
      <c r="BN210" s="348"/>
      <c r="BO210" s="348"/>
      <c r="BP210" s="403">
        <f t="shared" si="93"/>
        <v>728902897</v>
      </c>
      <c r="BQ210" s="403">
        <f t="shared" si="91"/>
        <v>613868140</v>
      </c>
      <c r="BR210" s="403">
        <f t="shared" si="92"/>
        <v>467172150</v>
      </c>
      <c r="BS210" s="359" t="s">
        <v>1664</v>
      </c>
      <c r="BT210" s="5"/>
    </row>
    <row r="211" spans="1:72" ht="77.25" customHeight="1" x14ac:dyDescent="0.2">
      <c r="A211" s="327">
        <v>318</v>
      </c>
      <c r="B211" s="442" t="s">
        <v>1636</v>
      </c>
      <c r="C211" s="323">
        <v>1</v>
      </c>
      <c r="D211" s="417" t="s">
        <v>1622</v>
      </c>
      <c r="E211" s="323">
        <v>19</v>
      </c>
      <c r="F211" s="326" t="s">
        <v>147</v>
      </c>
      <c r="G211" s="323">
        <v>1903</v>
      </c>
      <c r="H211" s="326" t="s">
        <v>1592</v>
      </c>
      <c r="I211" s="323">
        <v>1903</v>
      </c>
      <c r="J211" s="326" t="s">
        <v>1593</v>
      </c>
      <c r="K211" s="326" t="s">
        <v>1032</v>
      </c>
      <c r="L211" s="323">
        <v>1903016</v>
      </c>
      <c r="M211" s="326" t="s">
        <v>1033</v>
      </c>
      <c r="N211" s="483">
        <v>1903016</v>
      </c>
      <c r="O211" s="326" t="s">
        <v>1033</v>
      </c>
      <c r="P211" s="422">
        <v>190301600</v>
      </c>
      <c r="Q211" s="443" t="s">
        <v>1034</v>
      </c>
      <c r="R211" s="422">
        <v>190301600</v>
      </c>
      <c r="S211" s="443" t="s">
        <v>1034</v>
      </c>
      <c r="T211" s="349" t="s">
        <v>1689</v>
      </c>
      <c r="U211" s="103">
        <v>240</v>
      </c>
      <c r="V211" s="103">
        <v>197</v>
      </c>
      <c r="W211" s="427" t="s">
        <v>1029</v>
      </c>
      <c r="X211" s="326" t="s">
        <v>1030</v>
      </c>
      <c r="Y211" s="326" t="s">
        <v>1031</v>
      </c>
      <c r="Z211" s="419"/>
      <c r="AA211" s="419"/>
      <c r="AB211" s="419"/>
      <c r="AC211" s="419"/>
      <c r="AD211" s="419"/>
      <c r="AE211" s="419"/>
      <c r="AF211" s="419"/>
      <c r="AG211" s="419"/>
      <c r="AH211" s="419"/>
      <c r="AI211" s="419"/>
      <c r="AJ211" s="419"/>
      <c r="AK211" s="419"/>
      <c r="AL211" s="454">
        <v>94000000</v>
      </c>
      <c r="AM211" s="454">
        <v>88652000</v>
      </c>
      <c r="AN211" s="454">
        <v>62974000</v>
      </c>
      <c r="AO211" s="419"/>
      <c r="AP211" s="419"/>
      <c r="AQ211" s="419"/>
      <c r="AR211" s="419"/>
      <c r="AS211" s="419"/>
      <c r="AT211" s="419"/>
      <c r="AU211" s="419"/>
      <c r="AV211" s="419"/>
      <c r="AW211" s="419"/>
      <c r="AX211" s="419"/>
      <c r="AY211" s="419"/>
      <c r="AZ211" s="419"/>
      <c r="BA211" s="419"/>
      <c r="BB211" s="419"/>
      <c r="BC211" s="419"/>
      <c r="BD211" s="424"/>
      <c r="BE211" s="424"/>
      <c r="BF211" s="424"/>
      <c r="BG211" s="419"/>
      <c r="BH211" s="419"/>
      <c r="BI211" s="419"/>
      <c r="BJ211" s="419"/>
      <c r="BK211" s="419"/>
      <c r="BL211" s="419"/>
      <c r="BM211" s="419"/>
      <c r="BN211" s="419"/>
      <c r="BO211" s="419"/>
      <c r="BP211" s="403">
        <f t="shared" si="93"/>
        <v>94000000</v>
      </c>
      <c r="BQ211" s="403">
        <f t="shared" si="91"/>
        <v>88652000</v>
      </c>
      <c r="BR211" s="403">
        <f t="shared" si="92"/>
        <v>62974000</v>
      </c>
      <c r="BS211" s="359" t="s">
        <v>1664</v>
      </c>
      <c r="BT211" s="5"/>
    </row>
    <row r="212" spans="1:72" ht="75" customHeight="1" x14ac:dyDescent="0.2">
      <c r="A212" s="327">
        <v>318</v>
      </c>
      <c r="B212" s="442" t="s">
        <v>1636</v>
      </c>
      <c r="C212" s="323">
        <v>1</v>
      </c>
      <c r="D212" s="417" t="s">
        <v>1622</v>
      </c>
      <c r="E212" s="323">
        <v>19</v>
      </c>
      <c r="F212" s="326" t="s">
        <v>147</v>
      </c>
      <c r="G212" s="323">
        <v>1903</v>
      </c>
      <c r="H212" s="326" t="s">
        <v>1592</v>
      </c>
      <c r="I212" s="323">
        <v>1903</v>
      </c>
      <c r="J212" s="326" t="s">
        <v>1593</v>
      </c>
      <c r="K212" s="326" t="s">
        <v>1014</v>
      </c>
      <c r="L212" s="323">
        <v>1903011</v>
      </c>
      <c r="M212" s="326" t="s">
        <v>1015</v>
      </c>
      <c r="N212" s="323">
        <v>1903011</v>
      </c>
      <c r="O212" s="326" t="s">
        <v>1015</v>
      </c>
      <c r="P212" s="422">
        <v>190301101</v>
      </c>
      <c r="Q212" s="326" t="s">
        <v>1035</v>
      </c>
      <c r="R212" s="422">
        <v>190301101</v>
      </c>
      <c r="S212" s="326" t="s">
        <v>1035</v>
      </c>
      <c r="T212" s="349" t="s">
        <v>1689</v>
      </c>
      <c r="U212" s="103">
        <v>12</v>
      </c>
      <c r="V212" s="103">
        <v>9</v>
      </c>
      <c r="W212" s="427" t="s">
        <v>1029</v>
      </c>
      <c r="X212" s="326" t="s">
        <v>1030</v>
      </c>
      <c r="Y212" s="326" t="s">
        <v>1031</v>
      </c>
      <c r="Z212" s="419"/>
      <c r="AA212" s="419"/>
      <c r="AB212" s="419"/>
      <c r="AC212" s="419"/>
      <c r="AD212" s="419"/>
      <c r="AE212" s="419"/>
      <c r="AF212" s="419"/>
      <c r="AG212" s="419"/>
      <c r="AH212" s="419"/>
      <c r="AI212" s="419"/>
      <c r="AJ212" s="419"/>
      <c r="AK212" s="419"/>
      <c r="AL212" s="454">
        <f>94000000+30811412</f>
        <v>124811412</v>
      </c>
      <c r="AM212" s="454">
        <v>42986991</v>
      </c>
      <c r="AN212" s="454">
        <v>12792500</v>
      </c>
      <c r="AO212" s="419"/>
      <c r="AP212" s="419"/>
      <c r="AQ212" s="419"/>
      <c r="AR212" s="419"/>
      <c r="AS212" s="419"/>
      <c r="AT212" s="419"/>
      <c r="AU212" s="419"/>
      <c r="AV212" s="419"/>
      <c r="AW212" s="419"/>
      <c r="AX212" s="419"/>
      <c r="AY212" s="419"/>
      <c r="AZ212" s="419"/>
      <c r="BA212" s="419"/>
      <c r="BB212" s="419"/>
      <c r="BC212" s="419"/>
      <c r="BD212" s="424"/>
      <c r="BE212" s="424"/>
      <c r="BF212" s="424"/>
      <c r="BG212" s="419"/>
      <c r="BH212" s="419"/>
      <c r="BI212" s="419"/>
      <c r="BJ212" s="419"/>
      <c r="BK212" s="419"/>
      <c r="BL212" s="419"/>
      <c r="BM212" s="419"/>
      <c r="BN212" s="419"/>
      <c r="BO212" s="419"/>
      <c r="BP212" s="403">
        <f t="shared" si="93"/>
        <v>124811412</v>
      </c>
      <c r="BQ212" s="403">
        <f t="shared" si="91"/>
        <v>42986991</v>
      </c>
      <c r="BR212" s="403">
        <f t="shared" si="92"/>
        <v>12792500</v>
      </c>
      <c r="BS212" s="359" t="s">
        <v>1664</v>
      </c>
      <c r="BT212" s="5"/>
    </row>
    <row r="213" spans="1:72" ht="86.25" customHeight="1" x14ac:dyDescent="0.2">
      <c r="A213" s="327">
        <v>318</v>
      </c>
      <c r="B213" s="442" t="s">
        <v>1636</v>
      </c>
      <c r="C213" s="323">
        <v>1</v>
      </c>
      <c r="D213" s="417" t="s">
        <v>1622</v>
      </c>
      <c r="E213" s="323">
        <v>19</v>
      </c>
      <c r="F213" s="326" t="s">
        <v>147</v>
      </c>
      <c r="G213" s="323">
        <v>1903</v>
      </c>
      <c r="H213" s="326" t="s">
        <v>1592</v>
      </c>
      <c r="I213" s="323">
        <v>1903</v>
      </c>
      <c r="J213" s="326" t="s">
        <v>1593</v>
      </c>
      <c r="K213" s="326" t="s">
        <v>1014</v>
      </c>
      <c r="L213" s="323">
        <v>1903034</v>
      </c>
      <c r="M213" s="326" t="s">
        <v>103</v>
      </c>
      <c r="N213" s="483">
        <v>1903034</v>
      </c>
      <c r="O213" s="326" t="s">
        <v>103</v>
      </c>
      <c r="P213" s="422">
        <v>190303400</v>
      </c>
      <c r="Q213" s="326" t="s">
        <v>1036</v>
      </c>
      <c r="R213" s="422">
        <v>190303400</v>
      </c>
      <c r="S213" s="326" t="s">
        <v>1036</v>
      </c>
      <c r="T213" s="349" t="s">
        <v>1689</v>
      </c>
      <c r="U213" s="103">
        <v>12</v>
      </c>
      <c r="V213" s="103">
        <v>12</v>
      </c>
      <c r="W213" s="349" t="s">
        <v>1037</v>
      </c>
      <c r="X213" s="324" t="s">
        <v>1038</v>
      </c>
      <c r="Y213" s="324" t="s">
        <v>1039</v>
      </c>
      <c r="Z213" s="419"/>
      <c r="AA213" s="419"/>
      <c r="AB213" s="419"/>
      <c r="AC213" s="419"/>
      <c r="AD213" s="419"/>
      <c r="AE213" s="419"/>
      <c r="AF213" s="419"/>
      <c r="AG213" s="419"/>
      <c r="AH213" s="419"/>
      <c r="AI213" s="419"/>
      <c r="AJ213" s="419"/>
      <c r="AK213" s="419"/>
      <c r="AL213" s="419"/>
      <c r="AM213" s="419"/>
      <c r="AN213" s="419"/>
      <c r="AO213" s="454"/>
      <c r="AP213" s="454"/>
      <c r="AQ213" s="454"/>
      <c r="AR213" s="419"/>
      <c r="AS213" s="419"/>
      <c r="AT213" s="419"/>
      <c r="AU213" s="419"/>
      <c r="AV213" s="419"/>
      <c r="AW213" s="419"/>
      <c r="AX213" s="419"/>
      <c r="AY213" s="419"/>
      <c r="AZ213" s="419"/>
      <c r="BA213" s="419"/>
      <c r="BB213" s="419"/>
      <c r="BC213" s="419"/>
      <c r="BD213" s="424">
        <v>96954000</v>
      </c>
      <c r="BE213" s="424">
        <v>46930000</v>
      </c>
      <c r="BF213" s="424">
        <v>29908500</v>
      </c>
      <c r="BG213" s="419"/>
      <c r="BH213" s="419"/>
      <c r="BI213" s="419"/>
      <c r="BJ213" s="419"/>
      <c r="BK213" s="419"/>
      <c r="BL213" s="419"/>
      <c r="BM213" s="419"/>
      <c r="BN213" s="419"/>
      <c r="BO213" s="419"/>
      <c r="BP213" s="403">
        <f t="shared" si="93"/>
        <v>96954000</v>
      </c>
      <c r="BQ213" s="403">
        <f t="shared" si="91"/>
        <v>46930000</v>
      </c>
      <c r="BR213" s="403">
        <f t="shared" si="92"/>
        <v>29908500</v>
      </c>
      <c r="BS213" s="359" t="s">
        <v>1664</v>
      </c>
      <c r="BT213" s="5"/>
    </row>
    <row r="214" spans="1:72" ht="75" customHeight="1" x14ac:dyDescent="0.2">
      <c r="A214" s="327">
        <v>318</v>
      </c>
      <c r="B214" s="442" t="s">
        <v>1636</v>
      </c>
      <c r="C214" s="323">
        <v>1</v>
      </c>
      <c r="D214" s="417" t="s">
        <v>1622</v>
      </c>
      <c r="E214" s="323">
        <v>19</v>
      </c>
      <c r="F214" s="326" t="s">
        <v>147</v>
      </c>
      <c r="G214" s="323">
        <v>1903</v>
      </c>
      <c r="H214" s="326" t="s">
        <v>1592</v>
      </c>
      <c r="I214" s="323">
        <v>1903</v>
      </c>
      <c r="J214" s="326" t="s">
        <v>1593</v>
      </c>
      <c r="K214" s="326" t="s">
        <v>1040</v>
      </c>
      <c r="L214" s="323">
        <v>1903045</v>
      </c>
      <c r="M214" s="326" t="s">
        <v>1041</v>
      </c>
      <c r="N214" s="323">
        <v>1903045</v>
      </c>
      <c r="O214" s="326" t="s">
        <v>1041</v>
      </c>
      <c r="P214" s="422">
        <v>190304500</v>
      </c>
      <c r="Q214" s="443" t="s">
        <v>1042</v>
      </c>
      <c r="R214" s="422">
        <v>190304500</v>
      </c>
      <c r="S214" s="443" t="s">
        <v>1042</v>
      </c>
      <c r="T214" s="349" t="s">
        <v>1691</v>
      </c>
      <c r="U214" s="103">
        <v>725</v>
      </c>
      <c r="V214" s="103">
        <v>491</v>
      </c>
      <c r="W214" s="427" t="s">
        <v>1043</v>
      </c>
      <c r="X214" s="324" t="s">
        <v>1044</v>
      </c>
      <c r="Y214" s="324" t="s">
        <v>1045</v>
      </c>
      <c r="Z214" s="419"/>
      <c r="AA214" s="419"/>
      <c r="AB214" s="419"/>
      <c r="AC214" s="419"/>
      <c r="AD214" s="419"/>
      <c r="AE214" s="419"/>
      <c r="AF214" s="419"/>
      <c r="AG214" s="419"/>
      <c r="AH214" s="419"/>
      <c r="AI214" s="419"/>
      <c r="AJ214" s="419"/>
      <c r="AK214" s="419"/>
      <c r="AL214" s="419"/>
      <c r="AM214" s="419"/>
      <c r="AN214" s="419"/>
      <c r="AO214" s="454"/>
      <c r="AP214" s="454"/>
      <c r="AQ214" s="454"/>
      <c r="AR214" s="419"/>
      <c r="AS214" s="419"/>
      <c r="AT214" s="419"/>
      <c r="AU214" s="419"/>
      <c r="AV214" s="419"/>
      <c r="AW214" s="419"/>
      <c r="AX214" s="419"/>
      <c r="AY214" s="419"/>
      <c r="AZ214" s="419"/>
      <c r="BA214" s="419"/>
      <c r="BB214" s="419"/>
      <c r="BC214" s="419"/>
      <c r="BD214" s="424">
        <v>19636000</v>
      </c>
      <c r="BE214" s="424">
        <v>19636000</v>
      </c>
      <c r="BF214" s="424">
        <v>19636000</v>
      </c>
      <c r="BG214" s="419"/>
      <c r="BH214" s="419"/>
      <c r="BI214" s="419"/>
      <c r="BJ214" s="419"/>
      <c r="BK214" s="419"/>
      <c r="BL214" s="419"/>
      <c r="BM214" s="419"/>
      <c r="BN214" s="419"/>
      <c r="BO214" s="419"/>
      <c r="BP214" s="403">
        <f t="shared" si="93"/>
        <v>19636000</v>
      </c>
      <c r="BQ214" s="403">
        <f t="shared" si="91"/>
        <v>19636000</v>
      </c>
      <c r="BR214" s="403">
        <f t="shared" si="92"/>
        <v>19636000</v>
      </c>
      <c r="BS214" s="359" t="s">
        <v>1664</v>
      </c>
      <c r="BT214" s="5"/>
    </row>
    <row r="215" spans="1:72" ht="95.25" customHeight="1" x14ac:dyDescent="0.2">
      <c r="A215" s="327">
        <v>318</v>
      </c>
      <c r="B215" s="442" t="s">
        <v>1636</v>
      </c>
      <c r="C215" s="323">
        <v>1</v>
      </c>
      <c r="D215" s="417" t="s">
        <v>1622</v>
      </c>
      <c r="E215" s="323">
        <v>19</v>
      </c>
      <c r="F215" s="326" t="s">
        <v>147</v>
      </c>
      <c r="G215" s="323">
        <v>1903</v>
      </c>
      <c r="H215" s="326" t="s">
        <v>1592</v>
      </c>
      <c r="I215" s="323">
        <v>1903</v>
      </c>
      <c r="J215" s="326" t="s">
        <v>1593</v>
      </c>
      <c r="K215" s="326" t="s">
        <v>1018</v>
      </c>
      <c r="L215" s="323">
        <v>1903001</v>
      </c>
      <c r="M215" s="326" t="s">
        <v>84</v>
      </c>
      <c r="N215" s="323">
        <v>1903001</v>
      </c>
      <c r="O215" s="326" t="s">
        <v>84</v>
      </c>
      <c r="P215" s="422">
        <v>190300100</v>
      </c>
      <c r="Q215" s="443" t="s">
        <v>1019</v>
      </c>
      <c r="R215" s="422">
        <v>190300100</v>
      </c>
      <c r="S215" s="443" t="s">
        <v>1019</v>
      </c>
      <c r="T215" s="349" t="s">
        <v>1689</v>
      </c>
      <c r="U215" s="323">
        <v>1</v>
      </c>
      <c r="V215" s="323">
        <v>0</v>
      </c>
      <c r="W215" s="427" t="s">
        <v>1043</v>
      </c>
      <c r="X215" s="324" t="s">
        <v>1044</v>
      </c>
      <c r="Y215" s="324" t="s">
        <v>1045</v>
      </c>
      <c r="Z215" s="419"/>
      <c r="AA215" s="419"/>
      <c r="AB215" s="419"/>
      <c r="AC215" s="419"/>
      <c r="AD215" s="419"/>
      <c r="AE215" s="419"/>
      <c r="AF215" s="419"/>
      <c r="AG215" s="419"/>
      <c r="AH215" s="419"/>
      <c r="AI215" s="419"/>
      <c r="AJ215" s="419"/>
      <c r="AK215" s="419"/>
      <c r="AL215" s="419"/>
      <c r="AM215" s="419"/>
      <c r="AN215" s="419"/>
      <c r="AO215" s="454"/>
      <c r="AP215" s="454"/>
      <c r="AQ215" s="454"/>
      <c r="AR215" s="419"/>
      <c r="AS215" s="419"/>
      <c r="AT215" s="419"/>
      <c r="AU215" s="419"/>
      <c r="AV215" s="419"/>
      <c r="AW215" s="419"/>
      <c r="AX215" s="419"/>
      <c r="AY215" s="419"/>
      <c r="AZ215" s="419"/>
      <c r="BA215" s="419"/>
      <c r="BB215" s="419"/>
      <c r="BC215" s="419"/>
      <c r="BD215" s="424">
        <v>15000000</v>
      </c>
      <c r="BE215" s="424">
        <v>10759000</v>
      </c>
      <c r="BF215" s="424"/>
      <c r="BG215" s="419"/>
      <c r="BH215" s="419"/>
      <c r="BI215" s="419"/>
      <c r="BJ215" s="419"/>
      <c r="BK215" s="419"/>
      <c r="BL215" s="419"/>
      <c r="BM215" s="419"/>
      <c r="BN215" s="419"/>
      <c r="BO215" s="419"/>
      <c r="BP215" s="403">
        <f t="shared" si="93"/>
        <v>15000000</v>
      </c>
      <c r="BQ215" s="403">
        <f t="shared" si="91"/>
        <v>10759000</v>
      </c>
      <c r="BR215" s="403">
        <f t="shared" si="92"/>
        <v>0</v>
      </c>
      <c r="BS215" s="359" t="s">
        <v>1664</v>
      </c>
      <c r="BT215" s="5"/>
    </row>
    <row r="216" spans="1:72" ht="71.25" customHeight="1" x14ac:dyDescent="0.2">
      <c r="A216" s="327">
        <v>318</v>
      </c>
      <c r="B216" s="442" t="s">
        <v>1636</v>
      </c>
      <c r="C216" s="323">
        <v>1</v>
      </c>
      <c r="D216" s="417" t="s">
        <v>1622</v>
      </c>
      <c r="E216" s="323">
        <v>19</v>
      </c>
      <c r="F216" s="326" t="s">
        <v>147</v>
      </c>
      <c r="G216" s="323">
        <v>1903</v>
      </c>
      <c r="H216" s="326" t="s">
        <v>1592</v>
      </c>
      <c r="I216" s="323">
        <v>1903</v>
      </c>
      <c r="J216" s="326" t="s">
        <v>1593</v>
      </c>
      <c r="K216" s="443" t="s">
        <v>1046</v>
      </c>
      <c r="L216" s="422">
        <v>1903010</v>
      </c>
      <c r="M216" s="486" t="s">
        <v>1047</v>
      </c>
      <c r="N216" s="487">
        <v>1903010</v>
      </c>
      <c r="O216" s="486" t="s">
        <v>1047</v>
      </c>
      <c r="P216" s="422">
        <v>190301000</v>
      </c>
      <c r="Q216" s="443" t="s">
        <v>1048</v>
      </c>
      <c r="R216" s="422">
        <v>190301000</v>
      </c>
      <c r="S216" s="443" t="s">
        <v>1048</v>
      </c>
      <c r="T216" s="349" t="s">
        <v>1689</v>
      </c>
      <c r="U216" s="103">
        <v>12</v>
      </c>
      <c r="V216" s="103">
        <v>12</v>
      </c>
      <c r="W216" s="427" t="s">
        <v>1043</v>
      </c>
      <c r="X216" s="324" t="s">
        <v>1044</v>
      </c>
      <c r="Y216" s="324" t="s">
        <v>1045</v>
      </c>
      <c r="Z216" s="419"/>
      <c r="AA216" s="419"/>
      <c r="AB216" s="419"/>
      <c r="AC216" s="419"/>
      <c r="AD216" s="419"/>
      <c r="AE216" s="419"/>
      <c r="AF216" s="419"/>
      <c r="AG216" s="419"/>
      <c r="AH216" s="419"/>
      <c r="AI216" s="419"/>
      <c r="AJ216" s="419"/>
      <c r="AK216" s="419"/>
      <c r="AL216" s="419"/>
      <c r="AM216" s="419"/>
      <c r="AN216" s="419"/>
      <c r="AO216" s="454"/>
      <c r="AP216" s="454"/>
      <c r="AQ216" s="454"/>
      <c r="AR216" s="419"/>
      <c r="AS216" s="419"/>
      <c r="AT216" s="419"/>
      <c r="AU216" s="419"/>
      <c r="AV216" s="419"/>
      <c r="AW216" s="419"/>
      <c r="AX216" s="419"/>
      <c r="AY216" s="419"/>
      <c r="AZ216" s="419"/>
      <c r="BA216" s="419"/>
      <c r="BB216" s="419"/>
      <c r="BC216" s="419"/>
      <c r="BD216" s="424">
        <v>15000000</v>
      </c>
      <c r="BE216" s="424">
        <v>11540000</v>
      </c>
      <c r="BF216" s="424">
        <v>11540000</v>
      </c>
      <c r="BG216" s="419"/>
      <c r="BH216" s="419"/>
      <c r="BI216" s="419"/>
      <c r="BJ216" s="419"/>
      <c r="BK216" s="419"/>
      <c r="BL216" s="419"/>
      <c r="BM216" s="419"/>
      <c r="BN216" s="419"/>
      <c r="BO216" s="419"/>
      <c r="BP216" s="403">
        <f t="shared" si="93"/>
        <v>15000000</v>
      </c>
      <c r="BQ216" s="403">
        <f t="shared" si="91"/>
        <v>11540000</v>
      </c>
      <c r="BR216" s="403">
        <f t="shared" si="92"/>
        <v>11540000</v>
      </c>
      <c r="BS216" s="359" t="s">
        <v>1664</v>
      </c>
      <c r="BT216" s="5"/>
    </row>
    <row r="217" spans="1:72" ht="76.5" customHeight="1" x14ac:dyDescent="0.2">
      <c r="A217" s="327">
        <v>318</v>
      </c>
      <c r="B217" s="442" t="s">
        <v>1636</v>
      </c>
      <c r="C217" s="323">
        <v>1</v>
      </c>
      <c r="D217" s="417" t="s">
        <v>1622</v>
      </c>
      <c r="E217" s="323">
        <v>19</v>
      </c>
      <c r="F217" s="326" t="s">
        <v>147</v>
      </c>
      <c r="G217" s="323">
        <v>1903</v>
      </c>
      <c r="H217" s="326" t="s">
        <v>1592</v>
      </c>
      <c r="I217" s="323">
        <v>1903</v>
      </c>
      <c r="J217" s="326" t="s">
        <v>1593</v>
      </c>
      <c r="K217" s="326" t="s">
        <v>1049</v>
      </c>
      <c r="L217" s="323">
        <v>1903011</v>
      </c>
      <c r="M217" s="326" t="s">
        <v>1015</v>
      </c>
      <c r="N217" s="323">
        <v>1903011</v>
      </c>
      <c r="O217" s="326" t="s">
        <v>1015</v>
      </c>
      <c r="P217" s="422">
        <v>190301101</v>
      </c>
      <c r="Q217" s="326" t="s">
        <v>1035</v>
      </c>
      <c r="R217" s="422">
        <v>190301101</v>
      </c>
      <c r="S217" s="326" t="s">
        <v>1035</v>
      </c>
      <c r="T217" s="349" t="s">
        <v>1689</v>
      </c>
      <c r="U217" s="103">
        <v>12</v>
      </c>
      <c r="V217" s="103">
        <v>12</v>
      </c>
      <c r="W217" s="427" t="s">
        <v>1043</v>
      </c>
      <c r="X217" s="324" t="s">
        <v>1044</v>
      </c>
      <c r="Y217" s="324" t="s">
        <v>1045</v>
      </c>
      <c r="Z217" s="419"/>
      <c r="AA217" s="419"/>
      <c r="AB217" s="419"/>
      <c r="AC217" s="419"/>
      <c r="AD217" s="419"/>
      <c r="AE217" s="419"/>
      <c r="AF217" s="419"/>
      <c r="AG217" s="419"/>
      <c r="AH217" s="419"/>
      <c r="AI217" s="419"/>
      <c r="AJ217" s="419"/>
      <c r="AK217" s="419"/>
      <c r="AL217" s="419"/>
      <c r="AM217" s="419"/>
      <c r="AN217" s="419"/>
      <c r="AO217" s="454"/>
      <c r="AP217" s="454"/>
      <c r="AQ217" s="454"/>
      <c r="AR217" s="419"/>
      <c r="AS217" s="419"/>
      <c r="AT217" s="419"/>
      <c r="AU217" s="419"/>
      <c r="AV217" s="419"/>
      <c r="AW217" s="419"/>
      <c r="AX217" s="419"/>
      <c r="AY217" s="419"/>
      <c r="AZ217" s="419"/>
      <c r="BA217" s="419"/>
      <c r="BB217" s="419"/>
      <c r="BC217" s="419"/>
      <c r="BD217" s="424">
        <v>15000000</v>
      </c>
      <c r="BE217" s="424">
        <v>15000000</v>
      </c>
      <c r="BF217" s="424">
        <v>9904000</v>
      </c>
      <c r="BG217" s="419"/>
      <c r="BH217" s="419"/>
      <c r="BI217" s="419"/>
      <c r="BJ217" s="419"/>
      <c r="BK217" s="419"/>
      <c r="BL217" s="419"/>
      <c r="BM217" s="419"/>
      <c r="BN217" s="419"/>
      <c r="BO217" s="419"/>
      <c r="BP217" s="403">
        <f t="shared" si="93"/>
        <v>15000000</v>
      </c>
      <c r="BQ217" s="403">
        <f t="shared" si="91"/>
        <v>15000000</v>
      </c>
      <c r="BR217" s="403">
        <f t="shared" si="92"/>
        <v>9904000</v>
      </c>
      <c r="BS217" s="359" t="s">
        <v>1664</v>
      </c>
      <c r="BT217" s="5"/>
    </row>
    <row r="218" spans="1:72" ht="58.5" customHeight="1" x14ac:dyDescent="0.2">
      <c r="A218" s="327">
        <v>318</v>
      </c>
      <c r="B218" s="442" t="s">
        <v>1636</v>
      </c>
      <c r="C218" s="323">
        <v>1</v>
      </c>
      <c r="D218" s="417" t="s">
        <v>1622</v>
      </c>
      <c r="E218" s="323">
        <v>19</v>
      </c>
      <c r="F218" s="326" t="s">
        <v>147</v>
      </c>
      <c r="G218" s="323">
        <v>1903</v>
      </c>
      <c r="H218" s="326" t="s">
        <v>1592</v>
      </c>
      <c r="I218" s="323">
        <v>1903</v>
      </c>
      <c r="J218" s="326" t="s">
        <v>1593</v>
      </c>
      <c r="K218" s="326" t="s">
        <v>1050</v>
      </c>
      <c r="L218" s="323">
        <v>1903047</v>
      </c>
      <c r="M218" s="326" t="s">
        <v>1051</v>
      </c>
      <c r="N218" s="323">
        <v>1903047</v>
      </c>
      <c r="O218" s="326" t="s">
        <v>1051</v>
      </c>
      <c r="P218" s="422">
        <v>190304701</v>
      </c>
      <c r="Q218" s="443" t="s">
        <v>1052</v>
      </c>
      <c r="R218" s="422">
        <v>190304701</v>
      </c>
      <c r="S218" s="443" t="s">
        <v>1052</v>
      </c>
      <c r="T218" s="349" t="s">
        <v>1689</v>
      </c>
      <c r="U218" s="103">
        <v>1</v>
      </c>
      <c r="V218" s="103">
        <v>0</v>
      </c>
      <c r="W218" s="427" t="s">
        <v>1053</v>
      </c>
      <c r="X218" s="324" t="s">
        <v>1054</v>
      </c>
      <c r="Y218" s="324" t="s">
        <v>1055</v>
      </c>
      <c r="Z218" s="419"/>
      <c r="AA218" s="419"/>
      <c r="AB218" s="419"/>
      <c r="AC218" s="419"/>
      <c r="AD218" s="419"/>
      <c r="AE218" s="419"/>
      <c r="AF218" s="419"/>
      <c r="AG218" s="419"/>
      <c r="AH218" s="419"/>
      <c r="AI218" s="419"/>
      <c r="AJ218" s="419"/>
      <c r="AK218" s="419"/>
      <c r="AL218" s="419"/>
      <c r="AM218" s="419"/>
      <c r="AN218" s="419"/>
      <c r="AO218" s="396">
        <f>15000000-5000000</f>
        <v>10000000</v>
      </c>
      <c r="AP218" s="488"/>
      <c r="AQ218" s="488"/>
      <c r="AR218" s="419"/>
      <c r="AS218" s="419"/>
      <c r="AT218" s="419"/>
      <c r="AU218" s="419"/>
      <c r="AV218" s="419"/>
      <c r="AW218" s="419"/>
      <c r="AX218" s="419"/>
      <c r="AY218" s="419"/>
      <c r="AZ218" s="419"/>
      <c r="BA218" s="419"/>
      <c r="BB218" s="419"/>
      <c r="BC218" s="419"/>
      <c r="BD218" s="424"/>
      <c r="BE218" s="424"/>
      <c r="BF218" s="424"/>
      <c r="BG218" s="419"/>
      <c r="BH218" s="419"/>
      <c r="BI218" s="419"/>
      <c r="BJ218" s="419"/>
      <c r="BK218" s="419"/>
      <c r="BL218" s="419"/>
      <c r="BM218" s="419"/>
      <c r="BN218" s="419"/>
      <c r="BO218" s="419"/>
      <c r="BP218" s="403">
        <f t="shared" si="93"/>
        <v>10000000</v>
      </c>
      <c r="BQ218" s="403">
        <f t="shared" si="91"/>
        <v>0</v>
      </c>
      <c r="BR218" s="403">
        <f t="shared" si="92"/>
        <v>0</v>
      </c>
      <c r="BS218" s="359" t="s">
        <v>1664</v>
      </c>
      <c r="BT218" s="5"/>
    </row>
    <row r="219" spans="1:72" ht="90.75" customHeight="1" x14ac:dyDescent="0.2">
      <c r="A219" s="327">
        <v>318</v>
      </c>
      <c r="B219" s="442" t="s">
        <v>1636</v>
      </c>
      <c r="C219" s="323">
        <v>1</v>
      </c>
      <c r="D219" s="417" t="s">
        <v>1622</v>
      </c>
      <c r="E219" s="323">
        <v>19</v>
      </c>
      <c r="F219" s="326" t="s">
        <v>147</v>
      </c>
      <c r="G219" s="323">
        <v>1903</v>
      </c>
      <c r="H219" s="326" t="s">
        <v>1592</v>
      </c>
      <c r="I219" s="323">
        <v>1903</v>
      </c>
      <c r="J219" s="326" t="s">
        <v>1593</v>
      </c>
      <c r="K219" s="326" t="s">
        <v>1056</v>
      </c>
      <c r="L219" s="323">
        <v>1903019</v>
      </c>
      <c r="M219" s="326" t="s">
        <v>1057</v>
      </c>
      <c r="N219" s="323">
        <v>1903019</v>
      </c>
      <c r="O219" s="326" t="s">
        <v>1057</v>
      </c>
      <c r="P219" s="422">
        <v>190301900</v>
      </c>
      <c r="Q219" s="326" t="s">
        <v>1058</v>
      </c>
      <c r="R219" s="422">
        <v>190301900</v>
      </c>
      <c r="S219" s="326" t="s">
        <v>1058</v>
      </c>
      <c r="T219" s="349" t="s">
        <v>1689</v>
      </c>
      <c r="U219" s="103">
        <v>75</v>
      </c>
      <c r="V219" s="103">
        <v>40</v>
      </c>
      <c r="W219" s="427" t="s">
        <v>1053</v>
      </c>
      <c r="X219" s="324" t="s">
        <v>1054</v>
      </c>
      <c r="Y219" s="324" t="s">
        <v>1055</v>
      </c>
      <c r="Z219" s="419"/>
      <c r="AA219" s="419"/>
      <c r="AB219" s="419"/>
      <c r="AC219" s="419"/>
      <c r="AD219" s="419"/>
      <c r="AE219" s="419"/>
      <c r="AF219" s="419"/>
      <c r="AG219" s="419"/>
      <c r="AH219" s="419"/>
      <c r="AI219" s="419"/>
      <c r="AJ219" s="419"/>
      <c r="AK219" s="419"/>
      <c r="AL219" s="419"/>
      <c r="AM219" s="419"/>
      <c r="AN219" s="419"/>
      <c r="AO219" s="352">
        <f>55000000-27918995</f>
        <v>27081005</v>
      </c>
      <c r="AP219" s="488"/>
      <c r="AQ219" s="488"/>
      <c r="AR219" s="489"/>
      <c r="AS219" s="489"/>
      <c r="AT219" s="489"/>
      <c r="AU219" s="419"/>
      <c r="AV219" s="419"/>
      <c r="AW219" s="419"/>
      <c r="AX219" s="419"/>
      <c r="AY219" s="419"/>
      <c r="AZ219" s="419"/>
      <c r="BA219" s="419"/>
      <c r="BB219" s="419"/>
      <c r="BC219" s="419"/>
      <c r="BD219" s="424"/>
      <c r="BE219" s="424"/>
      <c r="BF219" s="424"/>
      <c r="BG219" s="419"/>
      <c r="BH219" s="419"/>
      <c r="BI219" s="419"/>
      <c r="BJ219" s="419"/>
      <c r="BK219" s="419"/>
      <c r="BL219" s="419"/>
      <c r="BM219" s="419"/>
      <c r="BN219" s="419"/>
      <c r="BO219" s="419"/>
      <c r="BP219" s="403">
        <f t="shared" si="93"/>
        <v>27081005</v>
      </c>
      <c r="BQ219" s="403">
        <f t="shared" si="91"/>
        <v>0</v>
      </c>
      <c r="BR219" s="403">
        <f t="shared" si="92"/>
        <v>0</v>
      </c>
      <c r="BS219" s="359" t="s">
        <v>1664</v>
      </c>
      <c r="BT219" s="5"/>
    </row>
    <row r="220" spans="1:72" ht="88.5" customHeight="1" x14ac:dyDescent="0.2">
      <c r="A220" s="327">
        <v>318</v>
      </c>
      <c r="B220" s="442" t="s">
        <v>1636</v>
      </c>
      <c r="C220" s="323">
        <v>1</v>
      </c>
      <c r="D220" s="417" t="s">
        <v>1622</v>
      </c>
      <c r="E220" s="323">
        <v>19</v>
      </c>
      <c r="F220" s="326" t="s">
        <v>147</v>
      </c>
      <c r="G220" s="323">
        <v>1903</v>
      </c>
      <c r="H220" s="326" t="s">
        <v>1592</v>
      </c>
      <c r="I220" s="323">
        <v>1903</v>
      </c>
      <c r="J220" s="326" t="s">
        <v>1593</v>
      </c>
      <c r="K220" s="326" t="s">
        <v>1059</v>
      </c>
      <c r="L220" s="323">
        <v>1903028</v>
      </c>
      <c r="M220" s="326" t="s">
        <v>1060</v>
      </c>
      <c r="N220" s="323">
        <v>1903028</v>
      </c>
      <c r="O220" s="326" t="s">
        <v>1060</v>
      </c>
      <c r="P220" s="422">
        <v>190302800</v>
      </c>
      <c r="Q220" s="326" t="s">
        <v>1061</v>
      </c>
      <c r="R220" s="422">
        <v>190302800</v>
      </c>
      <c r="S220" s="326" t="s">
        <v>1061</v>
      </c>
      <c r="T220" s="349" t="s">
        <v>1689</v>
      </c>
      <c r="U220" s="103">
        <v>250</v>
      </c>
      <c r="V220" s="103">
        <v>180</v>
      </c>
      <c r="W220" s="427" t="s">
        <v>1053</v>
      </c>
      <c r="X220" s="324" t="s">
        <v>1054</v>
      </c>
      <c r="Y220" s="324" t="s">
        <v>1055</v>
      </c>
      <c r="Z220" s="419"/>
      <c r="AA220" s="419"/>
      <c r="AB220" s="419"/>
      <c r="AC220" s="419"/>
      <c r="AD220" s="419"/>
      <c r="AE220" s="419"/>
      <c r="AF220" s="419"/>
      <c r="AG220" s="419"/>
      <c r="AH220" s="419"/>
      <c r="AI220" s="419"/>
      <c r="AJ220" s="419"/>
      <c r="AK220" s="419"/>
      <c r="AL220" s="419"/>
      <c r="AM220" s="419"/>
      <c r="AN220" s="419"/>
      <c r="AO220" s="396">
        <f>40000000-26000000</f>
        <v>14000000</v>
      </c>
      <c r="AP220" s="488">
        <v>11550000</v>
      </c>
      <c r="AQ220" s="488">
        <v>8250000</v>
      </c>
      <c r="AR220" s="419"/>
      <c r="AS220" s="419"/>
      <c r="AT220" s="419"/>
      <c r="AU220" s="419"/>
      <c r="AV220" s="419"/>
      <c r="AW220" s="419"/>
      <c r="AX220" s="419"/>
      <c r="AY220" s="419"/>
      <c r="AZ220" s="419"/>
      <c r="BA220" s="419"/>
      <c r="BB220" s="419"/>
      <c r="BC220" s="419"/>
      <c r="BD220" s="424"/>
      <c r="BE220" s="424"/>
      <c r="BF220" s="424"/>
      <c r="BG220" s="419"/>
      <c r="BH220" s="419"/>
      <c r="BI220" s="419"/>
      <c r="BJ220" s="419"/>
      <c r="BK220" s="419"/>
      <c r="BL220" s="419"/>
      <c r="BM220" s="419"/>
      <c r="BN220" s="419"/>
      <c r="BO220" s="419"/>
      <c r="BP220" s="403">
        <f t="shared" si="93"/>
        <v>14000000</v>
      </c>
      <c r="BQ220" s="403">
        <f t="shared" si="91"/>
        <v>11550000</v>
      </c>
      <c r="BR220" s="403">
        <f t="shared" si="92"/>
        <v>8250000</v>
      </c>
      <c r="BS220" s="359" t="s">
        <v>1664</v>
      </c>
      <c r="BT220" s="5"/>
    </row>
    <row r="221" spans="1:72" ht="85.5" customHeight="1" x14ac:dyDescent="0.2">
      <c r="A221" s="327">
        <v>318</v>
      </c>
      <c r="B221" s="442" t="s">
        <v>1636</v>
      </c>
      <c r="C221" s="323">
        <v>1</v>
      </c>
      <c r="D221" s="417" t="s">
        <v>1622</v>
      </c>
      <c r="E221" s="323">
        <v>19</v>
      </c>
      <c r="F221" s="326" t="s">
        <v>147</v>
      </c>
      <c r="G221" s="323">
        <v>1903</v>
      </c>
      <c r="H221" s="326" t="s">
        <v>1592</v>
      </c>
      <c r="I221" s="323">
        <v>1903</v>
      </c>
      <c r="J221" s="326" t="s">
        <v>1593</v>
      </c>
      <c r="K221" s="326" t="s">
        <v>1023</v>
      </c>
      <c r="L221" s="323">
        <v>1903025</v>
      </c>
      <c r="M221" s="326" t="s">
        <v>1062</v>
      </c>
      <c r="N221" s="323">
        <v>1903025</v>
      </c>
      <c r="O221" s="326" t="s">
        <v>1062</v>
      </c>
      <c r="P221" s="422">
        <v>190302500</v>
      </c>
      <c r="Q221" s="326" t="s">
        <v>1063</v>
      </c>
      <c r="R221" s="422">
        <v>190302500</v>
      </c>
      <c r="S221" s="326" t="s">
        <v>1063</v>
      </c>
      <c r="T221" s="349" t="s">
        <v>1689</v>
      </c>
      <c r="U221" s="103">
        <v>12</v>
      </c>
      <c r="V221" s="103">
        <v>12</v>
      </c>
      <c r="W221" s="427" t="s">
        <v>1053</v>
      </c>
      <c r="X221" s="324" t="s">
        <v>1054</v>
      </c>
      <c r="Y221" s="324" t="s">
        <v>1055</v>
      </c>
      <c r="Z221" s="419"/>
      <c r="AA221" s="419"/>
      <c r="AB221" s="419"/>
      <c r="AC221" s="419"/>
      <c r="AD221" s="419"/>
      <c r="AE221" s="419"/>
      <c r="AF221" s="419"/>
      <c r="AG221" s="419"/>
      <c r="AH221" s="419"/>
      <c r="AI221" s="419"/>
      <c r="AJ221" s="419"/>
      <c r="AK221" s="419"/>
      <c r="AL221" s="419"/>
      <c r="AM221" s="419"/>
      <c r="AN221" s="419"/>
      <c r="AO221" s="396">
        <v>40000000</v>
      </c>
      <c r="AP221" s="488">
        <v>34620000</v>
      </c>
      <c r="AQ221" s="488">
        <v>28850000</v>
      </c>
      <c r="AR221" s="419"/>
      <c r="AS221" s="419"/>
      <c r="AT221" s="419"/>
      <c r="AU221" s="419"/>
      <c r="AV221" s="419"/>
      <c r="AW221" s="419"/>
      <c r="AX221" s="419"/>
      <c r="AY221" s="419"/>
      <c r="AZ221" s="419"/>
      <c r="BA221" s="419"/>
      <c r="BB221" s="419"/>
      <c r="BC221" s="419"/>
      <c r="BD221" s="424"/>
      <c r="BE221" s="424"/>
      <c r="BF221" s="424"/>
      <c r="BG221" s="419"/>
      <c r="BH221" s="419"/>
      <c r="BI221" s="419"/>
      <c r="BJ221" s="419"/>
      <c r="BK221" s="419"/>
      <c r="BL221" s="419"/>
      <c r="BM221" s="419"/>
      <c r="BN221" s="419"/>
      <c r="BO221" s="419"/>
      <c r="BP221" s="403">
        <f t="shared" si="93"/>
        <v>40000000</v>
      </c>
      <c r="BQ221" s="403">
        <f t="shared" si="91"/>
        <v>34620000</v>
      </c>
      <c r="BR221" s="403">
        <f t="shared" si="92"/>
        <v>28850000</v>
      </c>
      <c r="BS221" s="359" t="s">
        <v>1664</v>
      </c>
      <c r="BT221" s="5"/>
    </row>
    <row r="222" spans="1:72" ht="159.75" customHeight="1" x14ac:dyDescent="0.2">
      <c r="A222" s="327">
        <v>318</v>
      </c>
      <c r="B222" s="442" t="s">
        <v>1636</v>
      </c>
      <c r="C222" s="323">
        <v>1</v>
      </c>
      <c r="D222" s="417" t="s">
        <v>1622</v>
      </c>
      <c r="E222" s="323">
        <v>19</v>
      </c>
      <c r="F222" s="326" t="s">
        <v>147</v>
      </c>
      <c r="G222" s="323">
        <v>1905</v>
      </c>
      <c r="H222" s="326" t="s">
        <v>768</v>
      </c>
      <c r="I222" s="323">
        <v>1905</v>
      </c>
      <c r="J222" s="326" t="s">
        <v>1594</v>
      </c>
      <c r="K222" s="326" t="s">
        <v>998</v>
      </c>
      <c r="L222" s="323">
        <v>1905028</v>
      </c>
      <c r="M222" s="326" t="s">
        <v>1064</v>
      </c>
      <c r="N222" s="323">
        <v>1905028</v>
      </c>
      <c r="O222" s="326" t="s">
        <v>1064</v>
      </c>
      <c r="P222" s="422">
        <v>190502800</v>
      </c>
      <c r="Q222" s="326" t="s">
        <v>1065</v>
      </c>
      <c r="R222" s="422">
        <v>190502800</v>
      </c>
      <c r="S222" s="326" t="s">
        <v>1065</v>
      </c>
      <c r="T222" s="349" t="s">
        <v>1689</v>
      </c>
      <c r="U222" s="103">
        <v>12</v>
      </c>
      <c r="V222" s="103">
        <v>12</v>
      </c>
      <c r="W222" s="427" t="s">
        <v>1066</v>
      </c>
      <c r="X222" s="324" t="s">
        <v>1067</v>
      </c>
      <c r="Y222" s="324" t="s">
        <v>1068</v>
      </c>
      <c r="Z222" s="419"/>
      <c r="AA222" s="419"/>
      <c r="AB222" s="419"/>
      <c r="AC222" s="419"/>
      <c r="AD222" s="419"/>
      <c r="AE222" s="419"/>
      <c r="AF222" s="419"/>
      <c r="AG222" s="419"/>
      <c r="AH222" s="419"/>
      <c r="AI222" s="419"/>
      <c r="AJ222" s="419"/>
      <c r="AK222" s="419"/>
      <c r="AL222" s="419">
        <v>38000000</v>
      </c>
      <c r="AM222" s="419">
        <v>37887000</v>
      </c>
      <c r="AN222" s="419">
        <v>23080000</v>
      </c>
      <c r="AO222" s="419"/>
      <c r="AP222" s="419"/>
      <c r="AQ222" s="419"/>
      <c r="AR222" s="419"/>
      <c r="AS222" s="419"/>
      <c r="AT222" s="419"/>
      <c r="AU222" s="419"/>
      <c r="AV222" s="419"/>
      <c r="AW222" s="419"/>
      <c r="AX222" s="419"/>
      <c r="AY222" s="419"/>
      <c r="AZ222" s="419"/>
      <c r="BA222" s="419"/>
      <c r="BB222" s="419"/>
      <c r="BC222" s="419"/>
      <c r="BD222" s="424"/>
      <c r="BE222" s="424"/>
      <c r="BF222" s="424"/>
      <c r="BG222" s="419"/>
      <c r="BH222" s="419"/>
      <c r="BI222" s="419"/>
      <c r="BJ222" s="419"/>
      <c r="BK222" s="419"/>
      <c r="BL222" s="419"/>
      <c r="BM222" s="419"/>
      <c r="BN222" s="419"/>
      <c r="BO222" s="419"/>
      <c r="BP222" s="403">
        <f t="shared" si="93"/>
        <v>38000000</v>
      </c>
      <c r="BQ222" s="403">
        <f t="shared" ref="BQ222:BQ250" si="94">+AA222+AD222+AG222+AJ222+AM222+AP222+AS222+AV222+AY222+BB222+BE222+BH222+BK222</f>
        <v>37887000</v>
      </c>
      <c r="BR222" s="403">
        <f t="shared" ref="BR222:BR250" si="95">+AB222+AE222+AH222+AK222+AN222+AQ222+AT222+AW222+AZ222+BC222+BF222+BI222+BL222</f>
        <v>23080000</v>
      </c>
      <c r="BS222" s="359" t="s">
        <v>1664</v>
      </c>
      <c r="BT222" s="5"/>
    </row>
    <row r="223" spans="1:72" ht="114.75" customHeight="1" x14ac:dyDescent="0.2">
      <c r="A223" s="327">
        <v>318</v>
      </c>
      <c r="B223" s="442" t="s">
        <v>1636</v>
      </c>
      <c r="C223" s="323">
        <v>1</v>
      </c>
      <c r="D223" s="417" t="s">
        <v>1622</v>
      </c>
      <c r="E223" s="323">
        <v>19</v>
      </c>
      <c r="F223" s="326" t="s">
        <v>147</v>
      </c>
      <c r="G223" s="323">
        <v>1905</v>
      </c>
      <c r="H223" s="326" t="s">
        <v>768</v>
      </c>
      <c r="I223" s="323">
        <v>1905</v>
      </c>
      <c r="J223" s="326" t="s">
        <v>1594</v>
      </c>
      <c r="K223" s="326" t="s">
        <v>998</v>
      </c>
      <c r="L223" s="323">
        <v>1905031</v>
      </c>
      <c r="M223" s="326" t="s">
        <v>1069</v>
      </c>
      <c r="N223" s="323">
        <v>1905031</v>
      </c>
      <c r="O223" s="326" t="s">
        <v>1069</v>
      </c>
      <c r="P223" s="323">
        <v>190503100</v>
      </c>
      <c r="Q223" s="326" t="s">
        <v>1070</v>
      </c>
      <c r="R223" s="323">
        <v>190503100</v>
      </c>
      <c r="S223" s="326" t="s">
        <v>1070</v>
      </c>
      <c r="T223" s="349" t="s">
        <v>1689</v>
      </c>
      <c r="U223" s="103">
        <v>12</v>
      </c>
      <c r="V223" s="103">
        <v>10</v>
      </c>
      <c r="W223" s="427" t="s">
        <v>1066</v>
      </c>
      <c r="X223" s="324" t="s">
        <v>1067</v>
      </c>
      <c r="Y223" s="324" t="s">
        <v>1068</v>
      </c>
      <c r="Z223" s="419"/>
      <c r="AA223" s="419"/>
      <c r="AB223" s="419"/>
      <c r="AC223" s="419"/>
      <c r="AD223" s="419"/>
      <c r="AE223" s="419"/>
      <c r="AF223" s="419"/>
      <c r="AG223" s="419"/>
      <c r="AH223" s="419"/>
      <c r="AI223" s="419"/>
      <c r="AJ223" s="419"/>
      <c r="AK223" s="419"/>
      <c r="AL223" s="419">
        <v>38000000</v>
      </c>
      <c r="AM223" s="419">
        <v>38000000</v>
      </c>
      <c r="AN223" s="419">
        <v>30620000</v>
      </c>
      <c r="AO223" s="419"/>
      <c r="AP223" s="419"/>
      <c r="AQ223" s="419"/>
      <c r="AR223" s="419"/>
      <c r="AS223" s="419"/>
      <c r="AT223" s="419"/>
      <c r="AU223" s="419"/>
      <c r="AV223" s="419"/>
      <c r="AW223" s="419"/>
      <c r="AX223" s="419"/>
      <c r="AY223" s="419"/>
      <c r="AZ223" s="419"/>
      <c r="BA223" s="419"/>
      <c r="BB223" s="419"/>
      <c r="BC223" s="419"/>
      <c r="BD223" s="424"/>
      <c r="BE223" s="424"/>
      <c r="BF223" s="424"/>
      <c r="BG223" s="419"/>
      <c r="BH223" s="419"/>
      <c r="BI223" s="419"/>
      <c r="BJ223" s="419"/>
      <c r="BK223" s="419"/>
      <c r="BL223" s="419"/>
      <c r="BM223" s="419"/>
      <c r="BN223" s="419"/>
      <c r="BO223" s="419"/>
      <c r="BP223" s="403">
        <f t="shared" si="93"/>
        <v>38000000</v>
      </c>
      <c r="BQ223" s="403">
        <f t="shared" si="94"/>
        <v>38000000</v>
      </c>
      <c r="BR223" s="403">
        <f t="shared" si="95"/>
        <v>30620000</v>
      </c>
      <c r="BS223" s="359" t="s">
        <v>1664</v>
      </c>
      <c r="BT223" s="5"/>
    </row>
    <row r="224" spans="1:72" s="33" customFormat="1" ht="73.5" customHeight="1" x14ac:dyDescent="0.2">
      <c r="A224" s="327">
        <v>318</v>
      </c>
      <c r="B224" s="442" t="s">
        <v>1636</v>
      </c>
      <c r="C224" s="323">
        <v>1</v>
      </c>
      <c r="D224" s="417" t="s">
        <v>1622</v>
      </c>
      <c r="E224" s="323">
        <v>19</v>
      </c>
      <c r="F224" s="326" t="s">
        <v>147</v>
      </c>
      <c r="G224" s="323">
        <v>1905</v>
      </c>
      <c r="H224" s="326" t="s">
        <v>768</v>
      </c>
      <c r="I224" s="323">
        <v>1905</v>
      </c>
      <c r="J224" s="326" t="s">
        <v>1594</v>
      </c>
      <c r="K224" s="326" t="s">
        <v>1071</v>
      </c>
      <c r="L224" s="323">
        <v>1905019</v>
      </c>
      <c r="M224" s="326" t="s">
        <v>1072</v>
      </c>
      <c r="N224" s="323">
        <v>1905019</v>
      </c>
      <c r="O224" s="326" t="s">
        <v>1072</v>
      </c>
      <c r="P224" s="323">
        <v>190501900</v>
      </c>
      <c r="Q224" s="326" t="s">
        <v>330</v>
      </c>
      <c r="R224" s="323">
        <v>190501900</v>
      </c>
      <c r="S224" s="326" t="s">
        <v>330</v>
      </c>
      <c r="T224" s="349" t="s">
        <v>1689</v>
      </c>
      <c r="U224" s="103">
        <v>60</v>
      </c>
      <c r="V224" s="103">
        <v>58</v>
      </c>
      <c r="W224" s="427" t="s">
        <v>1073</v>
      </c>
      <c r="X224" s="324" t="s">
        <v>1074</v>
      </c>
      <c r="Y224" s="324" t="s">
        <v>1075</v>
      </c>
      <c r="Z224" s="419"/>
      <c r="AA224" s="419"/>
      <c r="AB224" s="419"/>
      <c r="AC224" s="419"/>
      <c r="AD224" s="419"/>
      <c r="AE224" s="419"/>
      <c r="AF224" s="419"/>
      <c r="AG224" s="419"/>
      <c r="AH224" s="419"/>
      <c r="AI224" s="419"/>
      <c r="AJ224" s="419"/>
      <c r="AK224" s="419"/>
      <c r="AL224" s="490">
        <v>20000000</v>
      </c>
      <c r="AM224" s="490">
        <v>20000000</v>
      </c>
      <c r="AN224" s="490">
        <v>11345000</v>
      </c>
      <c r="AO224" s="419"/>
      <c r="AP224" s="419"/>
      <c r="AQ224" s="419"/>
      <c r="AR224" s="419"/>
      <c r="AS224" s="419"/>
      <c r="AT224" s="419"/>
      <c r="AU224" s="419"/>
      <c r="AV224" s="419"/>
      <c r="AW224" s="419"/>
      <c r="AX224" s="419"/>
      <c r="AY224" s="419"/>
      <c r="AZ224" s="419"/>
      <c r="BA224" s="419"/>
      <c r="BB224" s="419"/>
      <c r="BC224" s="419"/>
      <c r="BD224" s="424"/>
      <c r="BE224" s="424"/>
      <c r="BF224" s="424"/>
      <c r="BG224" s="419"/>
      <c r="BH224" s="419"/>
      <c r="BI224" s="419"/>
      <c r="BJ224" s="419"/>
      <c r="BK224" s="419"/>
      <c r="BL224" s="419"/>
      <c r="BM224" s="419"/>
      <c r="BN224" s="419"/>
      <c r="BO224" s="419"/>
      <c r="BP224" s="403">
        <f t="shared" si="93"/>
        <v>20000000</v>
      </c>
      <c r="BQ224" s="403">
        <f t="shared" si="94"/>
        <v>20000000</v>
      </c>
      <c r="BR224" s="403">
        <f t="shared" si="95"/>
        <v>11345000</v>
      </c>
      <c r="BS224" s="359" t="s">
        <v>1664</v>
      </c>
      <c r="BT224" s="346"/>
    </row>
    <row r="225" spans="1:72" ht="152.25" customHeight="1" x14ac:dyDescent="0.2">
      <c r="A225" s="327">
        <v>318</v>
      </c>
      <c r="B225" s="442" t="s">
        <v>1636</v>
      </c>
      <c r="C225" s="323">
        <v>1</v>
      </c>
      <c r="D225" s="417" t="s">
        <v>1622</v>
      </c>
      <c r="E225" s="323">
        <v>19</v>
      </c>
      <c r="F225" s="326" t="s">
        <v>147</v>
      </c>
      <c r="G225" s="323">
        <v>1905</v>
      </c>
      <c r="H225" s="326" t="s">
        <v>768</v>
      </c>
      <c r="I225" s="323">
        <v>1905</v>
      </c>
      <c r="J225" s="326" t="s">
        <v>1594</v>
      </c>
      <c r="K225" s="326" t="s">
        <v>1076</v>
      </c>
      <c r="L225" s="323" t="s">
        <v>1077</v>
      </c>
      <c r="M225" s="326" t="s">
        <v>1078</v>
      </c>
      <c r="N225" s="483">
        <v>1905031</v>
      </c>
      <c r="O225" s="326" t="s">
        <v>1079</v>
      </c>
      <c r="P225" s="323" t="s">
        <v>41</v>
      </c>
      <c r="Q225" s="326" t="s">
        <v>1080</v>
      </c>
      <c r="R225" s="323">
        <v>190503100</v>
      </c>
      <c r="S225" s="326" t="s">
        <v>1081</v>
      </c>
      <c r="T225" s="349" t="s">
        <v>1689</v>
      </c>
      <c r="U225" s="103">
        <v>11</v>
      </c>
      <c r="V225" s="103">
        <v>9</v>
      </c>
      <c r="W225" s="427" t="s">
        <v>1073</v>
      </c>
      <c r="X225" s="324" t="s">
        <v>1074</v>
      </c>
      <c r="Y225" s="324" t="s">
        <v>1075</v>
      </c>
      <c r="Z225" s="419"/>
      <c r="AA225" s="419"/>
      <c r="AB225" s="419"/>
      <c r="AC225" s="419"/>
      <c r="AD225" s="419"/>
      <c r="AE225" s="419"/>
      <c r="AF225" s="419"/>
      <c r="AG225" s="419"/>
      <c r="AH225" s="419"/>
      <c r="AI225" s="419"/>
      <c r="AJ225" s="419"/>
      <c r="AK225" s="419"/>
      <c r="AL225" s="490">
        <v>20000000</v>
      </c>
      <c r="AM225" s="490">
        <v>19800000</v>
      </c>
      <c r="AN225" s="490">
        <v>19800000</v>
      </c>
      <c r="AO225" s="419"/>
      <c r="AP225" s="419"/>
      <c r="AQ225" s="419"/>
      <c r="AR225" s="419"/>
      <c r="AS225" s="419"/>
      <c r="AT225" s="419"/>
      <c r="AU225" s="419"/>
      <c r="AV225" s="419"/>
      <c r="AW225" s="419"/>
      <c r="AX225" s="419"/>
      <c r="AY225" s="419"/>
      <c r="AZ225" s="419"/>
      <c r="BA225" s="419"/>
      <c r="BB225" s="419"/>
      <c r="BC225" s="419"/>
      <c r="BD225" s="424"/>
      <c r="BE225" s="424"/>
      <c r="BF225" s="424"/>
      <c r="BG225" s="419"/>
      <c r="BH225" s="419"/>
      <c r="BI225" s="419"/>
      <c r="BJ225" s="419"/>
      <c r="BK225" s="419"/>
      <c r="BL225" s="419"/>
      <c r="BM225" s="419"/>
      <c r="BN225" s="419"/>
      <c r="BO225" s="419"/>
      <c r="BP225" s="403">
        <f t="shared" si="93"/>
        <v>20000000</v>
      </c>
      <c r="BQ225" s="403">
        <f t="shared" si="94"/>
        <v>19800000</v>
      </c>
      <c r="BR225" s="403">
        <f t="shared" si="95"/>
        <v>19800000</v>
      </c>
      <c r="BS225" s="359" t="s">
        <v>1664</v>
      </c>
      <c r="BT225" s="5"/>
    </row>
    <row r="226" spans="1:72" ht="112.5" customHeight="1" x14ac:dyDescent="0.2">
      <c r="A226" s="327">
        <v>318</v>
      </c>
      <c r="B226" s="442" t="s">
        <v>1636</v>
      </c>
      <c r="C226" s="323">
        <v>1</v>
      </c>
      <c r="D226" s="417" t="s">
        <v>1622</v>
      </c>
      <c r="E226" s="323">
        <v>19</v>
      </c>
      <c r="F226" s="326" t="s">
        <v>147</v>
      </c>
      <c r="G226" s="323">
        <v>1905</v>
      </c>
      <c r="H226" s="326" t="s">
        <v>768</v>
      </c>
      <c r="I226" s="323">
        <v>1905</v>
      </c>
      <c r="J226" s="326" t="s">
        <v>1594</v>
      </c>
      <c r="K226" s="326" t="s">
        <v>1082</v>
      </c>
      <c r="L226" s="323" t="s">
        <v>41</v>
      </c>
      <c r="M226" s="326" t="s">
        <v>1688</v>
      </c>
      <c r="N226" s="483">
        <v>1905015</v>
      </c>
      <c r="O226" s="326" t="s">
        <v>233</v>
      </c>
      <c r="P226" s="323" t="s">
        <v>41</v>
      </c>
      <c r="Q226" s="326" t="s">
        <v>1083</v>
      </c>
      <c r="R226" s="323">
        <v>190501500</v>
      </c>
      <c r="S226" s="326" t="s">
        <v>235</v>
      </c>
      <c r="T226" s="349" t="s">
        <v>1689</v>
      </c>
      <c r="U226" s="103">
        <v>1</v>
      </c>
      <c r="V226" s="103">
        <v>1</v>
      </c>
      <c r="W226" s="427" t="s">
        <v>1073</v>
      </c>
      <c r="X226" s="324" t="s">
        <v>1074</v>
      </c>
      <c r="Y226" s="324" t="s">
        <v>1075</v>
      </c>
      <c r="Z226" s="419"/>
      <c r="AA226" s="419"/>
      <c r="AB226" s="419"/>
      <c r="AC226" s="419"/>
      <c r="AD226" s="419"/>
      <c r="AE226" s="419"/>
      <c r="AF226" s="419"/>
      <c r="AG226" s="419"/>
      <c r="AH226" s="419"/>
      <c r="AI226" s="419"/>
      <c r="AJ226" s="419"/>
      <c r="AK226" s="419"/>
      <c r="AL226" s="490">
        <v>20000000</v>
      </c>
      <c r="AM226" s="490">
        <v>20000000</v>
      </c>
      <c r="AN226" s="490">
        <v>14620000</v>
      </c>
      <c r="AO226" s="419"/>
      <c r="AP226" s="419"/>
      <c r="AQ226" s="419"/>
      <c r="AR226" s="419"/>
      <c r="AS226" s="419"/>
      <c r="AT226" s="419"/>
      <c r="AU226" s="419"/>
      <c r="AV226" s="419"/>
      <c r="AW226" s="419"/>
      <c r="AX226" s="419"/>
      <c r="AY226" s="419"/>
      <c r="AZ226" s="419"/>
      <c r="BA226" s="419"/>
      <c r="BB226" s="419"/>
      <c r="BC226" s="419"/>
      <c r="BD226" s="424"/>
      <c r="BE226" s="424"/>
      <c r="BF226" s="424"/>
      <c r="BG226" s="419"/>
      <c r="BH226" s="419"/>
      <c r="BI226" s="419"/>
      <c r="BJ226" s="419"/>
      <c r="BK226" s="419"/>
      <c r="BL226" s="419"/>
      <c r="BM226" s="419"/>
      <c r="BN226" s="419"/>
      <c r="BO226" s="419"/>
      <c r="BP226" s="403">
        <f t="shared" si="93"/>
        <v>20000000</v>
      </c>
      <c r="BQ226" s="403">
        <f t="shared" si="94"/>
        <v>20000000</v>
      </c>
      <c r="BR226" s="403">
        <f t="shared" si="95"/>
        <v>14620000</v>
      </c>
      <c r="BS226" s="359" t="s">
        <v>1664</v>
      </c>
      <c r="BT226" s="5"/>
    </row>
    <row r="227" spans="1:72" ht="120.75" customHeight="1" x14ac:dyDescent="0.2">
      <c r="A227" s="327">
        <v>318</v>
      </c>
      <c r="B227" s="442" t="s">
        <v>1636</v>
      </c>
      <c r="C227" s="323">
        <v>1</v>
      </c>
      <c r="D227" s="417" t="s">
        <v>1622</v>
      </c>
      <c r="E227" s="323">
        <v>19</v>
      </c>
      <c r="F227" s="326" t="s">
        <v>147</v>
      </c>
      <c r="G227" s="323">
        <v>1905</v>
      </c>
      <c r="H227" s="326" t="s">
        <v>768</v>
      </c>
      <c r="I227" s="323">
        <v>1905</v>
      </c>
      <c r="J227" s="326" t="s">
        <v>1594</v>
      </c>
      <c r="K227" s="326" t="s">
        <v>1001</v>
      </c>
      <c r="L227" s="323" t="s">
        <v>41</v>
      </c>
      <c r="M227" s="326" t="s">
        <v>1084</v>
      </c>
      <c r="N227" s="483">
        <v>1905024</v>
      </c>
      <c r="O227" s="326" t="s">
        <v>1085</v>
      </c>
      <c r="P227" s="323" t="s">
        <v>41</v>
      </c>
      <c r="Q227" s="326" t="s">
        <v>1086</v>
      </c>
      <c r="R227" s="323">
        <v>190502400</v>
      </c>
      <c r="S227" s="443" t="s">
        <v>1087</v>
      </c>
      <c r="T227" s="349" t="s">
        <v>1691</v>
      </c>
      <c r="U227" s="103">
        <v>3</v>
      </c>
      <c r="V227" s="103">
        <v>2</v>
      </c>
      <c r="W227" s="427" t="s">
        <v>1073</v>
      </c>
      <c r="X227" s="324" t="s">
        <v>1074</v>
      </c>
      <c r="Y227" s="324" t="s">
        <v>1075</v>
      </c>
      <c r="Z227" s="419"/>
      <c r="AA227" s="419"/>
      <c r="AB227" s="419"/>
      <c r="AC227" s="419"/>
      <c r="AD227" s="419"/>
      <c r="AE227" s="419"/>
      <c r="AF227" s="419"/>
      <c r="AG227" s="419"/>
      <c r="AH227" s="419"/>
      <c r="AI227" s="419"/>
      <c r="AJ227" s="419"/>
      <c r="AK227" s="419"/>
      <c r="AL227" s="490">
        <f>64000000+17000000</f>
        <v>81000000</v>
      </c>
      <c r="AM227" s="490">
        <v>72500000</v>
      </c>
      <c r="AN227" s="490">
        <v>57700000</v>
      </c>
      <c r="AO227" s="419"/>
      <c r="AP227" s="419"/>
      <c r="AQ227" s="419"/>
      <c r="AR227" s="419"/>
      <c r="AS227" s="419"/>
      <c r="AT227" s="419"/>
      <c r="AU227" s="419"/>
      <c r="AV227" s="419"/>
      <c r="AW227" s="419"/>
      <c r="AX227" s="419"/>
      <c r="AY227" s="419"/>
      <c r="AZ227" s="419"/>
      <c r="BA227" s="419"/>
      <c r="BB227" s="419"/>
      <c r="BC227" s="419"/>
      <c r="BD227" s="424"/>
      <c r="BE227" s="424"/>
      <c r="BF227" s="424"/>
      <c r="BG227" s="419"/>
      <c r="BH227" s="419"/>
      <c r="BI227" s="419"/>
      <c r="BJ227" s="419"/>
      <c r="BK227" s="419"/>
      <c r="BL227" s="419"/>
      <c r="BM227" s="419"/>
      <c r="BN227" s="419"/>
      <c r="BO227" s="419"/>
      <c r="BP227" s="403">
        <f t="shared" si="93"/>
        <v>81000000</v>
      </c>
      <c r="BQ227" s="403">
        <f t="shared" si="94"/>
        <v>72500000</v>
      </c>
      <c r="BR227" s="403">
        <f t="shared" si="95"/>
        <v>57700000</v>
      </c>
      <c r="BS227" s="359" t="s">
        <v>1664</v>
      </c>
      <c r="BT227" s="5"/>
    </row>
    <row r="228" spans="1:72" ht="78" customHeight="1" x14ac:dyDescent="0.2">
      <c r="A228" s="327">
        <v>318</v>
      </c>
      <c r="B228" s="442" t="s">
        <v>1636</v>
      </c>
      <c r="C228" s="323">
        <v>1</v>
      </c>
      <c r="D228" s="417" t="s">
        <v>1622</v>
      </c>
      <c r="E228" s="323">
        <v>19</v>
      </c>
      <c r="F228" s="326" t="s">
        <v>147</v>
      </c>
      <c r="G228" s="323">
        <v>1905</v>
      </c>
      <c r="H228" s="326" t="s">
        <v>768</v>
      </c>
      <c r="I228" s="323">
        <v>1905</v>
      </c>
      <c r="J228" s="326" t="s">
        <v>1594</v>
      </c>
      <c r="K228" s="326" t="s">
        <v>1088</v>
      </c>
      <c r="L228" s="323" t="s">
        <v>41</v>
      </c>
      <c r="M228" s="326" t="s">
        <v>1089</v>
      </c>
      <c r="N228" s="483">
        <v>1905015</v>
      </c>
      <c r="O228" s="326" t="s">
        <v>233</v>
      </c>
      <c r="P228" s="323" t="s">
        <v>41</v>
      </c>
      <c r="Q228" s="326" t="s">
        <v>1090</v>
      </c>
      <c r="R228" s="323">
        <v>190501500</v>
      </c>
      <c r="S228" s="443" t="s">
        <v>235</v>
      </c>
      <c r="T228" s="349" t="s">
        <v>1691</v>
      </c>
      <c r="U228" s="103">
        <v>4</v>
      </c>
      <c r="V228" s="103">
        <v>1</v>
      </c>
      <c r="W228" s="427" t="s">
        <v>1073</v>
      </c>
      <c r="X228" s="324" t="s">
        <v>1074</v>
      </c>
      <c r="Y228" s="324" t="s">
        <v>1075</v>
      </c>
      <c r="Z228" s="419"/>
      <c r="AA228" s="419"/>
      <c r="AB228" s="419"/>
      <c r="AC228" s="419"/>
      <c r="AD228" s="419"/>
      <c r="AE228" s="419"/>
      <c r="AF228" s="419"/>
      <c r="AG228" s="419"/>
      <c r="AH228" s="419"/>
      <c r="AI228" s="419"/>
      <c r="AJ228" s="419"/>
      <c r="AK228" s="419"/>
      <c r="AL228" s="490">
        <f>20000000-17000000</f>
        <v>3000000</v>
      </c>
      <c r="AM228" s="490"/>
      <c r="AN228" s="490"/>
      <c r="AO228" s="419"/>
      <c r="AP228" s="419"/>
      <c r="AQ228" s="419"/>
      <c r="AR228" s="419"/>
      <c r="AS228" s="419"/>
      <c r="AT228" s="419"/>
      <c r="AU228" s="419"/>
      <c r="AV228" s="419"/>
      <c r="AW228" s="419"/>
      <c r="AX228" s="419"/>
      <c r="AY228" s="419"/>
      <c r="AZ228" s="419"/>
      <c r="BA228" s="419"/>
      <c r="BB228" s="419"/>
      <c r="BC228" s="419"/>
      <c r="BD228" s="424"/>
      <c r="BE228" s="424"/>
      <c r="BF228" s="424"/>
      <c r="BG228" s="419"/>
      <c r="BH228" s="419"/>
      <c r="BI228" s="419"/>
      <c r="BJ228" s="419"/>
      <c r="BK228" s="419"/>
      <c r="BL228" s="419"/>
      <c r="BM228" s="419"/>
      <c r="BN228" s="419"/>
      <c r="BO228" s="419"/>
      <c r="BP228" s="403">
        <f t="shared" si="93"/>
        <v>3000000</v>
      </c>
      <c r="BQ228" s="403">
        <f t="shared" si="94"/>
        <v>0</v>
      </c>
      <c r="BR228" s="403">
        <f t="shared" si="95"/>
        <v>0</v>
      </c>
      <c r="BS228" s="359" t="s">
        <v>1664</v>
      </c>
      <c r="BT228" s="5"/>
    </row>
    <row r="229" spans="1:72" ht="126.75" customHeight="1" x14ac:dyDescent="0.2">
      <c r="A229" s="327">
        <v>318</v>
      </c>
      <c r="B229" s="442" t="s">
        <v>1636</v>
      </c>
      <c r="C229" s="323">
        <v>1</v>
      </c>
      <c r="D229" s="417" t="s">
        <v>1622</v>
      </c>
      <c r="E229" s="323">
        <v>19</v>
      </c>
      <c r="F229" s="326" t="s">
        <v>147</v>
      </c>
      <c r="G229" s="323">
        <v>1905</v>
      </c>
      <c r="H229" s="326" t="s">
        <v>768</v>
      </c>
      <c r="I229" s="323">
        <v>1905</v>
      </c>
      <c r="J229" s="326" t="s">
        <v>1594</v>
      </c>
      <c r="K229" s="326" t="s">
        <v>1001</v>
      </c>
      <c r="L229" s="323" t="s">
        <v>41</v>
      </c>
      <c r="M229" s="326" t="s">
        <v>1091</v>
      </c>
      <c r="N229" s="483">
        <v>1905024</v>
      </c>
      <c r="O229" s="326" t="s">
        <v>1085</v>
      </c>
      <c r="P229" s="323" t="s">
        <v>41</v>
      </c>
      <c r="Q229" s="443" t="s">
        <v>1092</v>
      </c>
      <c r="R229" s="422">
        <v>190502400</v>
      </c>
      <c r="S229" s="443" t="s">
        <v>1087</v>
      </c>
      <c r="T229" s="349" t="s">
        <v>1689</v>
      </c>
      <c r="U229" s="103">
        <v>12</v>
      </c>
      <c r="V229" s="103">
        <v>4</v>
      </c>
      <c r="W229" s="427" t="s">
        <v>1073</v>
      </c>
      <c r="X229" s="324" t="s">
        <v>1074</v>
      </c>
      <c r="Y229" s="324" t="s">
        <v>1075</v>
      </c>
      <c r="Z229" s="419"/>
      <c r="AA229" s="419"/>
      <c r="AB229" s="419"/>
      <c r="AC229" s="419"/>
      <c r="AD229" s="419"/>
      <c r="AE229" s="419"/>
      <c r="AF229" s="419"/>
      <c r="AG229" s="419"/>
      <c r="AH229" s="419"/>
      <c r="AI229" s="419"/>
      <c r="AJ229" s="419"/>
      <c r="AK229" s="419"/>
      <c r="AL229" s="490">
        <v>28000000</v>
      </c>
      <c r="AM229" s="490">
        <v>20000000</v>
      </c>
      <c r="AN229" s="490">
        <v>11540000</v>
      </c>
      <c r="AO229" s="419"/>
      <c r="AP229" s="419"/>
      <c r="AQ229" s="419"/>
      <c r="AR229" s="419"/>
      <c r="AS229" s="419"/>
      <c r="AT229" s="419"/>
      <c r="AU229" s="419"/>
      <c r="AV229" s="419"/>
      <c r="AW229" s="419"/>
      <c r="AX229" s="419"/>
      <c r="AY229" s="419"/>
      <c r="AZ229" s="419"/>
      <c r="BA229" s="419"/>
      <c r="BB229" s="419"/>
      <c r="BC229" s="419"/>
      <c r="BD229" s="424"/>
      <c r="BE229" s="424"/>
      <c r="BF229" s="424"/>
      <c r="BG229" s="419"/>
      <c r="BH229" s="419"/>
      <c r="BI229" s="419"/>
      <c r="BJ229" s="419"/>
      <c r="BK229" s="419"/>
      <c r="BL229" s="419"/>
      <c r="BM229" s="419"/>
      <c r="BN229" s="419"/>
      <c r="BO229" s="419"/>
      <c r="BP229" s="403">
        <f t="shared" si="93"/>
        <v>28000000</v>
      </c>
      <c r="BQ229" s="403">
        <f t="shared" si="94"/>
        <v>20000000</v>
      </c>
      <c r="BR229" s="403">
        <f t="shared" si="95"/>
        <v>11540000</v>
      </c>
      <c r="BS229" s="359" t="s">
        <v>1664</v>
      </c>
      <c r="BT229" s="5"/>
    </row>
    <row r="230" spans="1:72" ht="127.5" customHeight="1" x14ac:dyDescent="0.2">
      <c r="A230" s="327">
        <v>318</v>
      </c>
      <c r="B230" s="442" t="s">
        <v>1636</v>
      </c>
      <c r="C230" s="323">
        <v>1</v>
      </c>
      <c r="D230" s="417" t="s">
        <v>1622</v>
      </c>
      <c r="E230" s="323">
        <v>19</v>
      </c>
      <c r="F230" s="326" t="s">
        <v>147</v>
      </c>
      <c r="G230" s="323">
        <v>1905</v>
      </c>
      <c r="H230" s="326" t="s">
        <v>768</v>
      </c>
      <c r="I230" s="323">
        <v>1905</v>
      </c>
      <c r="J230" s="326" t="s">
        <v>1594</v>
      </c>
      <c r="K230" s="326" t="s">
        <v>1040</v>
      </c>
      <c r="L230" s="323" t="s">
        <v>41</v>
      </c>
      <c r="M230" s="326" t="s">
        <v>1093</v>
      </c>
      <c r="N230" s="483">
        <v>1905024</v>
      </c>
      <c r="O230" s="326" t="s">
        <v>1085</v>
      </c>
      <c r="P230" s="323" t="s">
        <v>41</v>
      </c>
      <c r="Q230" s="443" t="s">
        <v>1094</v>
      </c>
      <c r="R230" s="422">
        <v>190502401</v>
      </c>
      <c r="S230" s="443" t="s">
        <v>1095</v>
      </c>
      <c r="T230" s="349" t="s">
        <v>1691</v>
      </c>
      <c r="U230" s="103">
        <v>4</v>
      </c>
      <c r="V230" s="103">
        <v>4</v>
      </c>
      <c r="W230" s="427" t="s">
        <v>1073</v>
      </c>
      <c r="X230" s="324" t="s">
        <v>1074</v>
      </c>
      <c r="Y230" s="324" t="s">
        <v>1075</v>
      </c>
      <c r="Z230" s="419"/>
      <c r="AA230" s="419"/>
      <c r="AB230" s="419"/>
      <c r="AC230" s="419"/>
      <c r="AD230" s="419"/>
      <c r="AE230" s="419"/>
      <c r="AF230" s="419"/>
      <c r="AG230" s="419"/>
      <c r="AH230" s="419"/>
      <c r="AI230" s="419"/>
      <c r="AJ230" s="419"/>
      <c r="AK230" s="419"/>
      <c r="AL230" s="490">
        <v>28000000</v>
      </c>
      <c r="AM230" s="490">
        <v>19155000</v>
      </c>
      <c r="AN230" s="490">
        <v>16075000</v>
      </c>
      <c r="AO230" s="419"/>
      <c r="AP230" s="419"/>
      <c r="AQ230" s="419"/>
      <c r="AR230" s="419"/>
      <c r="AS230" s="419"/>
      <c r="AT230" s="419"/>
      <c r="AU230" s="419"/>
      <c r="AV230" s="419"/>
      <c r="AW230" s="419"/>
      <c r="AX230" s="419"/>
      <c r="AY230" s="419"/>
      <c r="AZ230" s="419"/>
      <c r="BA230" s="419"/>
      <c r="BB230" s="419"/>
      <c r="BC230" s="419"/>
      <c r="BD230" s="424"/>
      <c r="BE230" s="424"/>
      <c r="BF230" s="424"/>
      <c r="BG230" s="419"/>
      <c r="BH230" s="419"/>
      <c r="BI230" s="419"/>
      <c r="BJ230" s="419"/>
      <c r="BK230" s="419"/>
      <c r="BL230" s="419"/>
      <c r="BM230" s="419"/>
      <c r="BN230" s="419"/>
      <c r="BO230" s="419"/>
      <c r="BP230" s="403">
        <f t="shared" si="93"/>
        <v>28000000</v>
      </c>
      <c r="BQ230" s="403">
        <f t="shared" si="94"/>
        <v>19155000</v>
      </c>
      <c r="BR230" s="403">
        <f t="shared" si="95"/>
        <v>16075000</v>
      </c>
      <c r="BS230" s="359" t="s">
        <v>1664</v>
      </c>
      <c r="BT230" s="5"/>
    </row>
    <row r="231" spans="1:72" ht="171" customHeight="1" x14ac:dyDescent="0.2">
      <c r="A231" s="327">
        <v>318</v>
      </c>
      <c r="B231" s="442" t="s">
        <v>1636</v>
      </c>
      <c r="C231" s="323">
        <v>1</v>
      </c>
      <c r="D231" s="417" t="s">
        <v>1622</v>
      </c>
      <c r="E231" s="323">
        <v>19</v>
      </c>
      <c r="F231" s="326" t="s">
        <v>147</v>
      </c>
      <c r="G231" s="323">
        <v>1905</v>
      </c>
      <c r="H231" s="326" t="s">
        <v>768</v>
      </c>
      <c r="I231" s="323">
        <v>1905</v>
      </c>
      <c r="J231" s="326" t="s">
        <v>1594</v>
      </c>
      <c r="K231" s="326" t="s">
        <v>769</v>
      </c>
      <c r="L231" s="323">
        <v>1905021</v>
      </c>
      <c r="M231" s="326" t="s">
        <v>770</v>
      </c>
      <c r="N231" s="323">
        <v>1905021</v>
      </c>
      <c r="O231" s="326" t="s">
        <v>770</v>
      </c>
      <c r="P231" s="422">
        <v>190502100</v>
      </c>
      <c r="Q231" s="443" t="s">
        <v>771</v>
      </c>
      <c r="R231" s="422">
        <v>190502100</v>
      </c>
      <c r="S231" s="443" t="s">
        <v>771</v>
      </c>
      <c r="T231" s="349" t="s">
        <v>1689</v>
      </c>
      <c r="U231" s="103">
        <v>12</v>
      </c>
      <c r="V231" s="103">
        <v>12</v>
      </c>
      <c r="W231" s="427" t="s">
        <v>1096</v>
      </c>
      <c r="X231" s="324" t="s">
        <v>1097</v>
      </c>
      <c r="Y231" s="324" t="s">
        <v>1098</v>
      </c>
      <c r="Z231" s="419"/>
      <c r="AA231" s="419"/>
      <c r="AB231" s="419"/>
      <c r="AC231" s="419"/>
      <c r="AD231" s="419"/>
      <c r="AE231" s="419"/>
      <c r="AF231" s="419"/>
      <c r="AG231" s="419"/>
      <c r="AH231" s="419"/>
      <c r="AI231" s="419"/>
      <c r="AJ231" s="419"/>
      <c r="AK231" s="419"/>
      <c r="AL231" s="490">
        <v>105000000</v>
      </c>
      <c r="AM231" s="490">
        <v>71692500</v>
      </c>
      <c r="AN231" s="490">
        <v>31735000</v>
      </c>
      <c r="AO231" s="419"/>
      <c r="AP231" s="419"/>
      <c r="AQ231" s="419"/>
      <c r="AR231" s="419"/>
      <c r="AS231" s="419"/>
      <c r="AT231" s="419"/>
      <c r="AU231" s="419"/>
      <c r="AV231" s="419"/>
      <c r="AW231" s="419"/>
      <c r="AX231" s="419"/>
      <c r="AY231" s="419"/>
      <c r="AZ231" s="419"/>
      <c r="BA231" s="419"/>
      <c r="BB231" s="419"/>
      <c r="BC231" s="419"/>
      <c r="BD231" s="424"/>
      <c r="BE231" s="424"/>
      <c r="BF231" s="424"/>
      <c r="BG231" s="419"/>
      <c r="BH231" s="419"/>
      <c r="BI231" s="419"/>
      <c r="BJ231" s="419"/>
      <c r="BK231" s="419"/>
      <c r="BL231" s="419"/>
      <c r="BM231" s="419"/>
      <c r="BN231" s="419"/>
      <c r="BO231" s="419"/>
      <c r="BP231" s="403">
        <f t="shared" si="93"/>
        <v>105000000</v>
      </c>
      <c r="BQ231" s="403">
        <f t="shared" si="94"/>
        <v>71692500</v>
      </c>
      <c r="BR231" s="403">
        <f t="shared" si="95"/>
        <v>31735000</v>
      </c>
      <c r="BS231" s="359" t="s">
        <v>1664</v>
      </c>
      <c r="BT231" s="5"/>
    </row>
    <row r="232" spans="1:72" ht="156" customHeight="1" x14ac:dyDescent="0.2">
      <c r="A232" s="327">
        <v>318</v>
      </c>
      <c r="B232" s="442" t="s">
        <v>1636</v>
      </c>
      <c r="C232" s="323">
        <v>1</v>
      </c>
      <c r="D232" s="417" t="s">
        <v>1622</v>
      </c>
      <c r="E232" s="323">
        <v>19</v>
      </c>
      <c r="F232" s="326" t="s">
        <v>147</v>
      </c>
      <c r="G232" s="323">
        <v>1905</v>
      </c>
      <c r="H232" s="326" t="s">
        <v>768</v>
      </c>
      <c r="I232" s="323">
        <v>1905</v>
      </c>
      <c r="J232" s="326" t="s">
        <v>1594</v>
      </c>
      <c r="K232" s="326" t="s">
        <v>1076</v>
      </c>
      <c r="L232" s="323" t="s">
        <v>41</v>
      </c>
      <c r="M232" s="326" t="s">
        <v>1099</v>
      </c>
      <c r="N232" s="483">
        <v>1905021</v>
      </c>
      <c r="O232" s="326" t="s">
        <v>1100</v>
      </c>
      <c r="P232" s="323" t="s">
        <v>41</v>
      </c>
      <c r="Q232" s="326" t="s">
        <v>1080</v>
      </c>
      <c r="R232" s="323">
        <v>190502100</v>
      </c>
      <c r="S232" s="326" t="s">
        <v>1101</v>
      </c>
      <c r="T232" s="349" t="s">
        <v>1689</v>
      </c>
      <c r="U232" s="103">
        <v>11</v>
      </c>
      <c r="V232" s="103">
        <v>10</v>
      </c>
      <c r="W232" s="427" t="s">
        <v>1096</v>
      </c>
      <c r="X232" s="324" t="s">
        <v>1097</v>
      </c>
      <c r="Y232" s="324" t="s">
        <v>1098</v>
      </c>
      <c r="Z232" s="419"/>
      <c r="AA232" s="419"/>
      <c r="AB232" s="419"/>
      <c r="AC232" s="419"/>
      <c r="AD232" s="419"/>
      <c r="AE232" s="419"/>
      <c r="AF232" s="419"/>
      <c r="AG232" s="419"/>
      <c r="AH232" s="419"/>
      <c r="AI232" s="419"/>
      <c r="AJ232" s="419"/>
      <c r="AK232" s="419"/>
      <c r="AL232" s="490">
        <v>56000000</v>
      </c>
      <c r="AM232" s="490">
        <v>50907500</v>
      </c>
      <c r="AN232" s="490">
        <v>36040000</v>
      </c>
      <c r="AO232" s="419"/>
      <c r="AP232" s="419"/>
      <c r="AQ232" s="419"/>
      <c r="AR232" s="419"/>
      <c r="AS232" s="419"/>
      <c r="AT232" s="419"/>
      <c r="AU232" s="419"/>
      <c r="AV232" s="419"/>
      <c r="AW232" s="419"/>
      <c r="AX232" s="419"/>
      <c r="AY232" s="419"/>
      <c r="AZ232" s="419"/>
      <c r="BA232" s="419"/>
      <c r="BB232" s="419"/>
      <c r="BC232" s="419"/>
      <c r="BD232" s="424"/>
      <c r="BE232" s="424"/>
      <c r="BF232" s="424"/>
      <c r="BG232" s="419"/>
      <c r="BH232" s="419"/>
      <c r="BI232" s="419"/>
      <c r="BJ232" s="419"/>
      <c r="BK232" s="419"/>
      <c r="BL232" s="419"/>
      <c r="BM232" s="419"/>
      <c r="BN232" s="419"/>
      <c r="BO232" s="419"/>
      <c r="BP232" s="403">
        <f t="shared" si="93"/>
        <v>56000000</v>
      </c>
      <c r="BQ232" s="403">
        <f t="shared" si="94"/>
        <v>50907500</v>
      </c>
      <c r="BR232" s="403">
        <f t="shared" si="95"/>
        <v>36040000</v>
      </c>
      <c r="BS232" s="359" t="s">
        <v>1664</v>
      </c>
      <c r="BT232" s="5"/>
    </row>
    <row r="233" spans="1:72" ht="129.75" customHeight="1" x14ac:dyDescent="0.2">
      <c r="A233" s="327">
        <v>318</v>
      </c>
      <c r="B233" s="442" t="s">
        <v>1636</v>
      </c>
      <c r="C233" s="323">
        <v>1</v>
      </c>
      <c r="D233" s="417" t="s">
        <v>1622</v>
      </c>
      <c r="E233" s="323">
        <v>19</v>
      </c>
      <c r="F233" s="326" t="s">
        <v>147</v>
      </c>
      <c r="G233" s="323">
        <v>1905</v>
      </c>
      <c r="H233" s="326" t="s">
        <v>768</v>
      </c>
      <c r="I233" s="323">
        <v>1905</v>
      </c>
      <c r="J233" s="326" t="s">
        <v>1594</v>
      </c>
      <c r="K233" s="326" t="s">
        <v>1023</v>
      </c>
      <c r="L233" s="327">
        <v>1905020</v>
      </c>
      <c r="M233" s="326" t="s">
        <v>1102</v>
      </c>
      <c r="N233" s="327">
        <v>1905020</v>
      </c>
      <c r="O233" s="326" t="s">
        <v>1102</v>
      </c>
      <c r="P233" s="422">
        <v>190502000</v>
      </c>
      <c r="Q233" s="326" t="s">
        <v>1103</v>
      </c>
      <c r="R233" s="422">
        <v>190502000</v>
      </c>
      <c r="S233" s="326" t="s">
        <v>1103</v>
      </c>
      <c r="T233" s="349" t="s">
        <v>1689</v>
      </c>
      <c r="U233" s="103">
        <v>12</v>
      </c>
      <c r="V233" s="103">
        <v>9</v>
      </c>
      <c r="W233" s="427" t="s">
        <v>1104</v>
      </c>
      <c r="X233" s="324" t="s">
        <v>1105</v>
      </c>
      <c r="Y233" s="324" t="s">
        <v>1106</v>
      </c>
      <c r="Z233" s="419"/>
      <c r="AA233" s="419"/>
      <c r="AB233" s="419"/>
      <c r="AC233" s="419"/>
      <c r="AD233" s="419"/>
      <c r="AE233" s="419"/>
      <c r="AF233" s="419"/>
      <c r="AG233" s="419"/>
      <c r="AH233" s="419"/>
      <c r="AI233" s="419"/>
      <c r="AJ233" s="419"/>
      <c r="AK233" s="419"/>
      <c r="AL233" s="491">
        <v>38000000</v>
      </c>
      <c r="AM233" s="491">
        <v>31400000</v>
      </c>
      <c r="AN233" s="491">
        <v>20100000</v>
      </c>
      <c r="AO233" s="419"/>
      <c r="AP233" s="419"/>
      <c r="AQ233" s="419"/>
      <c r="AR233" s="419"/>
      <c r="AS233" s="419"/>
      <c r="AT233" s="419"/>
      <c r="AU233" s="419"/>
      <c r="AV233" s="419"/>
      <c r="AW233" s="419"/>
      <c r="AX233" s="419"/>
      <c r="AY233" s="419"/>
      <c r="AZ233" s="419"/>
      <c r="BA233" s="419"/>
      <c r="BB233" s="419"/>
      <c r="BC233" s="419"/>
      <c r="BD233" s="424"/>
      <c r="BE233" s="424"/>
      <c r="BF233" s="424"/>
      <c r="BG233" s="419"/>
      <c r="BH233" s="419"/>
      <c r="BI233" s="419"/>
      <c r="BJ233" s="419"/>
      <c r="BK233" s="419"/>
      <c r="BL233" s="419"/>
      <c r="BM233" s="419"/>
      <c r="BN233" s="419"/>
      <c r="BO233" s="419"/>
      <c r="BP233" s="403">
        <f t="shared" si="93"/>
        <v>38000000</v>
      </c>
      <c r="BQ233" s="403">
        <f t="shared" si="94"/>
        <v>31400000</v>
      </c>
      <c r="BR233" s="403">
        <f t="shared" si="95"/>
        <v>20100000</v>
      </c>
      <c r="BS233" s="359" t="s">
        <v>1664</v>
      </c>
      <c r="BT233" s="5"/>
    </row>
    <row r="234" spans="1:72" ht="183" customHeight="1" x14ac:dyDescent="0.2">
      <c r="A234" s="327">
        <v>318</v>
      </c>
      <c r="B234" s="442" t="s">
        <v>1636</v>
      </c>
      <c r="C234" s="323">
        <v>1</v>
      </c>
      <c r="D234" s="417" t="s">
        <v>1622</v>
      </c>
      <c r="E234" s="323">
        <v>19</v>
      </c>
      <c r="F234" s="326" t="s">
        <v>147</v>
      </c>
      <c r="G234" s="323">
        <v>1905</v>
      </c>
      <c r="H234" s="326" t="s">
        <v>768</v>
      </c>
      <c r="I234" s="323">
        <v>1905</v>
      </c>
      <c r="J234" s="326" t="s">
        <v>1594</v>
      </c>
      <c r="K234" s="326" t="s">
        <v>775</v>
      </c>
      <c r="L234" s="327">
        <v>1905022</v>
      </c>
      <c r="M234" s="326" t="s">
        <v>776</v>
      </c>
      <c r="N234" s="327">
        <v>1905022</v>
      </c>
      <c r="O234" s="326" t="s">
        <v>776</v>
      </c>
      <c r="P234" s="422">
        <v>190502200</v>
      </c>
      <c r="Q234" s="443" t="s">
        <v>777</v>
      </c>
      <c r="R234" s="422">
        <v>190502200</v>
      </c>
      <c r="S234" s="443" t="s">
        <v>777</v>
      </c>
      <c r="T234" s="349" t="s">
        <v>1689</v>
      </c>
      <c r="U234" s="103">
        <v>12</v>
      </c>
      <c r="V234" s="103">
        <v>9</v>
      </c>
      <c r="W234" s="427" t="s">
        <v>1104</v>
      </c>
      <c r="X234" s="324" t="s">
        <v>1105</v>
      </c>
      <c r="Y234" s="324" t="s">
        <v>1106</v>
      </c>
      <c r="Z234" s="419"/>
      <c r="AA234" s="419"/>
      <c r="AB234" s="419"/>
      <c r="AC234" s="419"/>
      <c r="AD234" s="419"/>
      <c r="AE234" s="419"/>
      <c r="AF234" s="419"/>
      <c r="AG234" s="419"/>
      <c r="AH234" s="419"/>
      <c r="AI234" s="419"/>
      <c r="AJ234" s="419"/>
      <c r="AK234" s="419"/>
      <c r="AL234" s="491">
        <f>57000000+9700000</f>
        <v>66700000</v>
      </c>
      <c r="AM234" s="491">
        <v>44000000</v>
      </c>
      <c r="AN234" s="491">
        <v>38810000</v>
      </c>
      <c r="AO234" s="419"/>
      <c r="AP234" s="419"/>
      <c r="AQ234" s="419"/>
      <c r="AR234" s="419"/>
      <c r="AS234" s="419"/>
      <c r="AT234" s="419"/>
      <c r="AU234" s="419"/>
      <c r="AV234" s="419"/>
      <c r="AW234" s="419"/>
      <c r="AX234" s="419"/>
      <c r="AY234" s="419"/>
      <c r="AZ234" s="419"/>
      <c r="BA234" s="419"/>
      <c r="BB234" s="419"/>
      <c r="BC234" s="419"/>
      <c r="BD234" s="424"/>
      <c r="BE234" s="424"/>
      <c r="BF234" s="424"/>
      <c r="BG234" s="419"/>
      <c r="BH234" s="419"/>
      <c r="BI234" s="419"/>
      <c r="BJ234" s="419"/>
      <c r="BK234" s="419"/>
      <c r="BL234" s="419"/>
      <c r="BM234" s="419"/>
      <c r="BN234" s="419"/>
      <c r="BO234" s="419"/>
      <c r="BP234" s="403">
        <f t="shared" si="93"/>
        <v>66700000</v>
      </c>
      <c r="BQ234" s="403">
        <f t="shared" si="94"/>
        <v>44000000</v>
      </c>
      <c r="BR234" s="403">
        <f t="shared" si="95"/>
        <v>38810000</v>
      </c>
      <c r="BS234" s="359" t="s">
        <v>1664</v>
      </c>
      <c r="BT234" s="5"/>
    </row>
    <row r="235" spans="1:72" ht="96" customHeight="1" x14ac:dyDescent="0.2">
      <c r="A235" s="327">
        <v>318</v>
      </c>
      <c r="B235" s="442" t="s">
        <v>1636</v>
      </c>
      <c r="C235" s="323">
        <v>1</v>
      </c>
      <c r="D235" s="417" t="s">
        <v>1622</v>
      </c>
      <c r="E235" s="323">
        <v>19</v>
      </c>
      <c r="F235" s="326" t="s">
        <v>147</v>
      </c>
      <c r="G235" s="323">
        <v>1905</v>
      </c>
      <c r="H235" s="326" t="s">
        <v>768</v>
      </c>
      <c r="I235" s="323">
        <v>1905</v>
      </c>
      <c r="J235" s="326" t="s">
        <v>1594</v>
      </c>
      <c r="K235" s="326" t="s">
        <v>1023</v>
      </c>
      <c r="L235" s="323" t="s">
        <v>41</v>
      </c>
      <c r="M235" s="492" t="s">
        <v>1107</v>
      </c>
      <c r="N235" s="323">
        <v>1905015</v>
      </c>
      <c r="O235" s="326" t="s">
        <v>233</v>
      </c>
      <c r="P235" s="323" t="s">
        <v>41</v>
      </c>
      <c r="Q235" s="443" t="s">
        <v>1108</v>
      </c>
      <c r="R235" s="323" t="s">
        <v>1109</v>
      </c>
      <c r="S235" s="443" t="s">
        <v>1110</v>
      </c>
      <c r="T235" s="349" t="s">
        <v>1689</v>
      </c>
      <c r="U235" s="103">
        <v>1</v>
      </c>
      <c r="V235" s="103">
        <v>0</v>
      </c>
      <c r="W235" s="427" t="s">
        <v>1104</v>
      </c>
      <c r="X235" s="324" t="s">
        <v>1105</v>
      </c>
      <c r="Y235" s="324" t="s">
        <v>1106</v>
      </c>
      <c r="Z235" s="419"/>
      <c r="AA235" s="419"/>
      <c r="AB235" s="419"/>
      <c r="AC235" s="419"/>
      <c r="AD235" s="419"/>
      <c r="AE235" s="419"/>
      <c r="AF235" s="419"/>
      <c r="AG235" s="419"/>
      <c r="AH235" s="419"/>
      <c r="AI235" s="419">
        <f>100000000-100000000</f>
        <v>0</v>
      </c>
      <c r="AJ235" s="419"/>
      <c r="AK235" s="419"/>
      <c r="AL235" s="491">
        <f>58000000-9700000</f>
        <v>48300000</v>
      </c>
      <c r="AM235" s="491">
        <v>30875000</v>
      </c>
      <c r="AN235" s="491">
        <v>10950000</v>
      </c>
      <c r="AO235" s="419"/>
      <c r="AP235" s="419"/>
      <c r="AQ235" s="419"/>
      <c r="AR235" s="419"/>
      <c r="AS235" s="419"/>
      <c r="AT235" s="419"/>
      <c r="AU235" s="419"/>
      <c r="AV235" s="419"/>
      <c r="AW235" s="419"/>
      <c r="AX235" s="419"/>
      <c r="AY235" s="419"/>
      <c r="AZ235" s="419"/>
      <c r="BA235" s="419"/>
      <c r="BB235" s="419"/>
      <c r="BC235" s="419"/>
      <c r="BD235" s="424"/>
      <c r="BE235" s="424"/>
      <c r="BF235" s="424"/>
      <c r="BG235" s="419"/>
      <c r="BH235" s="419"/>
      <c r="BI235" s="419"/>
      <c r="BJ235" s="419"/>
      <c r="BK235" s="419"/>
      <c r="BL235" s="419"/>
      <c r="BM235" s="419"/>
      <c r="BN235" s="419"/>
      <c r="BO235" s="419"/>
      <c r="BP235" s="403">
        <f t="shared" si="93"/>
        <v>48300000</v>
      </c>
      <c r="BQ235" s="403">
        <f t="shared" si="94"/>
        <v>30875000</v>
      </c>
      <c r="BR235" s="403">
        <f t="shared" si="95"/>
        <v>10950000</v>
      </c>
      <c r="BS235" s="359" t="s">
        <v>1664</v>
      </c>
      <c r="BT235" s="5"/>
    </row>
    <row r="236" spans="1:72" ht="120" customHeight="1" x14ac:dyDescent="0.2">
      <c r="A236" s="327">
        <v>318</v>
      </c>
      <c r="B236" s="442" t="s">
        <v>1636</v>
      </c>
      <c r="C236" s="323">
        <v>1</v>
      </c>
      <c r="D236" s="417" t="s">
        <v>1622</v>
      </c>
      <c r="E236" s="323">
        <v>19</v>
      </c>
      <c r="F236" s="326" t="s">
        <v>147</v>
      </c>
      <c r="G236" s="323">
        <v>1905</v>
      </c>
      <c r="H236" s="326" t="s">
        <v>768</v>
      </c>
      <c r="I236" s="323">
        <v>1905</v>
      </c>
      <c r="J236" s="326" t="s">
        <v>1594</v>
      </c>
      <c r="K236" s="326" t="s">
        <v>1111</v>
      </c>
      <c r="L236" s="323">
        <v>1905023</v>
      </c>
      <c r="M236" s="326" t="s">
        <v>1112</v>
      </c>
      <c r="N236" s="323">
        <v>1905023</v>
      </c>
      <c r="O236" s="326" t="s">
        <v>1112</v>
      </c>
      <c r="P236" s="422">
        <v>190502300</v>
      </c>
      <c r="Q236" s="443" t="s">
        <v>1113</v>
      </c>
      <c r="R236" s="422">
        <v>190502300</v>
      </c>
      <c r="S236" s="443" t="s">
        <v>1113</v>
      </c>
      <c r="T236" s="349" t="s">
        <v>1689</v>
      </c>
      <c r="U236" s="103">
        <v>12</v>
      </c>
      <c r="V236" s="103">
        <v>12</v>
      </c>
      <c r="W236" s="427" t="s">
        <v>1114</v>
      </c>
      <c r="X236" s="324" t="s">
        <v>1115</v>
      </c>
      <c r="Y236" s="324" t="s">
        <v>1116</v>
      </c>
      <c r="Z236" s="419"/>
      <c r="AA236" s="419"/>
      <c r="AB236" s="419"/>
      <c r="AC236" s="419"/>
      <c r="AD236" s="419"/>
      <c r="AE236" s="419"/>
      <c r="AF236" s="419"/>
      <c r="AG236" s="419"/>
      <c r="AH236" s="419"/>
      <c r="AI236" s="419"/>
      <c r="AJ236" s="419"/>
      <c r="AK236" s="419"/>
      <c r="AL236" s="491">
        <v>105000000</v>
      </c>
      <c r="AM236" s="491">
        <v>104845000</v>
      </c>
      <c r="AN236" s="491">
        <v>77970000</v>
      </c>
      <c r="AO236" s="419"/>
      <c r="AP236" s="419"/>
      <c r="AQ236" s="419"/>
      <c r="AR236" s="419"/>
      <c r="AS236" s="419"/>
      <c r="AT236" s="419"/>
      <c r="AU236" s="419"/>
      <c r="AV236" s="419"/>
      <c r="AW236" s="419"/>
      <c r="AX236" s="419"/>
      <c r="AY236" s="419"/>
      <c r="AZ236" s="419"/>
      <c r="BA236" s="419"/>
      <c r="BB236" s="419"/>
      <c r="BC236" s="419"/>
      <c r="BD236" s="424"/>
      <c r="BE236" s="424"/>
      <c r="BF236" s="424"/>
      <c r="BG236" s="419"/>
      <c r="BH236" s="419"/>
      <c r="BI236" s="419"/>
      <c r="BJ236" s="419"/>
      <c r="BK236" s="419"/>
      <c r="BL236" s="419"/>
      <c r="BM236" s="419"/>
      <c r="BN236" s="419"/>
      <c r="BO236" s="419"/>
      <c r="BP236" s="403">
        <f t="shared" si="93"/>
        <v>105000000</v>
      </c>
      <c r="BQ236" s="403">
        <f t="shared" si="94"/>
        <v>104845000</v>
      </c>
      <c r="BR236" s="403">
        <f t="shared" si="95"/>
        <v>77970000</v>
      </c>
      <c r="BS236" s="359" t="s">
        <v>1664</v>
      </c>
      <c r="BT236" s="5"/>
    </row>
    <row r="237" spans="1:72" ht="134.25" customHeight="1" x14ac:dyDescent="0.2">
      <c r="A237" s="327">
        <v>318</v>
      </c>
      <c r="B237" s="442" t="s">
        <v>1636</v>
      </c>
      <c r="C237" s="323">
        <v>1</v>
      </c>
      <c r="D237" s="417" t="s">
        <v>1622</v>
      </c>
      <c r="E237" s="323">
        <v>19</v>
      </c>
      <c r="F237" s="326" t="s">
        <v>147</v>
      </c>
      <c r="G237" s="323">
        <v>1905</v>
      </c>
      <c r="H237" s="326" t="s">
        <v>768</v>
      </c>
      <c r="I237" s="323">
        <v>1905</v>
      </c>
      <c r="J237" s="326" t="s">
        <v>1594</v>
      </c>
      <c r="K237" s="326" t="s">
        <v>998</v>
      </c>
      <c r="L237" s="323">
        <v>1905031</v>
      </c>
      <c r="M237" s="326" t="s">
        <v>1069</v>
      </c>
      <c r="N237" s="323">
        <v>1905031</v>
      </c>
      <c r="O237" s="326" t="s">
        <v>1069</v>
      </c>
      <c r="P237" s="323">
        <v>190503100</v>
      </c>
      <c r="Q237" s="324" t="s">
        <v>1070</v>
      </c>
      <c r="R237" s="323">
        <v>190503100</v>
      </c>
      <c r="S237" s="324" t="s">
        <v>1070</v>
      </c>
      <c r="T237" s="349" t="s">
        <v>1689</v>
      </c>
      <c r="U237" s="103">
        <v>12</v>
      </c>
      <c r="V237" s="103">
        <v>12</v>
      </c>
      <c r="W237" s="427" t="s">
        <v>1114</v>
      </c>
      <c r="X237" s="324" t="s">
        <v>1115</v>
      </c>
      <c r="Y237" s="324" t="s">
        <v>1116</v>
      </c>
      <c r="Z237" s="419"/>
      <c r="AA237" s="419"/>
      <c r="AB237" s="419"/>
      <c r="AC237" s="419"/>
      <c r="AD237" s="419"/>
      <c r="AE237" s="419"/>
      <c r="AF237" s="419"/>
      <c r="AG237" s="419"/>
      <c r="AH237" s="419"/>
      <c r="AI237" s="419"/>
      <c r="AJ237" s="419"/>
      <c r="AK237" s="419"/>
      <c r="AL237" s="491">
        <v>76000000</v>
      </c>
      <c r="AM237" s="491">
        <v>76000000</v>
      </c>
      <c r="AN237" s="491">
        <v>45926000</v>
      </c>
      <c r="AO237" s="419"/>
      <c r="AP237" s="419"/>
      <c r="AQ237" s="419"/>
      <c r="AR237" s="419"/>
      <c r="AS237" s="419"/>
      <c r="AT237" s="419"/>
      <c r="AU237" s="419"/>
      <c r="AV237" s="419"/>
      <c r="AW237" s="419"/>
      <c r="AX237" s="419"/>
      <c r="AY237" s="419"/>
      <c r="AZ237" s="419"/>
      <c r="BA237" s="419"/>
      <c r="BB237" s="419"/>
      <c r="BC237" s="419"/>
      <c r="BD237" s="424"/>
      <c r="BE237" s="424"/>
      <c r="BF237" s="424"/>
      <c r="BG237" s="419"/>
      <c r="BH237" s="419"/>
      <c r="BI237" s="419"/>
      <c r="BJ237" s="419"/>
      <c r="BK237" s="419"/>
      <c r="BL237" s="419"/>
      <c r="BM237" s="419"/>
      <c r="BN237" s="419"/>
      <c r="BO237" s="419"/>
      <c r="BP237" s="403">
        <f t="shared" si="93"/>
        <v>76000000</v>
      </c>
      <c r="BQ237" s="403">
        <f t="shared" si="94"/>
        <v>76000000</v>
      </c>
      <c r="BR237" s="403">
        <f t="shared" si="95"/>
        <v>45926000</v>
      </c>
      <c r="BS237" s="359" t="s">
        <v>1664</v>
      </c>
      <c r="BT237" s="5"/>
    </row>
    <row r="238" spans="1:72" ht="122.25" customHeight="1" x14ac:dyDescent="0.2">
      <c r="A238" s="327">
        <v>318</v>
      </c>
      <c r="B238" s="442" t="s">
        <v>1636</v>
      </c>
      <c r="C238" s="323">
        <v>1</v>
      </c>
      <c r="D238" s="417" t="s">
        <v>1622</v>
      </c>
      <c r="E238" s="323">
        <v>19</v>
      </c>
      <c r="F238" s="326" t="s">
        <v>147</v>
      </c>
      <c r="G238" s="323">
        <v>1905</v>
      </c>
      <c r="H238" s="326" t="s">
        <v>768</v>
      </c>
      <c r="I238" s="323">
        <v>1905</v>
      </c>
      <c r="J238" s="326" t="s">
        <v>1594</v>
      </c>
      <c r="K238" s="326" t="s">
        <v>1117</v>
      </c>
      <c r="L238" s="323">
        <v>1905012</v>
      </c>
      <c r="M238" s="326" t="s">
        <v>1118</v>
      </c>
      <c r="N238" s="483">
        <v>1905012</v>
      </c>
      <c r="O238" s="326" t="s">
        <v>1118</v>
      </c>
      <c r="P238" s="422">
        <v>190501200</v>
      </c>
      <c r="Q238" s="324" t="s">
        <v>1118</v>
      </c>
      <c r="R238" s="422">
        <v>190501200</v>
      </c>
      <c r="S238" s="443" t="s">
        <v>1118</v>
      </c>
      <c r="T238" s="349" t="s">
        <v>1689</v>
      </c>
      <c r="U238" s="103">
        <v>1</v>
      </c>
      <c r="V238" s="103">
        <v>1</v>
      </c>
      <c r="W238" s="427" t="s">
        <v>1119</v>
      </c>
      <c r="X238" s="324" t="s">
        <v>1120</v>
      </c>
      <c r="Y238" s="324" t="s">
        <v>1121</v>
      </c>
      <c r="Z238" s="419"/>
      <c r="AA238" s="419"/>
      <c r="AB238" s="419"/>
      <c r="AC238" s="419"/>
      <c r="AD238" s="419"/>
      <c r="AE238" s="419"/>
      <c r="AF238" s="419"/>
      <c r="AG238" s="419"/>
      <c r="AH238" s="419"/>
      <c r="AI238" s="419"/>
      <c r="AJ238" s="419"/>
      <c r="AK238" s="419"/>
      <c r="AL238" s="419">
        <f>20000000+1146584216.27</f>
        <v>1166584216.27</v>
      </c>
      <c r="AM238" s="419">
        <v>18960000</v>
      </c>
      <c r="AN238" s="419">
        <v>18960000</v>
      </c>
      <c r="AO238" s="419"/>
      <c r="AP238" s="419"/>
      <c r="AQ238" s="419"/>
      <c r="AR238" s="419"/>
      <c r="AS238" s="419"/>
      <c r="AT238" s="419"/>
      <c r="AU238" s="419"/>
      <c r="AV238" s="419"/>
      <c r="AW238" s="419"/>
      <c r="AX238" s="419"/>
      <c r="AY238" s="419"/>
      <c r="AZ238" s="419"/>
      <c r="BA238" s="419"/>
      <c r="BB238" s="419"/>
      <c r="BC238" s="419"/>
      <c r="BD238" s="424"/>
      <c r="BE238" s="424"/>
      <c r="BF238" s="424"/>
      <c r="BG238" s="419"/>
      <c r="BH238" s="419"/>
      <c r="BI238" s="419"/>
      <c r="BJ238" s="455"/>
      <c r="BK238" s="455"/>
      <c r="BL238" s="455"/>
      <c r="BM238" s="455"/>
      <c r="BN238" s="455"/>
      <c r="BO238" s="455"/>
      <c r="BP238" s="403">
        <f t="shared" si="93"/>
        <v>1166584216.27</v>
      </c>
      <c r="BQ238" s="403">
        <f t="shared" si="94"/>
        <v>18960000</v>
      </c>
      <c r="BR238" s="403">
        <f t="shared" si="95"/>
        <v>18960000</v>
      </c>
      <c r="BS238" s="359" t="s">
        <v>1664</v>
      </c>
      <c r="BT238" s="5"/>
    </row>
    <row r="239" spans="1:72" ht="180" customHeight="1" x14ac:dyDescent="0.2">
      <c r="A239" s="327">
        <v>318</v>
      </c>
      <c r="B239" s="442" t="s">
        <v>1636</v>
      </c>
      <c r="C239" s="323">
        <v>1</v>
      </c>
      <c r="D239" s="417" t="s">
        <v>1622</v>
      </c>
      <c r="E239" s="323">
        <v>19</v>
      </c>
      <c r="F239" s="326" t="s">
        <v>147</v>
      </c>
      <c r="G239" s="323">
        <v>1905</v>
      </c>
      <c r="H239" s="326" t="s">
        <v>768</v>
      </c>
      <c r="I239" s="323">
        <v>1905</v>
      </c>
      <c r="J239" s="326" t="s">
        <v>1594</v>
      </c>
      <c r="K239" s="326" t="s">
        <v>1122</v>
      </c>
      <c r="L239" s="323">
        <v>1905026</v>
      </c>
      <c r="M239" s="326" t="s">
        <v>1123</v>
      </c>
      <c r="N239" s="323">
        <v>1905026</v>
      </c>
      <c r="O239" s="326" t="s">
        <v>1123</v>
      </c>
      <c r="P239" s="422">
        <v>190502600</v>
      </c>
      <c r="Q239" s="443" t="s">
        <v>1124</v>
      </c>
      <c r="R239" s="422">
        <v>190502600</v>
      </c>
      <c r="S239" s="443" t="s">
        <v>1124</v>
      </c>
      <c r="T239" s="349" t="s">
        <v>1689</v>
      </c>
      <c r="U239" s="103">
        <v>12</v>
      </c>
      <c r="V239" s="103">
        <v>12</v>
      </c>
      <c r="W239" s="427" t="s">
        <v>1119</v>
      </c>
      <c r="X239" s="324" t="s">
        <v>1120</v>
      </c>
      <c r="Y239" s="324" t="s">
        <v>1121</v>
      </c>
      <c r="Z239" s="419"/>
      <c r="AA239" s="419"/>
      <c r="AB239" s="419"/>
      <c r="AC239" s="419"/>
      <c r="AD239" s="419"/>
      <c r="AE239" s="419"/>
      <c r="AF239" s="419"/>
      <c r="AG239" s="419"/>
      <c r="AH239" s="419"/>
      <c r="AI239" s="419"/>
      <c r="AJ239" s="419"/>
      <c r="AK239" s="419"/>
      <c r="AL239" s="419">
        <v>58000000</v>
      </c>
      <c r="AM239" s="419">
        <v>43180000</v>
      </c>
      <c r="AN239" s="419">
        <v>39280000</v>
      </c>
      <c r="AO239" s="419"/>
      <c r="AP239" s="419"/>
      <c r="AQ239" s="419"/>
      <c r="AR239" s="419"/>
      <c r="AS239" s="419"/>
      <c r="AT239" s="419"/>
      <c r="AU239" s="419"/>
      <c r="AV239" s="419"/>
      <c r="AW239" s="419"/>
      <c r="AX239" s="419"/>
      <c r="AY239" s="419"/>
      <c r="AZ239" s="419"/>
      <c r="BA239" s="419"/>
      <c r="BB239" s="419"/>
      <c r="BC239" s="419"/>
      <c r="BD239" s="424"/>
      <c r="BE239" s="424"/>
      <c r="BF239" s="424"/>
      <c r="BG239" s="419"/>
      <c r="BH239" s="419"/>
      <c r="BI239" s="419"/>
      <c r="BJ239" s="455"/>
      <c r="BK239" s="455"/>
      <c r="BL239" s="455"/>
      <c r="BM239" s="455"/>
      <c r="BN239" s="455"/>
      <c r="BO239" s="455"/>
      <c r="BP239" s="403">
        <f t="shared" si="93"/>
        <v>58000000</v>
      </c>
      <c r="BQ239" s="403">
        <f t="shared" si="94"/>
        <v>43180000</v>
      </c>
      <c r="BR239" s="403">
        <f t="shared" si="95"/>
        <v>39280000</v>
      </c>
      <c r="BS239" s="359" t="s">
        <v>1664</v>
      </c>
      <c r="BT239" s="5"/>
    </row>
    <row r="240" spans="1:72" ht="150" customHeight="1" x14ac:dyDescent="0.2">
      <c r="A240" s="327">
        <v>318</v>
      </c>
      <c r="B240" s="442" t="s">
        <v>1636</v>
      </c>
      <c r="C240" s="323">
        <v>1</v>
      </c>
      <c r="D240" s="417" t="s">
        <v>1622</v>
      </c>
      <c r="E240" s="323">
        <v>19</v>
      </c>
      <c r="F240" s="326" t="s">
        <v>147</v>
      </c>
      <c r="G240" s="323">
        <v>1905</v>
      </c>
      <c r="H240" s="326" t="s">
        <v>768</v>
      </c>
      <c r="I240" s="323">
        <v>1905</v>
      </c>
      <c r="J240" s="326" t="s">
        <v>1594</v>
      </c>
      <c r="K240" s="326" t="s">
        <v>1117</v>
      </c>
      <c r="L240" s="323">
        <v>1905027</v>
      </c>
      <c r="M240" s="326" t="s">
        <v>1125</v>
      </c>
      <c r="N240" s="323">
        <v>1905027</v>
      </c>
      <c r="O240" s="326" t="s">
        <v>1125</v>
      </c>
      <c r="P240" s="422">
        <v>190502700</v>
      </c>
      <c r="Q240" s="324" t="s">
        <v>1126</v>
      </c>
      <c r="R240" s="422">
        <v>190502700</v>
      </c>
      <c r="S240" s="324" t="s">
        <v>1126</v>
      </c>
      <c r="T240" s="349" t="s">
        <v>1689</v>
      </c>
      <c r="U240" s="103">
        <v>12</v>
      </c>
      <c r="V240" s="103">
        <v>12</v>
      </c>
      <c r="W240" s="427" t="s">
        <v>1119</v>
      </c>
      <c r="X240" s="324" t="s">
        <v>1120</v>
      </c>
      <c r="Y240" s="324" t="s">
        <v>1121</v>
      </c>
      <c r="Z240" s="419"/>
      <c r="AA240" s="419"/>
      <c r="AB240" s="419"/>
      <c r="AC240" s="419"/>
      <c r="AD240" s="419"/>
      <c r="AE240" s="419"/>
      <c r="AF240" s="419"/>
      <c r="AG240" s="419"/>
      <c r="AH240" s="419"/>
      <c r="AI240" s="419"/>
      <c r="AJ240" s="419"/>
      <c r="AK240" s="419"/>
      <c r="AL240" s="419">
        <v>75000000</v>
      </c>
      <c r="AM240" s="419">
        <v>71420000</v>
      </c>
      <c r="AN240" s="419">
        <v>56795000</v>
      </c>
      <c r="AO240" s="428"/>
      <c r="AP240" s="428"/>
      <c r="AQ240" s="428"/>
      <c r="AR240" s="419"/>
      <c r="AS240" s="419"/>
      <c r="AT240" s="419"/>
      <c r="AU240" s="419"/>
      <c r="AV240" s="419"/>
      <c r="AW240" s="419"/>
      <c r="AX240" s="419"/>
      <c r="AY240" s="419"/>
      <c r="AZ240" s="419"/>
      <c r="BA240" s="419"/>
      <c r="BB240" s="419"/>
      <c r="BC240" s="419"/>
      <c r="BD240" s="424">
        <f>20000000-13438000-6562000</f>
        <v>0</v>
      </c>
      <c r="BE240" s="424"/>
      <c r="BF240" s="424"/>
      <c r="BG240" s="419"/>
      <c r="BH240" s="419"/>
      <c r="BI240" s="419"/>
      <c r="BJ240" s="419"/>
      <c r="BK240" s="419"/>
      <c r="BL240" s="419"/>
      <c r="BM240" s="419"/>
      <c r="BN240" s="419"/>
      <c r="BO240" s="419"/>
      <c r="BP240" s="403">
        <f t="shared" si="93"/>
        <v>75000000</v>
      </c>
      <c r="BQ240" s="403">
        <f t="shared" si="94"/>
        <v>71420000</v>
      </c>
      <c r="BR240" s="403">
        <f t="shared" si="95"/>
        <v>56795000</v>
      </c>
      <c r="BS240" s="359" t="s">
        <v>1664</v>
      </c>
      <c r="BT240" s="5"/>
    </row>
    <row r="241" spans="1:72" ht="108.75" customHeight="1" x14ac:dyDescent="0.2">
      <c r="A241" s="327">
        <v>318</v>
      </c>
      <c r="B241" s="442" t="s">
        <v>1636</v>
      </c>
      <c r="C241" s="323">
        <v>1</v>
      </c>
      <c r="D241" s="417" t="s">
        <v>1622</v>
      </c>
      <c r="E241" s="323">
        <v>19</v>
      </c>
      <c r="F241" s="326" t="s">
        <v>147</v>
      </c>
      <c r="G241" s="323">
        <v>1905</v>
      </c>
      <c r="H241" s="326" t="s">
        <v>768</v>
      </c>
      <c r="I241" s="323">
        <v>1905</v>
      </c>
      <c r="J241" s="326" t="s">
        <v>1594</v>
      </c>
      <c r="K241" s="326" t="s">
        <v>1127</v>
      </c>
      <c r="L241" s="323" t="s">
        <v>41</v>
      </c>
      <c r="M241" s="326" t="s">
        <v>1089</v>
      </c>
      <c r="N241" s="483" t="s">
        <v>1128</v>
      </c>
      <c r="O241" s="326" t="s">
        <v>356</v>
      </c>
      <c r="P241" s="323" t="s">
        <v>41</v>
      </c>
      <c r="Q241" s="324" t="s">
        <v>1090</v>
      </c>
      <c r="R241" s="422" t="s">
        <v>1129</v>
      </c>
      <c r="S241" s="443" t="s">
        <v>235</v>
      </c>
      <c r="T241" s="349" t="s">
        <v>1691</v>
      </c>
      <c r="U241" s="103">
        <v>4</v>
      </c>
      <c r="V241" s="103">
        <v>2</v>
      </c>
      <c r="W241" s="427" t="s">
        <v>1130</v>
      </c>
      <c r="X241" s="324" t="s">
        <v>1131</v>
      </c>
      <c r="Y241" s="324" t="s">
        <v>1132</v>
      </c>
      <c r="Z241" s="419"/>
      <c r="AA241" s="419"/>
      <c r="AB241" s="419"/>
      <c r="AC241" s="419"/>
      <c r="AD241" s="419"/>
      <c r="AE241" s="419"/>
      <c r="AF241" s="419"/>
      <c r="AG241" s="419"/>
      <c r="AH241" s="419"/>
      <c r="AI241" s="419"/>
      <c r="AJ241" s="419"/>
      <c r="AK241" s="419"/>
      <c r="AL241" s="419">
        <v>95000000</v>
      </c>
      <c r="AM241" s="419">
        <v>87115000</v>
      </c>
      <c r="AN241" s="419">
        <v>62225000</v>
      </c>
      <c r="AO241" s="419"/>
      <c r="AP241" s="419"/>
      <c r="AQ241" s="419"/>
      <c r="AR241" s="419"/>
      <c r="AS241" s="419"/>
      <c r="AT241" s="419"/>
      <c r="AU241" s="419"/>
      <c r="AV241" s="419"/>
      <c r="AW241" s="419"/>
      <c r="AX241" s="419"/>
      <c r="AY241" s="419"/>
      <c r="AZ241" s="419"/>
      <c r="BA241" s="419"/>
      <c r="BB241" s="419"/>
      <c r="BC241" s="419"/>
      <c r="BD241" s="424"/>
      <c r="BE241" s="424"/>
      <c r="BF241" s="424"/>
      <c r="BG241" s="419"/>
      <c r="BH241" s="419"/>
      <c r="BI241" s="419"/>
      <c r="BJ241" s="419"/>
      <c r="BK241" s="419"/>
      <c r="BL241" s="419"/>
      <c r="BM241" s="419"/>
      <c r="BN241" s="419"/>
      <c r="BO241" s="419"/>
      <c r="BP241" s="403">
        <f t="shared" si="93"/>
        <v>95000000</v>
      </c>
      <c r="BQ241" s="403">
        <f t="shared" si="94"/>
        <v>87115000</v>
      </c>
      <c r="BR241" s="403">
        <f t="shared" si="95"/>
        <v>62225000</v>
      </c>
      <c r="BS241" s="359" t="s">
        <v>1664</v>
      </c>
      <c r="BT241" s="5"/>
    </row>
    <row r="242" spans="1:72" ht="187.5" customHeight="1" x14ac:dyDescent="0.2">
      <c r="A242" s="327">
        <v>318</v>
      </c>
      <c r="B242" s="442" t="s">
        <v>1636</v>
      </c>
      <c r="C242" s="323">
        <v>1</v>
      </c>
      <c r="D242" s="417" t="s">
        <v>1622</v>
      </c>
      <c r="E242" s="323">
        <v>19</v>
      </c>
      <c r="F242" s="326" t="s">
        <v>147</v>
      </c>
      <c r="G242" s="323">
        <v>1905</v>
      </c>
      <c r="H242" s="326" t="s">
        <v>768</v>
      </c>
      <c r="I242" s="323">
        <v>1905</v>
      </c>
      <c r="J242" s="326" t="s">
        <v>1594</v>
      </c>
      <c r="K242" s="326" t="s">
        <v>1122</v>
      </c>
      <c r="L242" s="323">
        <v>1905026</v>
      </c>
      <c r="M242" s="326" t="s">
        <v>1123</v>
      </c>
      <c r="N242" s="323">
        <v>1905026</v>
      </c>
      <c r="O242" s="326" t="s">
        <v>1123</v>
      </c>
      <c r="P242" s="422">
        <v>190502600</v>
      </c>
      <c r="Q242" s="324" t="s">
        <v>1124</v>
      </c>
      <c r="R242" s="422">
        <v>190502600</v>
      </c>
      <c r="S242" s="443" t="s">
        <v>1124</v>
      </c>
      <c r="T242" s="349" t="s">
        <v>1689</v>
      </c>
      <c r="U242" s="323">
        <v>12</v>
      </c>
      <c r="V242" s="323">
        <v>11</v>
      </c>
      <c r="W242" s="427" t="s">
        <v>1130</v>
      </c>
      <c r="X242" s="324" t="s">
        <v>1131</v>
      </c>
      <c r="Y242" s="324" t="s">
        <v>1132</v>
      </c>
      <c r="Z242" s="419"/>
      <c r="AA242" s="419"/>
      <c r="AB242" s="419"/>
      <c r="AC242" s="419"/>
      <c r="AD242" s="419"/>
      <c r="AE242" s="419"/>
      <c r="AF242" s="419"/>
      <c r="AG242" s="419"/>
      <c r="AH242" s="419"/>
      <c r="AI242" s="419"/>
      <c r="AJ242" s="419"/>
      <c r="AK242" s="419"/>
      <c r="AL242" s="419">
        <v>96000000</v>
      </c>
      <c r="AM242" s="419">
        <v>62230000</v>
      </c>
      <c r="AN242" s="419">
        <v>27625000</v>
      </c>
      <c r="AO242" s="419"/>
      <c r="AP242" s="419"/>
      <c r="AQ242" s="419"/>
      <c r="AR242" s="428"/>
      <c r="AS242" s="428"/>
      <c r="AT242" s="428"/>
      <c r="AU242" s="419"/>
      <c r="AV242" s="419"/>
      <c r="AW242" s="419"/>
      <c r="AX242" s="419"/>
      <c r="AY242" s="419"/>
      <c r="AZ242" s="419"/>
      <c r="BA242" s="419"/>
      <c r="BB242" s="419"/>
      <c r="BC242" s="419"/>
      <c r="BD242" s="419">
        <v>130000000</v>
      </c>
      <c r="BE242" s="419">
        <v>13239000</v>
      </c>
      <c r="BF242" s="419">
        <v>13239000</v>
      </c>
      <c r="BG242" s="419"/>
      <c r="BH242" s="419"/>
      <c r="BI242" s="419"/>
      <c r="BJ242" s="419">
        <f>210707393+12219756</f>
        <v>222927149</v>
      </c>
      <c r="BK242" s="419">
        <v>210584190</v>
      </c>
      <c r="BL242" s="419">
        <v>210584090</v>
      </c>
      <c r="BM242" s="419"/>
      <c r="BN242" s="419"/>
      <c r="BO242" s="419"/>
      <c r="BP242" s="403">
        <f>+Z242+AC242+AF242+AI242+AL242+AO242+AR242+AU242+AX242+BA242+BD242+BG242+BJ242</f>
        <v>448927149</v>
      </c>
      <c r="BQ242" s="403">
        <f t="shared" si="94"/>
        <v>286053190</v>
      </c>
      <c r="BR242" s="403">
        <f t="shared" si="95"/>
        <v>251448090</v>
      </c>
      <c r="BS242" s="359" t="s">
        <v>1664</v>
      </c>
      <c r="BT242" s="5"/>
    </row>
    <row r="243" spans="1:72" ht="79.5" customHeight="1" x14ac:dyDescent="0.2">
      <c r="A243" s="327">
        <v>318</v>
      </c>
      <c r="B243" s="442" t="s">
        <v>1636</v>
      </c>
      <c r="C243" s="323">
        <v>1</v>
      </c>
      <c r="D243" s="417" t="s">
        <v>1622</v>
      </c>
      <c r="E243" s="323">
        <v>19</v>
      </c>
      <c r="F243" s="326" t="s">
        <v>147</v>
      </c>
      <c r="G243" s="323">
        <v>1905</v>
      </c>
      <c r="H243" s="326" t="s">
        <v>768</v>
      </c>
      <c r="I243" s="323">
        <v>1905</v>
      </c>
      <c r="J243" s="326" t="s">
        <v>1594</v>
      </c>
      <c r="K243" s="326" t="s">
        <v>1001</v>
      </c>
      <c r="L243" s="323">
        <v>1905014</v>
      </c>
      <c r="M243" s="326" t="s">
        <v>84</v>
      </c>
      <c r="N243" s="483">
        <v>1905014</v>
      </c>
      <c r="O243" s="326" t="s">
        <v>84</v>
      </c>
      <c r="P243" s="323">
        <v>190501400</v>
      </c>
      <c r="Q243" s="324" t="s">
        <v>532</v>
      </c>
      <c r="R243" s="323">
        <v>190501400</v>
      </c>
      <c r="S243" s="324" t="s">
        <v>532</v>
      </c>
      <c r="T243" s="349" t="s">
        <v>1689</v>
      </c>
      <c r="U243" s="103">
        <v>12</v>
      </c>
      <c r="V243" s="103">
        <v>12</v>
      </c>
      <c r="W243" s="427" t="s">
        <v>1133</v>
      </c>
      <c r="X243" s="324" t="s">
        <v>1134</v>
      </c>
      <c r="Y243" s="324" t="s">
        <v>1135</v>
      </c>
      <c r="Z243" s="419"/>
      <c r="AA243" s="419"/>
      <c r="AB243" s="419"/>
      <c r="AC243" s="419"/>
      <c r="AD243" s="419"/>
      <c r="AE243" s="419"/>
      <c r="AF243" s="419"/>
      <c r="AG243" s="419"/>
      <c r="AH243" s="419"/>
      <c r="AI243" s="419"/>
      <c r="AJ243" s="419"/>
      <c r="AK243" s="419"/>
      <c r="AL243" s="419">
        <v>43000000</v>
      </c>
      <c r="AM243" s="419">
        <v>42988636</v>
      </c>
      <c r="AN243" s="419">
        <v>42988636</v>
      </c>
      <c r="AO243" s="419"/>
      <c r="AP243" s="419"/>
      <c r="AQ243" s="419"/>
      <c r="AR243" s="419"/>
      <c r="AS243" s="419"/>
      <c r="AT243" s="419"/>
      <c r="AU243" s="419"/>
      <c r="AV243" s="419"/>
      <c r="AW243" s="419"/>
      <c r="AX243" s="419"/>
      <c r="AY243" s="419"/>
      <c r="AZ243" s="419"/>
      <c r="BA243" s="419"/>
      <c r="BB243" s="419"/>
      <c r="BC243" s="419"/>
      <c r="BD243" s="424"/>
      <c r="BE243" s="424"/>
      <c r="BF243" s="424"/>
      <c r="BG243" s="419"/>
      <c r="BH243" s="419"/>
      <c r="BI243" s="419"/>
      <c r="BJ243" s="419"/>
      <c r="BK243" s="419"/>
      <c r="BL243" s="419"/>
      <c r="BM243" s="419"/>
      <c r="BN243" s="419"/>
      <c r="BO243" s="419"/>
      <c r="BP243" s="403">
        <f t="shared" si="93"/>
        <v>43000000</v>
      </c>
      <c r="BQ243" s="403">
        <f t="shared" si="94"/>
        <v>42988636</v>
      </c>
      <c r="BR243" s="403">
        <f t="shared" si="95"/>
        <v>42988636</v>
      </c>
      <c r="BS243" s="359" t="s">
        <v>1664</v>
      </c>
      <c r="BT243" s="5"/>
    </row>
    <row r="244" spans="1:72" ht="166.5" customHeight="1" x14ac:dyDescent="0.2">
      <c r="A244" s="327">
        <v>318</v>
      </c>
      <c r="B244" s="442" t="s">
        <v>1636</v>
      </c>
      <c r="C244" s="323">
        <v>1</v>
      </c>
      <c r="D244" s="417" t="s">
        <v>1622</v>
      </c>
      <c r="E244" s="323">
        <v>19</v>
      </c>
      <c r="F244" s="326" t="s">
        <v>147</v>
      </c>
      <c r="G244" s="323">
        <v>1905</v>
      </c>
      <c r="H244" s="326" t="s">
        <v>768</v>
      </c>
      <c r="I244" s="323">
        <v>1905</v>
      </c>
      <c r="J244" s="326" t="s">
        <v>1594</v>
      </c>
      <c r="K244" s="326" t="s">
        <v>1122</v>
      </c>
      <c r="L244" s="422">
        <v>1905026</v>
      </c>
      <c r="M244" s="326" t="s">
        <v>1136</v>
      </c>
      <c r="N244" s="323">
        <v>1905026</v>
      </c>
      <c r="O244" s="326" t="s">
        <v>1136</v>
      </c>
      <c r="P244" s="422">
        <v>190502600</v>
      </c>
      <c r="Q244" s="324" t="s">
        <v>1124</v>
      </c>
      <c r="R244" s="422">
        <v>190502600</v>
      </c>
      <c r="S244" s="443" t="s">
        <v>1124</v>
      </c>
      <c r="T244" s="349" t="s">
        <v>1689</v>
      </c>
      <c r="U244" s="323">
        <v>12</v>
      </c>
      <c r="V244" s="323">
        <v>6</v>
      </c>
      <c r="W244" s="427" t="s">
        <v>1133</v>
      </c>
      <c r="X244" s="324" t="s">
        <v>1134</v>
      </c>
      <c r="Y244" s="324" t="s">
        <v>1135</v>
      </c>
      <c r="Z244" s="419"/>
      <c r="AA244" s="419"/>
      <c r="AB244" s="419"/>
      <c r="AC244" s="419"/>
      <c r="AD244" s="419"/>
      <c r="AE244" s="419"/>
      <c r="AF244" s="419"/>
      <c r="AG244" s="419"/>
      <c r="AH244" s="419"/>
      <c r="AI244" s="419"/>
      <c r="AJ244" s="419"/>
      <c r="AK244" s="419"/>
      <c r="AL244" s="419"/>
      <c r="AM244" s="419"/>
      <c r="AN244" s="419"/>
      <c r="AO244" s="419"/>
      <c r="AP244" s="419"/>
      <c r="AQ244" s="419"/>
      <c r="AR244" s="419"/>
      <c r="AS244" s="419"/>
      <c r="AT244" s="419"/>
      <c r="AU244" s="419"/>
      <c r="AV244" s="419"/>
      <c r="AW244" s="419"/>
      <c r="AX244" s="419"/>
      <c r="AY244" s="419"/>
      <c r="AZ244" s="419"/>
      <c r="BA244" s="419"/>
      <c r="BB244" s="419"/>
      <c r="BC244" s="419"/>
      <c r="BD244" s="424"/>
      <c r="BE244" s="424"/>
      <c r="BF244" s="424"/>
      <c r="BG244" s="419"/>
      <c r="BH244" s="419"/>
      <c r="BI244" s="419"/>
      <c r="BJ244" s="424">
        <f>182146964-3541113+818388</f>
        <v>179424239</v>
      </c>
      <c r="BK244" s="424">
        <v>98970000</v>
      </c>
      <c r="BL244" s="424">
        <v>55785000</v>
      </c>
      <c r="BM244" s="424"/>
      <c r="BN244" s="424"/>
      <c r="BO244" s="424"/>
      <c r="BP244" s="403">
        <f t="shared" si="93"/>
        <v>179424239</v>
      </c>
      <c r="BQ244" s="403">
        <f t="shared" si="94"/>
        <v>98970000</v>
      </c>
      <c r="BR244" s="403">
        <f t="shared" si="95"/>
        <v>55785000</v>
      </c>
      <c r="BS244" s="359" t="s">
        <v>1664</v>
      </c>
      <c r="BT244" s="5"/>
    </row>
    <row r="245" spans="1:72" ht="188.25" customHeight="1" x14ac:dyDescent="0.2">
      <c r="A245" s="327">
        <v>318</v>
      </c>
      <c r="B245" s="442" t="s">
        <v>1636</v>
      </c>
      <c r="C245" s="323">
        <v>1</v>
      </c>
      <c r="D245" s="417" t="s">
        <v>1622</v>
      </c>
      <c r="E245" s="323">
        <v>19</v>
      </c>
      <c r="F245" s="326" t="s">
        <v>147</v>
      </c>
      <c r="G245" s="323">
        <v>1905</v>
      </c>
      <c r="H245" s="326" t="s">
        <v>768</v>
      </c>
      <c r="I245" s="323">
        <v>1905</v>
      </c>
      <c r="J245" s="326" t="s">
        <v>1594</v>
      </c>
      <c r="K245" s="326" t="s">
        <v>1122</v>
      </c>
      <c r="L245" s="323">
        <v>1905026</v>
      </c>
      <c r="M245" s="326" t="s">
        <v>1123</v>
      </c>
      <c r="N245" s="323">
        <v>1905026</v>
      </c>
      <c r="O245" s="326" t="s">
        <v>1123</v>
      </c>
      <c r="P245" s="422">
        <v>190502600</v>
      </c>
      <c r="Q245" s="443" t="s">
        <v>1124</v>
      </c>
      <c r="R245" s="422">
        <v>190502600</v>
      </c>
      <c r="S245" s="443" t="s">
        <v>1124</v>
      </c>
      <c r="T245" s="349" t="s">
        <v>1689</v>
      </c>
      <c r="U245" s="323">
        <v>12</v>
      </c>
      <c r="V245" s="323">
        <v>12</v>
      </c>
      <c r="W245" s="349" t="s">
        <v>1137</v>
      </c>
      <c r="X245" s="324" t="s">
        <v>1138</v>
      </c>
      <c r="Y245" s="324" t="s">
        <v>1139</v>
      </c>
      <c r="Z245" s="419"/>
      <c r="AA245" s="419"/>
      <c r="AB245" s="419"/>
      <c r="AC245" s="419"/>
      <c r="AD245" s="419"/>
      <c r="AE245" s="419"/>
      <c r="AF245" s="419"/>
      <c r="AG245" s="419"/>
      <c r="AH245" s="419"/>
      <c r="AI245" s="419"/>
      <c r="AJ245" s="419"/>
      <c r="AK245" s="419"/>
      <c r="AL245" s="419"/>
      <c r="AM245" s="419"/>
      <c r="AN245" s="419"/>
      <c r="AO245" s="488"/>
      <c r="AP245" s="488"/>
      <c r="AQ245" s="488"/>
      <c r="AR245" s="419"/>
      <c r="AS245" s="419"/>
      <c r="AT245" s="419"/>
      <c r="AU245" s="419"/>
      <c r="AV245" s="419"/>
      <c r="AW245" s="419"/>
      <c r="AX245" s="419"/>
      <c r="AY245" s="419"/>
      <c r="AZ245" s="419"/>
      <c r="BA245" s="419"/>
      <c r="BB245" s="419"/>
      <c r="BC245" s="419"/>
      <c r="BD245" s="424">
        <f>500000000-398675151+36000000+100000000+10000000+252675151+600000000</f>
        <v>1100000000</v>
      </c>
      <c r="BE245" s="424">
        <v>915655114</v>
      </c>
      <c r="BF245" s="424">
        <v>611955614</v>
      </c>
      <c r="BG245" s="419"/>
      <c r="BH245" s="419"/>
      <c r="BI245" s="419"/>
      <c r="BJ245" s="419"/>
      <c r="BK245" s="419"/>
      <c r="BL245" s="419"/>
      <c r="BM245" s="419"/>
      <c r="BN245" s="419"/>
      <c r="BO245" s="419"/>
      <c r="BP245" s="403">
        <f t="shared" si="93"/>
        <v>1100000000</v>
      </c>
      <c r="BQ245" s="403">
        <f t="shared" si="94"/>
        <v>915655114</v>
      </c>
      <c r="BR245" s="403">
        <f t="shared" si="95"/>
        <v>611955614</v>
      </c>
      <c r="BS245" s="359" t="s">
        <v>1664</v>
      </c>
      <c r="BT245" s="5"/>
    </row>
    <row r="246" spans="1:72" ht="120" customHeight="1" x14ac:dyDescent="0.2">
      <c r="A246" s="327">
        <v>318</v>
      </c>
      <c r="B246" s="442" t="s">
        <v>1636</v>
      </c>
      <c r="C246" s="323">
        <v>1</v>
      </c>
      <c r="D246" s="417" t="s">
        <v>1622</v>
      </c>
      <c r="E246" s="323">
        <v>19</v>
      </c>
      <c r="F246" s="326" t="s">
        <v>147</v>
      </c>
      <c r="G246" s="323">
        <v>1905</v>
      </c>
      <c r="H246" s="326" t="s">
        <v>768</v>
      </c>
      <c r="I246" s="323">
        <v>1905</v>
      </c>
      <c r="J246" s="326" t="s">
        <v>1594</v>
      </c>
      <c r="K246" s="326" t="s">
        <v>1010</v>
      </c>
      <c r="L246" s="323">
        <v>1905029</v>
      </c>
      <c r="M246" s="326" t="s">
        <v>1140</v>
      </c>
      <c r="N246" s="323">
        <v>1905030</v>
      </c>
      <c r="O246" s="326" t="s">
        <v>1141</v>
      </c>
      <c r="P246" s="103">
        <v>190502900</v>
      </c>
      <c r="Q246" s="443" t="s">
        <v>1142</v>
      </c>
      <c r="R246" s="422">
        <v>190503000</v>
      </c>
      <c r="S246" s="443" t="s">
        <v>1142</v>
      </c>
      <c r="T246" s="349" t="s">
        <v>1689</v>
      </c>
      <c r="U246" s="103">
        <v>60</v>
      </c>
      <c r="V246" s="103">
        <v>57</v>
      </c>
      <c r="W246" s="349" t="s">
        <v>1143</v>
      </c>
      <c r="X246" s="324" t="s">
        <v>1144</v>
      </c>
      <c r="Y246" s="324" t="s">
        <v>1145</v>
      </c>
      <c r="Z246" s="419"/>
      <c r="AA246" s="419"/>
      <c r="AB246" s="419"/>
      <c r="AC246" s="419"/>
      <c r="AD246" s="419"/>
      <c r="AE246" s="419"/>
      <c r="AF246" s="419"/>
      <c r="AG246" s="419"/>
      <c r="AH246" s="419"/>
      <c r="AI246" s="419"/>
      <c r="AJ246" s="419"/>
      <c r="AK246" s="419"/>
      <c r="AL246" s="419">
        <v>20000000</v>
      </c>
      <c r="AM246" s="419">
        <v>19906500</v>
      </c>
      <c r="AN246" s="419">
        <v>19906500</v>
      </c>
      <c r="AO246" s="419"/>
      <c r="AP246" s="419"/>
      <c r="AQ246" s="419"/>
      <c r="AR246" s="419"/>
      <c r="AS246" s="419"/>
      <c r="AT246" s="419"/>
      <c r="AU246" s="419"/>
      <c r="AV246" s="419"/>
      <c r="AW246" s="419"/>
      <c r="AX246" s="419"/>
      <c r="AY246" s="419"/>
      <c r="AZ246" s="419"/>
      <c r="BA246" s="419"/>
      <c r="BB246" s="419"/>
      <c r="BC246" s="419"/>
      <c r="BD246" s="424"/>
      <c r="BE246" s="424"/>
      <c r="BF246" s="424"/>
      <c r="BG246" s="419"/>
      <c r="BH246" s="419"/>
      <c r="BI246" s="419"/>
      <c r="BJ246" s="419"/>
      <c r="BK246" s="419"/>
      <c r="BL246" s="419"/>
      <c r="BM246" s="419"/>
      <c r="BN246" s="419"/>
      <c r="BO246" s="419"/>
      <c r="BP246" s="403">
        <f t="shared" si="93"/>
        <v>20000000</v>
      </c>
      <c r="BQ246" s="403">
        <f t="shared" si="94"/>
        <v>19906500</v>
      </c>
      <c r="BR246" s="403">
        <f t="shared" si="95"/>
        <v>19906500</v>
      </c>
      <c r="BS246" s="359" t="s">
        <v>1664</v>
      </c>
      <c r="BT246" s="5"/>
    </row>
    <row r="247" spans="1:72" ht="93.75" customHeight="1" x14ac:dyDescent="0.2">
      <c r="A247" s="327">
        <v>318</v>
      </c>
      <c r="B247" s="442" t="s">
        <v>1636</v>
      </c>
      <c r="C247" s="323">
        <v>1</v>
      </c>
      <c r="D247" s="417" t="s">
        <v>1622</v>
      </c>
      <c r="E247" s="323">
        <v>19</v>
      </c>
      <c r="F247" s="326" t="s">
        <v>147</v>
      </c>
      <c r="G247" s="323">
        <v>1905</v>
      </c>
      <c r="H247" s="326" t="s">
        <v>768</v>
      </c>
      <c r="I247" s="323">
        <v>1905</v>
      </c>
      <c r="J247" s="326" t="s">
        <v>1594</v>
      </c>
      <c r="K247" s="326" t="s">
        <v>1050</v>
      </c>
      <c r="L247" s="323">
        <v>1905025</v>
      </c>
      <c r="M247" s="326" t="s">
        <v>1146</v>
      </c>
      <c r="N247" s="323">
        <v>1905025</v>
      </c>
      <c r="O247" s="326" t="s">
        <v>1146</v>
      </c>
      <c r="P247" s="422">
        <v>190502500</v>
      </c>
      <c r="Q247" s="443" t="s">
        <v>1147</v>
      </c>
      <c r="R247" s="422">
        <v>190502500</v>
      </c>
      <c r="S247" s="443" t="s">
        <v>1147</v>
      </c>
      <c r="T247" s="349" t="s">
        <v>1689</v>
      </c>
      <c r="U247" s="103">
        <v>12</v>
      </c>
      <c r="V247" s="103">
        <v>8</v>
      </c>
      <c r="W247" s="349" t="s">
        <v>1148</v>
      </c>
      <c r="X247" s="324" t="s">
        <v>1149</v>
      </c>
      <c r="Y247" s="324" t="s">
        <v>1150</v>
      </c>
      <c r="Z247" s="419"/>
      <c r="AA247" s="419"/>
      <c r="AB247" s="419"/>
      <c r="AC247" s="419"/>
      <c r="AD247" s="419"/>
      <c r="AE247" s="419"/>
      <c r="AF247" s="419"/>
      <c r="AG247" s="419"/>
      <c r="AH247" s="419"/>
      <c r="AI247" s="419"/>
      <c r="AJ247" s="419"/>
      <c r="AK247" s="419"/>
      <c r="AL247" s="419">
        <v>84414100</v>
      </c>
      <c r="AM247" s="419">
        <v>72125000</v>
      </c>
      <c r="AN247" s="419">
        <v>49045000</v>
      </c>
      <c r="AO247" s="419"/>
      <c r="AP247" s="419"/>
      <c r="AQ247" s="419"/>
      <c r="AR247" s="419"/>
      <c r="AS247" s="419"/>
      <c r="AT247" s="419"/>
      <c r="AU247" s="419"/>
      <c r="AV247" s="419"/>
      <c r="AW247" s="419"/>
      <c r="AX247" s="419"/>
      <c r="AY247" s="419"/>
      <c r="AZ247" s="419"/>
      <c r="BA247" s="419"/>
      <c r="BB247" s="419"/>
      <c r="BC247" s="419"/>
      <c r="BD247" s="424"/>
      <c r="BE247" s="424"/>
      <c r="BF247" s="424"/>
      <c r="BG247" s="419"/>
      <c r="BH247" s="419"/>
      <c r="BI247" s="419"/>
      <c r="BJ247" s="419"/>
      <c r="BK247" s="419"/>
      <c r="BL247" s="419"/>
      <c r="BM247" s="419"/>
      <c r="BN247" s="419"/>
      <c r="BO247" s="419"/>
      <c r="BP247" s="403">
        <f t="shared" si="93"/>
        <v>84414100</v>
      </c>
      <c r="BQ247" s="403">
        <f t="shared" si="94"/>
        <v>72125000</v>
      </c>
      <c r="BR247" s="403">
        <f t="shared" si="95"/>
        <v>49045000</v>
      </c>
      <c r="BS247" s="359" t="s">
        <v>1664</v>
      </c>
      <c r="BT247" s="5"/>
    </row>
    <row r="248" spans="1:72" s="33" customFormat="1" ht="86.25" customHeight="1" x14ac:dyDescent="0.2">
      <c r="A248" s="327">
        <v>318</v>
      </c>
      <c r="B248" s="442" t="s">
        <v>1636</v>
      </c>
      <c r="C248" s="323">
        <v>1</v>
      </c>
      <c r="D248" s="417" t="s">
        <v>1622</v>
      </c>
      <c r="E248" s="323">
        <v>19</v>
      </c>
      <c r="F248" s="326" t="s">
        <v>147</v>
      </c>
      <c r="G248" s="323">
        <v>1905</v>
      </c>
      <c r="H248" s="326" t="s">
        <v>768</v>
      </c>
      <c r="I248" s="323">
        <v>1905</v>
      </c>
      <c r="J248" s="326" t="s">
        <v>1594</v>
      </c>
      <c r="K248" s="326" t="s">
        <v>1014</v>
      </c>
      <c r="L248" s="323">
        <v>1905015</v>
      </c>
      <c r="M248" s="326" t="s">
        <v>233</v>
      </c>
      <c r="N248" s="483">
        <v>1905015</v>
      </c>
      <c r="O248" s="326" t="s">
        <v>233</v>
      </c>
      <c r="P248" s="323">
        <v>190501503</v>
      </c>
      <c r="Q248" s="324" t="s">
        <v>1151</v>
      </c>
      <c r="R248" s="323">
        <v>190501503</v>
      </c>
      <c r="S248" s="324" t="s">
        <v>1151</v>
      </c>
      <c r="T248" s="349" t="s">
        <v>1689</v>
      </c>
      <c r="U248" s="103">
        <v>15</v>
      </c>
      <c r="V248" s="103">
        <v>10</v>
      </c>
      <c r="W248" s="349" t="s">
        <v>1152</v>
      </c>
      <c r="X248" s="324" t="s">
        <v>1153</v>
      </c>
      <c r="Y248" s="324" t="s">
        <v>1154</v>
      </c>
      <c r="Z248" s="419"/>
      <c r="AA248" s="419"/>
      <c r="AB248" s="419"/>
      <c r="AC248" s="419"/>
      <c r="AD248" s="419"/>
      <c r="AE248" s="419"/>
      <c r="AF248" s="419"/>
      <c r="AG248" s="419"/>
      <c r="AH248" s="419"/>
      <c r="AI248" s="419">
        <f>100000000-100000000</f>
        <v>0</v>
      </c>
      <c r="AJ248" s="419"/>
      <c r="AK248" s="419"/>
      <c r="AL248" s="454">
        <v>320000000</v>
      </c>
      <c r="AM248" s="454">
        <v>303122500</v>
      </c>
      <c r="AN248" s="454">
        <v>253435000</v>
      </c>
      <c r="AO248" s="419"/>
      <c r="AP248" s="419"/>
      <c r="AQ248" s="419"/>
      <c r="AR248" s="419"/>
      <c r="AS248" s="419"/>
      <c r="AT248" s="419"/>
      <c r="AU248" s="419"/>
      <c r="AV248" s="419"/>
      <c r="AW248" s="419"/>
      <c r="AX248" s="419"/>
      <c r="AY248" s="419"/>
      <c r="AZ248" s="419"/>
      <c r="BA248" s="419"/>
      <c r="BB248" s="419"/>
      <c r="BC248" s="419"/>
      <c r="BD248" s="424"/>
      <c r="BE248" s="424"/>
      <c r="BF248" s="424"/>
      <c r="BG248" s="419"/>
      <c r="BH248" s="419"/>
      <c r="BI248" s="419"/>
      <c r="BJ248" s="419"/>
      <c r="BK248" s="419"/>
      <c r="BL248" s="419"/>
      <c r="BM248" s="419"/>
      <c r="BN248" s="419"/>
      <c r="BO248" s="419"/>
      <c r="BP248" s="403">
        <f t="shared" si="93"/>
        <v>320000000</v>
      </c>
      <c r="BQ248" s="403">
        <f t="shared" si="94"/>
        <v>303122500</v>
      </c>
      <c r="BR248" s="403">
        <f t="shared" si="95"/>
        <v>253435000</v>
      </c>
      <c r="BS248" s="359" t="s">
        <v>1664</v>
      </c>
      <c r="BT248" s="5"/>
    </row>
    <row r="249" spans="1:72" ht="63.75" customHeight="1" x14ac:dyDescent="0.2">
      <c r="A249" s="327">
        <v>318</v>
      </c>
      <c r="B249" s="442" t="s">
        <v>1636</v>
      </c>
      <c r="C249" s="323">
        <v>1</v>
      </c>
      <c r="D249" s="417" t="s">
        <v>1622</v>
      </c>
      <c r="E249" s="323">
        <v>19</v>
      </c>
      <c r="F249" s="326" t="s">
        <v>147</v>
      </c>
      <c r="G249" s="323">
        <v>1905</v>
      </c>
      <c r="H249" s="326" t="s">
        <v>768</v>
      </c>
      <c r="I249" s="323">
        <v>1905</v>
      </c>
      <c r="J249" s="326" t="s">
        <v>1594</v>
      </c>
      <c r="K249" s="326" t="s">
        <v>1155</v>
      </c>
      <c r="L249" s="323" t="s">
        <v>41</v>
      </c>
      <c r="M249" s="326" t="s">
        <v>1156</v>
      </c>
      <c r="N249" s="483" t="s">
        <v>1157</v>
      </c>
      <c r="O249" s="326" t="s">
        <v>1158</v>
      </c>
      <c r="P249" s="323" t="s">
        <v>41</v>
      </c>
      <c r="Q249" s="324" t="s">
        <v>1159</v>
      </c>
      <c r="R249" s="323" t="s">
        <v>1160</v>
      </c>
      <c r="S249" s="324" t="s">
        <v>1161</v>
      </c>
      <c r="T249" s="349" t="s">
        <v>1689</v>
      </c>
      <c r="U249" s="103">
        <v>1</v>
      </c>
      <c r="V249" s="103">
        <v>1</v>
      </c>
      <c r="W249" s="349" t="s">
        <v>1162</v>
      </c>
      <c r="X249" s="324" t="s">
        <v>1163</v>
      </c>
      <c r="Y249" s="324" t="s">
        <v>1164</v>
      </c>
      <c r="Z249" s="419"/>
      <c r="AA249" s="419"/>
      <c r="AB249" s="419"/>
      <c r="AC249" s="419"/>
      <c r="AD249" s="419"/>
      <c r="AE249" s="419"/>
      <c r="AF249" s="419"/>
      <c r="AG249" s="419"/>
      <c r="AH249" s="419"/>
      <c r="AI249" s="419"/>
      <c r="AJ249" s="419"/>
      <c r="AK249" s="419"/>
      <c r="AL249" s="419"/>
      <c r="AM249" s="419"/>
      <c r="AN249" s="419"/>
      <c r="AO249" s="490"/>
      <c r="AP249" s="490"/>
      <c r="AQ249" s="490"/>
      <c r="AR249" s="419"/>
      <c r="AS249" s="419"/>
      <c r="AT249" s="419"/>
      <c r="AU249" s="419"/>
      <c r="AV249" s="419"/>
      <c r="AW249" s="419"/>
      <c r="AX249" s="419"/>
      <c r="AY249" s="419"/>
      <c r="AZ249" s="419"/>
      <c r="BA249" s="419"/>
      <c r="BB249" s="419"/>
      <c r="BC249" s="419"/>
      <c r="BD249" s="424">
        <f>300000000+21904376</f>
        <v>321904376</v>
      </c>
      <c r="BE249" s="424">
        <v>282101876</v>
      </c>
      <c r="BF249" s="424">
        <v>194279376</v>
      </c>
      <c r="BG249" s="419"/>
      <c r="BH249" s="419"/>
      <c r="BI249" s="419"/>
      <c r="BJ249" s="419"/>
      <c r="BK249" s="419"/>
      <c r="BL249" s="419"/>
      <c r="BM249" s="419"/>
      <c r="BN249" s="419"/>
      <c r="BO249" s="419"/>
      <c r="BP249" s="403">
        <f t="shared" si="93"/>
        <v>321904376</v>
      </c>
      <c r="BQ249" s="403">
        <f t="shared" si="94"/>
        <v>282101876</v>
      </c>
      <c r="BR249" s="403">
        <f t="shared" si="95"/>
        <v>194279376</v>
      </c>
      <c r="BS249" s="359" t="s">
        <v>1664</v>
      </c>
      <c r="BT249" s="5"/>
    </row>
    <row r="250" spans="1:72" ht="88.5" customHeight="1" x14ac:dyDescent="0.2">
      <c r="A250" s="327">
        <v>318</v>
      </c>
      <c r="B250" s="442" t="s">
        <v>1636</v>
      </c>
      <c r="C250" s="323">
        <v>1</v>
      </c>
      <c r="D250" s="417" t="s">
        <v>1622</v>
      </c>
      <c r="E250" s="323">
        <v>19</v>
      </c>
      <c r="F250" s="326" t="s">
        <v>147</v>
      </c>
      <c r="G250" s="323">
        <v>1905</v>
      </c>
      <c r="H250" s="326" t="s">
        <v>768</v>
      </c>
      <c r="I250" s="323">
        <v>1905</v>
      </c>
      <c r="J250" s="326" t="s">
        <v>1594</v>
      </c>
      <c r="K250" s="326" t="s">
        <v>995</v>
      </c>
      <c r="L250" s="327">
        <v>1905031</v>
      </c>
      <c r="M250" s="326" t="s">
        <v>1069</v>
      </c>
      <c r="N250" s="327">
        <v>1905031</v>
      </c>
      <c r="O250" s="326" t="s">
        <v>1069</v>
      </c>
      <c r="P250" s="327">
        <v>190503100</v>
      </c>
      <c r="Q250" s="324" t="s">
        <v>1070</v>
      </c>
      <c r="R250" s="323">
        <v>190503100</v>
      </c>
      <c r="S250" s="324" t="s">
        <v>1070</v>
      </c>
      <c r="T250" s="349" t="s">
        <v>1689</v>
      </c>
      <c r="U250" s="103">
        <v>12</v>
      </c>
      <c r="V250" s="103">
        <v>11</v>
      </c>
      <c r="W250" s="349" t="s">
        <v>1165</v>
      </c>
      <c r="X250" s="324" t="s">
        <v>1166</v>
      </c>
      <c r="Y250" s="324" t="s">
        <v>1167</v>
      </c>
      <c r="Z250" s="419"/>
      <c r="AA250" s="419"/>
      <c r="AB250" s="419"/>
      <c r="AC250" s="419"/>
      <c r="AD250" s="419"/>
      <c r="AE250" s="419"/>
      <c r="AF250" s="419"/>
      <c r="AG250" s="419"/>
      <c r="AH250" s="419"/>
      <c r="AI250" s="419"/>
      <c r="AJ250" s="419"/>
      <c r="AK250" s="419"/>
      <c r="AL250" s="419">
        <f>1263850000+433334276.49+63682049</f>
        <v>1760866325.49</v>
      </c>
      <c r="AM250" s="419">
        <v>948255600</v>
      </c>
      <c r="AN250" s="419">
        <v>298963000</v>
      </c>
      <c r="AO250" s="419"/>
      <c r="AP250" s="419"/>
      <c r="AQ250" s="419"/>
      <c r="AR250" s="419"/>
      <c r="AS250" s="419"/>
      <c r="AT250" s="419"/>
      <c r="AU250" s="419"/>
      <c r="AV250" s="419"/>
      <c r="AW250" s="419"/>
      <c r="AX250" s="419"/>
      <c r="AY250" s="419"/>
      <c r="AZ250" s="419"/>
      <c r="BA250" s="419"/>
      <c r="BB250" s="419"/>
      <c r="BC250" s="419"/>
      <c r="BD250" s="424"/>
      <c r="BE250" s="424"/>
      <c r="BF250" s="424"/>
      <c r="BG250" s="419"/>
      <c r="BH250" s="419"/>
      <c r="BI250" s="419"/>
      <c r="BJ250" s="419"/>
      <c r="BK250" s="419"/>
      <c r="BL250" s="419"/>
      <c r="BM250" s="419"/>
      <c r="BN250" s="419"/>
      <c r="BO250" s="419"/>
      <c r="BP250" s="403">
        <f t="shared" si="93"/>
        <v>1760866325.49</v>
      </c>
      <c r="BQ250" s="403">
        <f t="shared" si="94"/>
        <v>948255600</v>
      </c>
      <c r="BR250" s="403">
        <f t="shared" si="95"/>
        <v>298963000</v>
      </c>
      <c r="BS250" s="359" t="s">
        <v>1664</v>
      </c>
      <c r="BT250" s="5"/>
    </row>
    <row r="251" spans="1:72" ht="93" customHeight="1" x14ac:dyDescent="0.2">
      <c r="A251" s="327">
        <v>318</v>
      </c>
      <c r="B251" s="442" t="s">
        <v>1636</v>
      </c>
      <c r="C251" s="323">
        <v>1</v>
      </c>
      <c r="D251" s="417" t="s">
        <v>1622</v>
      </c>
      <c r="E251" s="323">
        <v>19</v>
      </c>
      <c r="F251" s="326" t="s">
        <v>147</v>
      </c>
      <c r="G251" s="323">
        <v>1906</v>
      </c>
      <c r="H251" s="326" t="s">
        <v>1565</v>
      </c>
      <c r="I251" s="323">
        <v>1906</v>
      </c>
      <c r="J251" s="326" t="s">
        <v>1566</v>
      </c>
      <c r="K251" s="326" t="s">
        <v>1050</v>
      </c>
      <c r="L251" s="323">
        <v>1906032</v>
      </c>
      <c r="M251" s="326" t="s">
        <v>1168</v>
      </c>
      <c r="N251" s="323">
        <v>1906032</v>
      </c>
      <c r="O251" s="326" t="s">
        <v>1168</v>
      </c>
      <c r="P251" s="422">
        <v>190603200</v>
      </c>
      <c r="Q251" s="324" t="s">
        <v>1169</v>
      </c>
      <c r="R251" s="422">
        <v>190603200</v>
      </c>
      <c r="S251" s="326" t="s">
        <v>1169</v>
      </c>
      <c r="T251" s="349" t="s">
        <v>1691</v>
      </c>
      <c r="U251" s="103">
        <v>1500</v>
      </c>
      <c r="V251" s="103">
        <v>1500</v>
      </c>
      <c r="W251" s="427" t="s">
        <v>1170</v>
      </c>
      <c r="X251" s="324" t="s">
        <v>1171</v>
      </c>
      <c r="Y251" s="324" t="s">
        <v>1172</v>
      </c>
      <c r="Z251" s="419"/>
      <c r="AA251" s="419"/>
      <c r="AB251" s="419"/>
      <c r="AC251" s="419"/>
      <c r="AD251" s="419"/>
      <c r="AE251" s="419"/>
      <c r="AF251" s="419"/>
      <c r="AG251" s="419"/>
      <c r="AH251" s="419"/>
      <c r="AI251" s="419"/>
      <c r="AJ251" s="419"/>
      <c r="AK251" s="419"/>
      <c r="AL251" s="419"/>
      <c r="AM251" s="419"/>
      <c r="AN251" s="419"/>
      <c r="AO251" s="454">
        <v>0</v>
      </c>
      <c r="AP251" s="454"/>
      <c r="AQ251" s="454"/>
      <c r="AR251" s="419"/>
      <c r="AS251" s="419"/>
      <c r="AT251" s="419"/>
      <c r="AU251" s="419"/>
      <c r="AV251" s="419"/>
      <c r="AW251" s="419"/>
      <c r="AX251" s="419"/>
      <c r="AY251" s="419"/>
      <c r="AZ251" s="419"/>
      <c r="BA251" s="419"/>
      <c r="BB251" s="419"/>
      <c r="BC251" s="419"/>
      <c r="BD251" s="424"/>
      <c r="BE251" s="424"/>
      <c r="BF251" s="424"/>
      <c r="BG251" s="419"/>
      <c r="BH251" s="419"/>
      <c r="BI251" s="419"/>
      <c r="BJ251" s="419"/>
      <c r="BK251" s="419"/>
      <c r="BL251" s="419"/>
      <c r="BM251" s="419"/>
      <c r="BN251" s="419"/>
      <c r="BO251" s="419"/>
      <c r="BP251" s="403">
        <f t="shared" si="93"/>
        <v>0</v>
      </c>
      <c r="BQ251" s="403">
        <f t="shared" ref="BQ251:BQ260" si="96">+AA251+AD251+AG251+AJ251+AM251+AP251+AS251+AV251+AY251+BB251+BE251+BH251+BK251</f>
        <v>0</v>
      </c>
      <c r="BR251" s="403">
        <f t="shared" ref="BR251:BR260" si="97">+AB251+AE251+AH251+AK251+AN251+AQ251+AT251+AW251+AZ251+BC251+BF251+BI251+BL251</f>
        <v>0</v>
      </c>
      <c r="BS251" s="359" t="s">
        <v>1664</v>
      </c>
      <c r="BT251" s="5"/>
    </row>
    <row r="252" spans="1:72" ht="87.75" customHeight="1" x14ac:dyDescent="0.2">
      <c r="A252" s="327">
        <v>318</v>
      </c>
      <c r="B252" s="442" t="s">
        <v>1636</v>
      </c>
      <c r="C252" s="323">
        <v>1</v>
      </c>
      <c r="D252" s="417" t="s">
        <v>1622</v>
      </c>
      <c r="E252" s="323">
        <v>19</v>
      </c>
      <c r="F252" s="326" t="s">
        <v>147</v>
      </c>
      <c r="G252" s="323">
        <v>1906</v>
      </c>
      <c r="H252" s="326" t="s">
        <v>1565</v>
      </c>
      <c r="I252" s="323">
        <v>1906</v>
      </c>
      <c r="J252" s="326" t="s">
        <v>1566</v>
      </c>
      <c r="K252" s="326" t="s">
        <v>1173</v>
      </c>
      <c r="L252" s="323" t="s">
        <v>41</v>
      </c>
      <c r="M252" s="326" t="s">
        <v>1174</v>
      </c>
      <c r="N252" s="483">
        <v>1906023</v>
      </c>
      <c r="O252" s="326" t="s">
        <v>1175</v>
      </c>
      <c r="P252" s="323" t="s">
        <v>41</v>
      </c>
      <c r="Q252" s="324" t="s">
        <v>1176</v>
      </c>
      <c r="R252" s="323">
        <v>190602300</v>
      </c>
      <c r="S252" s="326" t="s">
        <v>1177</v>
      </c>
      <c r="T252" s="349" t="s">
        <v>1689</v>
      </c>
      <c r="U252" s="103">
        <v>19899</v>
      </c>
      <c r="V252" s="103">
        <v>8423</v>
      </c>
      <c r="W252" s="427" t="s">
        <v>1170</v>
      </c>
      <c r="X252" s="324" t="s">
        <v>1171</v>
      </c>
      <c r="Y252" s="324" t="s">
        <v>1172</v>
      </c>
      <c r="Z252" s="419"/>
      <c r="AA252" s="419"/>
      <c r="AB252" s="419"/>
      <c r="AC252" s="419"/>
      <c r="AD252" s="419"/>
      <c r="AE252" s="419"/>
      <c r="AF252" s="419"/>
      <c r="AG252" s="419"/>
      <c r="AH252" s="419"/>
      <c r="AI252" s="419"/>
      <c r="AJ252" s="419"/>
      <c r="AK252" s="419"/>
      <c r="AL252" s="419"/>
      <c r="AM252" s="419"/>
      <c r="AN252" s="419"/>
      <c r="AO252" s="454">
        <f>31408028135-56769013</f>
        <v>31351259122</v>
      </c>
      <c r="AP252" s="454">
        <v>31351259121.999996</v>
      </c>
      <c r="AQ252" s="454">
        <v>25730368390.979996</v>
      </c>
      <c r="AR252" s="419"/>
      <c r="AS252" s="419"/>
      <c r="AT252" s="419"/>
      <c r="AU252" s="419"/>
      <c r="AV252" s="419"/>
      <c r="AW252" s="419"/>
      <c r="AX252" s="419"/>
      <c r="AY252" s="419"/>
      <c r="AZ252" s="419"/>
      <c r="BA252" s="419"/>
      <c r="BB252" s="419"/>
      <c r="BC252" s="419"/>
      <c r="BD252" s="424">
        <v>0</v>
      </c>
      <c r="BE252" s="424"/>
      <c r="BF252" s="424"/>
      <c r="BG252" s="419"/>
      <c r="BH252" s="419"/>
      <c r="BI252" s="419"/>
      <c r="BJ252" s="419"/>
      <c r="BK252" s="419"/>
      <c r="BL252" s="419"/>
      <c r="BM252" s="419"/>
      <c r="BN252" s="419"/>
      <c r="BO252" s="419"/>
      <c r="BP252" s="403">
        <f>+Z252+AC252+AF252+AI252+AL252+AO252+AR252+AU252+AX252+BA252+BD252+BG252+BJ252</f>
        <v>31351259122</v>
      </c>
      <c r="BQ252" s="403">
        <f t="shared" si="96"/>
        <v>31351259121.999996</v>
      </c>
      <c r="BR252" s="403">
        <f t="shared" si="97"/>
        <v>25730368390.979996</v>
      </c>
      <c r="BS252" s="359" t="s">
        <v>1664</v>
      </c>
      <c r="BT252" s="5"/>
    </row>
    <row r="253" spans="1:72" ht="83.25" customHeight="1" x14ac:dyDescent="0.2">
      <c r="A253" s="327">
        <v>318</v>
      </c>
      <c r="B253" s="442" t="s">
        <v>1636</v>
      </c>
      <c r="C253" s="323">
        <v>1</v>
      </c>
      <c r="D253" s="417" t="s">
        <v>1622</v>
      </c>
      <c r="E253" s="323">
        <v>19</v>
      </c>
      <c r="F253" s="326" t="s">
        <v>147</v>
      </c>
      <c r="G253" s="323">
        <v>1906</v>
      </c>
      <c r="H253" s="326" t="s">
        <v>1565</v>
      </c>
      <c r="I253" s="323">
        <v>1906</v>
      </c>
      <c r="J253" s="326" t="s">
        <v>1566</v>
      </c>
      <c r="K253" s="326" t="s">
        <v>1173</v>
      </c>
      <c r="L253" s="323" t="s">
        <v>41</v>
      </c>
      <c r="M253" s="326" t="s">
        <v>1178</v>
      </c>
      <c r="N253" s="483">
        <v>1906023</v>
      </c>
      <c r="O253" s="326" t="s">
        <v>1175</v>
      </c>
      <c r="P253" s="323" t="s">
        <v>41</v>
      </c>
      <c r="Q253" s="324" t="s">
        <v>1179</v>
      </c>
      <c r="R253" s="422">
        <v>190602301</v>
      </c>
      <c r="S253" s="443" t="s">
        <v>1180</v>
      </c>
      <c r="T253" s="349" t="s">
        <v>1689</v>
      </c>
      <c r="U253" s="103">
        <v>60</v>
      </c>
      <c r="V253" s="103">
        <v>32</v>
      </c>
      <c r="W253" s="427" t="s">
        <v>1181</v>
      </c>
      <c r="X253" s="324" t="s">
        <v>1669</v>
      </c>
      <c r="Y253" s="324" t="s">
        <v>1182</v>
      </c>
      <c r="Z253" s="419"/>
      <c r="AA253" s="419"/>
      <c r="AB253" s="419"/>
      <c r="AC253" s="419"/>
      <c r="AD253" s="419"/>
      <c r="AE253" s="419"/>
      <c r="AF253" s="419"/>
      <c r="AG253" s="419"/>
      <c r="AH253" s="419"/>
      <c r="AI253" s="419"/>
      <c r="AJ253" s="419"/>
      <c r="AK253" s="419"/>
      <c r="AL253" s="419"/>
      <c r="AM253" s="419"/>
      <c r="AN253" s="419"/>
      <c r="AO253" s="454">
        <f>115688008-54899687</f>
        <v>60788321</v>
      </c>
      <c r="AP253" s="454"/>
      <c r="AQ253" s="454"/>
      <c r="AR253" s="419"/>
      <c r="AS253" s="419"/>
      <c r="AT253" s="419"/>
      <c r="AU253" s="419"/>
      <c r="AV253" s="419"/>
      <c r="AW253" s="419"/>
      <c r="AX253" s="419"/>
      <c r="AY253" s="419"/>
      <c r="AZ253" s="419"/>
      <c r="BA253" s="419"/>
      <c r="BB253" s="419"/>
      <c r="BC253" s="419"/>
      <c r="BD253" s="424"/>
      <c r="BE253" s="424"/>
      <c r="BF253" s="424"/>
      <c r="BG253" s="419"/>
      <c r="BH253" s="419"/>
      <c r="BI253" s="419"/>
      <c r="BJ253" s="419">
        <f>1361612640+709077292</f>
        <v>2070689932</v>
      </c>
      <c r="BK253" s="419">
        <v>1179572784</v>
      </c>
      <c r="BL253" s="419">
        <v>762349968</v>
      </c>
      <c r="BM253" s="419"/>
      <c r="BN253" s="419"/>
      <c r="BO253" s="419"/>
      <c r="BP253" s="403">
        <f t="shared" si="93"/>
        <v>2131478253</v>
      </c>
      <c r="BQ253" s="403">
        <f t="shared" si="96"/>
        <v>1179572784</v>
      </c>
      <c r="BR253" s="403">
        <f t="shared" si="97"/>
        <v>762349968</v>
      </c>
      <c r="BS253" s="359" t="s">
        <v>1664</v>
      </c>
      <c r="BT253" s="5"/>
    </row>
    <row r="254" spans="1:72" ht="147" customHeight="1" x14ac:dyDescent="0.2">
      <c r="A254" s="327">
        <v>318</v>
      </c>
      <c r="B254" s="442" t="s">
        <v>1636</v>
      </c>
      <c r="C254" s="323">
        <v>1</v>
      </c>
      <c r="D254" s="417" t="s">
        <v>1622</v>
      </c>
      <c r="E254" s="323">
        <v>19</v>
      </c>
      <c r="F254" s="326" t="s">
        <v>147</v>
      </c>
      <c r="G254" s="323">
        <v>1906</v>
      </c>
      <c r="H254" s="326" t="s">
        <v>1565</v>
      </c>
      <c r="I254" s="323">
        <v>1906</v>
      </c>
      <c r="J254" s="326" t="s">
        <v>1566</v>
      </c>
      <c r="K254" s="326" t="s">
        <v>1173</v>
      </c>
      <c r="L254" s="323" t="s">
        <v>41</v>
      </c>
      <c r="M254" s="326" t="s">
        <v>1183</v>
      </c>
      <c r="N254" s="323">
        <v>1906025</v>
      </c>
      <c r="O254" s="326" t="s">
        <v>1184</v>
      </c>
      <c r="P254" s="323" t="s">
        <v>41</v>
      </c>
      <c r="Q254" s="324" t="s">
        <v>1185</v>
      </c>
      <c r="R254" s="323">
        <v>190602500</v>
      </c>
      <c r="S254" s="326" t="s">
        <v>1186</v>
      </c>
      <c r="T254" s="349" t="s">
        <v>1689</v>
      </c>
      <c r="U254" s="103">
        <v>100</v>
      </c>
      <c r="V254" s="103">
        <v>60</v>
      </c>
      <c r="W254" s="427" t="s">
        <v>1181</v>
      </c>
      <c r="X254" s="324" t="s">
        <v>1669</v>
      </c>
      <c r="Y254" s="324" t="s">
        <v>1182</v>
      </c>
      <c r="Z254" s="419"/>
      <c r="AA254" s="419"/>
      <c r="AB254" s="419"/>
      <c r="AC254" s="419"/>
      <c r="AD254" s="419"/>
      <c r="AE254" s="419"/>
      <c r="AF254" s="419"/>
      <c r="AG254" s="419"/>
      <c r="AH254" s="419"/>
      <c r="AI254" s="419">
        <f>100000000+300000000</f>
        <v>400000000</v>
      </c>
      <c r="AJ254" s="419">
        <v>0</v>
      </c>
      <c r="AK254" s="419">
        <v>0</v>
      </c>
      <c r="AL254" s="419">
        <f>2224028029+3434211.2+3039348.21-3434211.2-3039348.21-489634735</f>
        <v>1734393294</v>
      </c>
      <c r="AM254" s="419">
        <v>1583722600</v>
      </c>
      <c r="AN254" s="419">
        <v>527907536</v>
      </c>
      <c r="AO254" s="458"/>
      <c r="AP254" s="458"/>
      <c r="AQ254" s="458"/>
      <c r="AR254" s="419"/>
      <c r="AS254" s="419"/>
      <c r="AT254" s="419"/>
      <c r="AU254" s="419"/>
      <c r="AV254" s="419"/>
      <c r="AW254" s="419"/>
      <c r="AX254" s="419"/>
      <c r="AY254" s="419"/>
      <c r="AZ254" s="419"/>
      <c r="BA254" s="419"/>
      <c r="BB254" s="419"/>
      <c r="BC254" s="419"/>
      <c r="BD254" s="424"/>
      <c r="BE254" s="424"/>
      <c r="BF254" s="424"/>
      <c r="BG254" s="419"/>
      <c r="BH254" s="419"/>
      <c r="BI254" s="419"/>
      <c r="BJ254" s="419"/>
      <c r="BK254" s="419"/>
      <c r="BL254" s="419"/>
      <c r="BM254" s="419"/>
      <c r="BN254" s="419"/>
      <c r="BO254" s="419"/>
      <c r="BP254" s="403">
        <f t="shared" si="93"/>
        <v>2134393294</v>
      </c>
      <c r="BQ254" s="403">
        <f t="shared" si="96"/>
        <v>1583722600</v>
      </c>
      <c r="BR254" s="403">
        <f t="shared" si="97"/>
        <v>527907536</v>
      </c>
      <c r="BS254" s="359" t="s">
        <v>1664</v>
      </c>
      <c r="BT254" s="5"/>
    </row>
    <row r="255" spans="1:72" ht="95.25" customHeight="1" x14ac:dyDescent="0.2">
      <c r="A255" s="327">
        <v>318</v>
      </c>
      <c r="B255" s="442" t="s">
        <v>1636</v>
      </c>
      <c r="C255" s="323">
        <v>1</v>
      </c>
      <c r="D255" s="417" t="s">
        <v>1622</v>
      </c>
      <c r="E255" s="323">
        <v>19</v>
      </c>
      <c r="F255" s="326" t="s">
        <v>147</v>
      </c>
      <c r="G255" s="323">
        <v>1906</v>
      </c>
      <c r="H255" s="326" t="s">
        <v>1565</v>
      </c>
      <c r="I255" s="323">
        <v>1906</v>
      </c>
      <c r="J255" s="326" t="s">
        <v>1566</v>
      </c>
      <c r="K255" s="326" t="s">
        <v>1173</v>
      </c>
      <c r="L255" s="323" t="s">
        <v>41</v>
      </c>
      <c r="M255" s="326" t="s">
        <v>1187</v>
      </c>
      <c r="N255" s="323">
        <v>1906025</v>
      </c>
      <c r="O255" s="326" t="s">
        <v>1184</v>
      </c>
      <c r="P255" s="323" t="s">
        <v>41</v>
      </c>
      <c r="Q255" s="324" t="s">
        <v>1188</v>
      </c>
      <c r="R255" s="323">
        <v>190602500</v>
      </c>
      <c r="S255" s="443" t="s">
        <v>1186</v>
      </c>
      <c r="T255" s="349" t="s">
        <v>1689</v>
      </c>
      <c r="U255" s="103">
        <v>100</v>
      </c>
      <c r="V255" s="103">
        <v>86</v>
      </c>
      <c r="W255" s="427" t="s">
        <v>1181</v>
      </c>
      <c r="X255" s="324" t="s">
        <v>1669</v>
      </c>
      <c r="Y255" s="324" t="s">
        <v>1182</v>
      </c>
      <c r="Z255" s="419"/>
      <c r="AA255" s="419"/>
      <c r="AB255" s="419"/>
      <c r="AC255" s="419"/>
      <c r="AD255" s="419"/>
      <c r="AE255" s="419"/>
      <c r="AF255" s="419"/>
      <c r="AG255" s="419"/>
      <c r="AH255" s="419"/>
      <c r="AI255" s="419">
        <f>100000000+300000000</f>
        <v>400000000</v>
      </c>
      <c r="AJ255" s="419">
        <v>400000000</v>
      </c>
      <c r="AK255" s="419">
        <v>400000000</v>
      </c>
      <c r="AL255" s="419">
        <f>3434211.2+3039348.21</f>
        <v>6473559.4100000001</v>
      </c>
      <c r="AM255" s="419">
        <v>3434211.2</v>
      </c>
      <c r="AN255" s="419">
        <v>3434211.2</v>
      </c>
      <c r="AO255" s="454">
        <f>3684809425+33937548.72+1216600524.1+22221326.62+712647104.86+2028035496</f>
        <v>7698251425.2999992</v>
      </c>
      <c r="AP255" s="419">
        <v>3217662842.7199998</v>
      </c>
      <c r="AQ255" s="419">
        <v>3217662842.7199998</v>
      </c>
      <c r="AR255" s="419"/>
      <c r="AS255" s="419"/>
      <c r="AT255" s="419"/>
      <c r="AU255" s="419"/>
      <c r="AV255" s="419"/>
      <c r="AW255" s="419"/>
      <c r="AX255" s="419"/>
      <c r="AY255" s="419"/>
      <c r="AZ255" s="419"/>
      <c r="BA255" s="419"/>
      <c r="BB255" s="419"/>
      <c r="BC255" s="419"/>
      <c r="BD255" s="424">
        <v>4000000000</v>
      </c>
      <c r="BE255" s="424">
        <v>3980197746</v>
      </c>
      <c r="BF255" s="424">
        <v>3980197746</v>
      </c>
      <c r="BG255" s="419"/>
      <c r="BH255" s="419"/>
      <c r="BI255" s="419"/>
      <c r="BJ255" s="419"/>
      <c r="BK255" s="419"/>
      <c r="BL255" s="419"/>
      <c r="BM255" s="419"/>
      <c r="BN255" s="419"/>
      <c r="BO255" s="419"/>
      <c r="BP255" s="403">
        <f t="shared" si="93"/>
        <v>12104724984.709999</v>
      </c>
      <c r="BQ255" s="403">
        <f t="shared" si="96"/>
        <v>7601294799.9200001</v>
      </c>
      <c r="BR255" s="403">
        <f t="shared" si="97"/>
        <v>7601294799.9200001</v>
      </c>
      <c r="BS255" s="359" t="s">
        <v>1664</v>
      </c>
      <c r="BT255" s="5"/>
    </row>
    <row r="256" spans="1:72" ht="95.25" customHeight="1" x14ac:dyDescent="0.2">
      <c r="A256" s="327">
        <v>318</v>
      </c>
      <c r="B256" s="442" t="s">
        <v>1636</v>
      </c>
      <c r="C256" s="323">
        <v>1</v>
      </c>
      <c r="D256" s="417" t="s">
        <v>1622</v>
      </c>
      <c r="E256" s="323">
        <v>19</v>
      </c>
      <c r="F256" s="326" t="s">
        <v>147</v>
      </c>
      <c r="G256" s="323">
        <v>1906</v>
      </c>
      <c r="H256" s="326" t="s">
        <v>1565</v>
      </c>
      <c r="I256" s="323">
        <v>1906</v>
      </c>
      <c r="J256" s="326" t="s">
        <v>1566</v>
      </c>
      <c r="K256" s="326" t="s">
        <v>1189</v>
      </c>
      <c r="L256" s="323">
        <v>1906029</v>
      </c>
      <c r="M256" s="326" t="s">
        <v>1190</v>
      </c>
      <c r="N256" s="483">
        <v>1906029</v>
      </c>
      <c r="O256" s="326" t="s">
        <v>1190</v>
      </c>
      <c r="P256" s="422">
        <v>190602900</v>
      </c>
      <c r="Q256" s="324" t="s">
        <v>1191</v>
      </c>
      <c r="R256" s="422">
        <v>190602900</v>
      </c>
      <c r="S256" s="443" t="s">
        <v>1191</v>
      </c>
      <c r="T256" s="349" t="s">
        <v>1689</v>
      </c>
      <c r="U256" s="103">
        <v>40</v>
      </c>
      <c r="V256" s="103">
        <v>35</v>
      </c>
      <c r="W256" s="427" t="s">
        <v>1192</v>
      </c>
      <c r="X256" s="324" t="s">
        <v>1193</v>
      </c>
      <c r="Y256" s="324" t="s">
        <v>1194</v>
      </c>
      <c r="Z256" s="419"/>
      <c r="AA256" s="419"/>
      <c r="AB256" s="419"/>
      <c r="AC256" s="419"/>
      <c r="AD256" s="419"/>
      <c r="AE256" s="419"/>
      <c r="AF256" s="419"/>
      <c r="AG256" s="419"/>
      <c r="AH256" s="419"/>
      <c r="AI256" s="419"/>
      <c r="AJ256" s="419"/>
      <c r="AK256" s="419"/>
      <c r="AL256" s="419"/>
      <c r="AM256" s="419"/>
      <c r="AN256" s="419"/>
      <c r="AO256" s="454">
        <v>468599154.12</v>
      </c>
      <c r="AP256" s="454">
        <v>1637500</v>
      </c>
      <c r="AQ256" s="454"/>
      <c r="AR256" s="419"/>
      <c r="AS256" s="419"/>
      <c r="AT256" s="419"/>
      <c r="AU256" s="419"/>
      <c r="AV256" s="419"/>
      <c r="AW256" s="419"/>
      <c r="AX256" s="419"/>
      <c r="AY256" s="419"/>
      <c r="AZ256" s="419"/>
      <c r="BA256" s="419"/>
      <c r="BB256" s="419"/>
      <c r="BC256" s="419"/>
      <c r="BD256" s="424">
        <f>150390000+74000000+100000000</f>
        <v>324390000</v>
      </c>
      <c r="BE256" s="424">
        <v>204688184</v>
      </c>
      <c r="BF256" s="424">
        <v>202668684</v>
      </c>
      <c r="BG256" s="419"/>
      <c r="BH256" s="419"/>
      <c r="BI256" s="419"/>
      <c r="BJ256" s="419">
        <v>308966733</v>
      </c>
      <c r="BK256" s="419">
        <v>18933992</v>
      </c>
      <c r="BL256" s="419"/>
      <c r="BM256" s="419"/>
      <c r="BN256" s="419"/>
      <c r="BO256" s="419"/>
      <c r="BP256" s="403">
        <f t="shared" si="93"/>
        <v>1101955887.1199999</v>
      </c>
      <c r="BQ256" s="403">
        <f t="shared" si="96"/>
        <v>225259676</v>
      </c>
      <c r="BR256" s="403">
        <f t="shared" si="97"/>
        <v>202668684</v>
      </c>
      <c r="BS256" s="359" t="s">
        <v>1664</v>
      </c>
      <c r="BT256" s="5"/>
    </row>
    <row r="257" spans="1:72" s="2" customFormat="1" ht="87.75" customHeight="1" x14ac:dyDescent="0.2">
      <c r="A257" s="327">
        <v>318</v>
      </c>
      <c r="B257" s="442" t="s">
        <v>1636</v>
      </c>
      <c r="C257" s="323">
        <v>1</v>
      </c>
      <c r="D257" s="417" t="s">
        <v>1622</v>
      </c>
      <c r="E257" s="323">
        <v>19</v>
      </c>
      <c r="F257" s="326" t="s">
        <v>147</v>
      </c>
      <c r="G257" s="323">
        <v>1906</v>
      </c>
      <c r="H257" s="326" t="s">
        <v>1565</v>
      </c>
      <c r="I257" s="323">
        <v>1906</v>
      </c>
      <c r="J257" s="326" t="s">
        <v>1566</v>
      </c>
      <c r="K257" s="326" t="s">
        <v>1050</v>
      </c>
      <c r="L257" s="323">
        <v>1906032</v>
      </c>
      <c r="M257" s="326" t="s">
        <v>1168</v>
      </c>
      <c r="N257" s="323">
        <v>1906032</v>
      </c>
      <c r="O257" s="326" t="s">
        <v>1168</v>
      </c>
      <c r="P257" s="422">
        <v>190603200</v>
      </c>
      <c r="Q257" s="324" t="s">
        <v>1169</v>
      </c>
      <c r="R257" s="422">
        <v>190603200</v>
      </c>
      <c r="S257" s="326" t="s">
        <v>1169</v>
      </c>
      <c r="T257" s="349" t="s">
        <v>1691</v>
      </c>
      <c r="U257" s="103">
        <v>1500</v>
      </c>
      <c r="V257" s="103">
        <v>1500</v>
      </c>
      <c r="W257" s="427" t="s">
        <v>1192</v>
      </c>
      <c r="X257" s="324" t="s">
        <v>1193</v>
      </c>
      <c r="Y257" s="324" t="s">
        <v>1194</v>
      </c>
      <c r="Z257" s="419"/>
      <c r="AA257" s="419"/>
      <c r="AB257" s="419"/>
      <c r="AC257" s="419"/>
      <c r="AD257" s="419"/>
      <c r="AE257" s="419"/>
      <c r="AF257" s="419"/>
      <c r="AG257" s="419"/>
      <c r="AH257" s="419"/>
      <c r="AI257" s="419"/>
      <c r="AJ257" s="419"/>
      <c r="AK257" s="419"/>
      <c r="AL257" s="419"/>
      <c r="AM257" s="419"/>
      <c r="AN257" s="419"/>
      <c r="AO257" s="454"/>
      <c r="AP257" s="454"/>
      <c r="AQ257" s="454"/>
      <c r="AR257" s="419"/>
      <c r="AS257" s="419"/>
      <c r="AT257" s="419"/>
      <c r="AU257" s="419"/>
      <c r="AV257" s="419"/>
      <c r="AW257" s="419"/>
      <c r="AX257" s="419"/>
      <c r="AY257" s="419"/>
      <c r="AZ257" s="419"/>
      <c r="BA257" s="419"/>
      <c r="BB257" s="419"/>
      <c r="BC257" s="419"/>
      <c r="BD257" s="424">
        <v>20000000</v>
      </c>
      <c r="BE257" s="424">
        <v>20000000</v>
      </c>
      <c r="BF257" s="424">
        <v>17310000</v>
      </c>
      <c r="BG257" s="419"/>
      <c r="BH257" s="419"/>
      <c r="BI257" s="419"/>
      <c r="BJ257" s="419"/>
      <c r="BK257" s="419"/>
      <c r="BL257" s="419"/>
      <c r="BM257" s="419"/>
      <c r="BN257" s="419"/>
      <c r="BO257" s="419"/>
      <c r="BP257" s="403">
        <f>+Z257+AC257+AF257+AI257+AL257+AO257+AR257+AU257+AX257+BA257+BD257+BG257+BJ257</f>
        <v>20000000</v>
      </c>
      <c r="BQ257" s="403">
        <f t="shared" si="96"/>
        <v>20000000</v>
      </c>
      <c r="BR257" s="403">
        <f t="shared" si="97"/>
        <v>17310000</v>
      </c>
      <c r="BS257" s="359" t="s">
        <v>1664</v>
      </c>
      <c r="BT257" s="5"/>
    </row>
    <row r="258" spans="1:72" ht="119.25" customHeight="1" x14ac:dyDescent="0.2">
      <c r="A258" s="327">
        <v>318</v>
      </c>
      <c r="B258" s="442" t="s">
        <v>1636</v>
      </c>
      <c r="C258" s="323">
        <v>1</v>
      </c>
      <c r="D258" s="417" t="s">
        <v>1622</v>
      </c>
      <c r="E258" s="323">
        <v>19</v>
      </c>
      <c r="F258" s="326" t="s">
        <v>147</v>
      </c>
      <c r="G258" s="323">
        <v>1906</v>
      </c>
      <c r="H258" s="326" t="s">
        <v>1565</v>
      </c>
      <c r="I258" s="323">
        <v>1906</v>
      </c>
      <c r="J258" s="326" t="s">
        <v>1566</v>
      </c>
      <c r="K258" s="326" t="s">
        <v>1195</v>
      </c>
      <c r="L258" s="323">
        <v>1906005</v>
      </c>
      <c r="M258" s="326" t="s">
        <v>1196</v>
      </c>
      <c r="N258" s="483">
        <v>1906005</v>
      </c>
      <c r="O258" s="326" t="s">
        <v>1196</v>
      </c>
      <c r="P258" s="422">
        <v>190600500</v>
      </c>
      <c r="Q258" s="324" t="s">
        <v>1196</v>
      </c>
      <c r="R258" s="422">
        <v>190600500</v>
      </c>
      <c r="S258" s="443" t="s">
        <v>1196</v>
      </c>
      <c r="T258" s="349" t="s">
        <v>1691</v>
      </c>
      <c r="U258" s="103">
        <v>2</v>
      </c>
      <c r="V258" s="103">
        <v>0</v>
      </c>
      <c r="W258" s="427" t="s">
        <v>1192</v>
      </c>
      <c r="X258" s="324" t="s">
        <v>1193</v>
      </c>
      <c r="Y258" s="324" t="s">
        <v>1194</v>
      </c>
      <c r="Z258" s="419"/>
      <c r="AA258" s="419"/>
      <c r="AB258" s="419"/>
      <c r="AC258" s="419"/>
      <c r="AD258" s="419"/>
      <c r="AE258" s="419"/>
      <c r="AF258" s="419"/>
      <c r="AG258" s="419"/>
      <c r="AH258" s="419"/>
      <c r="AI258" s="419"/>
      <c r="AJ258" s="419"/>
      <c r="AK258" s="419"/>
      <c r="AL258" s="419"/>
      <c r="AM258" s="419"/>
      <c r="AN258" s="419"/>
      <c r="AO258" s="454"/>
      <c r="AP258" s="454"/>
      <c r="AQ258" s="454"/>
      <c r="AR258" s="419"/>
      <c r="AS258" s="419"/>
      <c r="AT258" s="419"/>
      <c r="AU258" s="419"/>
      <c r="AV258" s="419"/>
      <c r="AW258" s="419"/>
      <c r="AX258" s="419"/>
      <c r="AY258" s="419"/>
      <c r="AZ258" s="419"/>
      <c r="BA258" s="419"/>
      <c r="BB258" s="419"/>
      <c r="BC258" s="419"/>
      <c r="BD258" s="424">
        <v>20000000</v>
      </c>
      <c r="BE258" s="424"/>
      <c r="BF258" s="424"/>
      <c r="BG258" s="419"/>
      <c r="BH258" s="419"/>
      <c r="BI258" s="419"/>
      <c r="BJ258" s="419"/>
      <c r="BK258" s="419"/>
      <c r="BL258" s="419"/>
      <c r="BM258" s="419"/>
      <c r="BN258" s="419"/>
      <c r="BO258" s="419"/>
      <c r="BP258" s="403">
        <f>+Z258+AC258+AF258+AI258+AL258+AO258+AR258+AU258+AX258+BA258+BD258+BG258+BJ258</f>
        <v>20000000</v>
      </c>
      <c r="BQ258" s="403">
        <f t="shared" si="96"/>
        <v>0</v>
      </c>
      <c r="BR258" s="403">
        <f t="shared" si="97"/>
        <v>0</v>
      </c>
      <c r="BS258" s="359" t="s">
        <v>1664</v>
      </c>
      <c r="BT258" s="5"/>
    </row>
    <row r="259" spans="1:72" ht="96.75" customHeight="1" x14ac:dyDescent="0.2">
      <c r="A259" s="327">
        <v>318</v>
      </c>
      <c r="B259" s="442" t="s">
        <v>1636</v>
      </c>
      <c r="C259" s="323">
        <v>1</v>
      </c>
      <c r="D259" s="417" t="s">
        <v>1622</v>
      </c>
      <c r="E259" s="323">
        <v>19</v>
      </c>
      <c r="F259" s="326" t="s">
        <v>147</v>
      </c>
      <c r="G259" s="323">
        <v>1906</v>
      </c>
      <c r="H259" s="326" t="s">
        <v>1565</v>
      </c>
      <c r="I259" s="323">
        <v>1906</v>
      </c>
      <c r="J259" s="326" t="s">
        <v>1566</v>
      </c>
      <c r="K259" s="326" t="s">
        <v>995</v>
      </c>
      <c r="L259" s="323">
        <v>1906022</v>
      </c>
      <c r="M259" s="326" t="s">
        <v>1197</v>
      </c>
      <c r="N259" s="483">
        <v>1906022</v>
      </c>
      <c r="O259" s="326" t="s">
        <v>1197</v>
      </c>
      <c r="P259" s="422">
        <v>190602200</v>
      </c>
      <c r="Q259" s="324" t="s">
        <v>1198</v>
      </c>
      <c r="R259" s="422">
        <v>190602200</v>
      </c>
      <c r="S259" s="443" t="s">
        <v>1198</v>
      </c>
      <c r="T259" s="349" t="s">
        <v>1691</v>
      </c>
      <c r="U259" s="103">
        <v>1</v>
      </c>
      <c r="V259" s="103">
        <v>0</v>
      </c>
      <c r="W259" s="427" t="s">
        <v>1192</v>
      </c>
      <c r="X259" s="324" t="s">
        <v>1193</v>
      </c>
      <c r="Y259" s="324" t="s">
        <v>1194</v>
      </c>
      <c r="Z259" s="419"/>
      <c r="AA259" s="419"/>
      <c r="AB259" s="419"/>
      <c r="AC259" s="419"/>
      <c r="AD259" s="419"/>
      <c r="AE259" s="419"/>
      <c r="AF259" s="419"/>
      <c r="AG259" s="419"/>
      <c r="AH259" s="419"/>
      <c r="AI259" s="419"/>
      <c r="AJ259" s="419"/>
      <c r="AK259" s="419"/>
      <c r="AL259" s="419"/>
      <c r="AM259" s="419"/>
      <c r="AN259" s="419"/>
      <c r="AO259" s="454"/>
      <c r="AP259" s="454"/>
      <c r="AQ259" s="454"/>
      <c r="AR259" s="419"/>
      <c r="AS259" s="419"/>
      <c r="AT259" s="419"/>
      <c r="AU259" s="419"/>
      <c r="AV259" s="419"/>
      <c r="AW259" s="419"/>
      <c r="AX259" s="419"/>
      <c r="AY259" s="419"/>
      <c r="AZ259" s="419"/>
      <c r="BA259" s="419"/>
      <c r="BB259" s="419"/>
      <c r="BC259" s="419"/>
      <c r="BD259" s="424">
        <v>20000000</v>
      </c>
      <c r="BE259" s="424"/>
      <c r="BF259" s="424"/>
      <c r="BG259" s="419"/>
      <c r="BH259" s="419"/>
      <c r="BI259" s="419"/>
      <c r="BJ259" s="419"/>
      <c r="BK259" s="419"/>
      <c r="BL259" s="419"/>
      <c r="BM259" s="419"/>
      <c r="BN259" s="419"/>
      <c r="BO259" s="419"/>
      <c r="BP259" s="403">
        <f>+Z259+AC259+AF259+AI259+AL259+AO259+AR259+AU259+AX259+BA259+BD259+BG259+BJ259</f>
        <v>20000000</v>
      </c>
      <c r="BQ259" s="403">
        <f t="shared" si="96"/>
        <v>0</v>
      </c>
      <c r="BR259" s="403">
        <f t="shared" si="97"/>
        <v>0</v>
      </c>
      <c r="BS259" s="359" t="s">
        <v>1664</v>
      </c>
      <c r="BT259" s="5"/>
    </row>
    <row r="260" spans="1:72" ht="94.5" customHeight="1" x14ac:dyDescent="0.2">
      <c r="A260" s="327">
        <v>318</v>
      </c>
      <c r="B260" s="442" t="s">
        <v>1636</v>
      </c>
      <c r="C260" s="323">
        <v>1</v>
      </c>
      <c r="D260" s="417" t="s">
        <v>1622</v>
      </c>
      <c r="E260" s="323">
        <v>19</v>
      </c>
      <c r="F260" s="326" t="s">
        <v>147</v>
      </c>
      <c r="G260" s="323">
        <v>1906</v>
      </c>
      <c r="H260" s="326" t="s">
        <v>1565</v>
      </c>
      <c r="I260" s="323">
        <v>1906</v>
      </c>
      <c r="J260" s="326" t="s">
        <v>1566</v>
      </c>
      <c r="K260" s="326" t="s">
        <v>1173</v>
      </c>
      <c r="L260" s="323" t="s">
        <v>41</v>
      </c>
      <c r="M260" s="326" t="s">
        <v>1178</v>
      </c>
      <c r="N260" s="483">
        <v>1906023</v>
      </c>
      <c r="O260" s="326" t="s">
        <v>1199</v>
      </c>
      <c r="P260" s="323" t="s">
        <v>41</v>
      </c>
      <c r="Q260" s="324" t="s">
        <v>1200</v>
      </c>
      <c r="R260" s="422">
        <v>190602301</v>
      </c>
      <c r="S260" s="443" t="s">
        <v>1180</v>
      </c>
      <c r="T260" s="349" t="s">
        <v>1689</v>
      </c>
      <c r="U260" s="103">
        <v>40</v>
      </c>
      <c r="V260" s="103">
        <v>0</v>
      </c>
      <c r="W260" s="427" t="s">
        <v>1192</v>
      </c>
      <c r="X260" s="324" t="s">
        <v>1193</v>
      </c>
      <c r="Y260" s="324" t="s">
        <v>1194</v>
      </c>
      <c r="Z260" s="419"/>
      <c r="AA260" s="419"/>
      <c r="AB260" s="419"/>
      <c r="AC260" s="419"/>
      <c r="AD260" s="419"/>
      <c r="AE260" s="419"/>
      <c r="AF260" s="419"/>
      <c r="AG260" s="419"/>
      <c r="AH260" s="419"/>
      <c r="AI260" s="419"/>
      <c r="AJ260" s="419"/>
      <c r="AK260" s="419"/>
      <c r="AL260" s="419"/>
      <c r="AM260" s="419"/>
      <c r="AN260" s="419"/>
      <c r="AO260" s="454"/>
      <c r="AP260" s="454"/>
      <c r="AQ260" s="454"/>
      <c r="AR260" s="419"/>
      <c r="AS260" s="419"/>
      <c r="AT260" s="419"/>
      <c r="AU260" s="419"/>
      <c r="AV260" s="419"/>
      <c r="AW260" s="419"/>
      <c r="AX260" s="419"/>
      <c r="AY260" s="419"/>
      <c r="AZ260" s="419"/>
      <c r="BA260" s="419"/>
      <c r="BB260" s="419"/>
      <c r="BC260" s="419"/>
      <c r="BD260" s="424">
        <v>20000000</v>
      </c>
      <c r="BE260" s="424"/>
      <c r="BF260" s="424"/>
      <c r="BG260" s="419"/>
      <c r="BH260" s="419"/>
      <c r="BI260" s="419"/>
      <c r="BJ260" s="419"/>
      <c r="BK260" s="419"/>
      <c r="BL260" s="419"/>
      <c r="BM260" s="419"/>
      <c r="BN260" s="419"/>
      <c r="BO260" s="419"/>
      <c r="BP260" s="403">
        <f>+Z260+AC260+AF260+AI260+AL260+AO260+AR260+AU260+AX260+BA260+BD260+BG260+BJ260</f>
        <v>20000000</v>
      </c>
      <c r="BQ260" s="403">
        <f t="shared" si="96"/>
        <v>0</v>
      </c>
      <c r="BR260" s="403">
        <f t="shared" si="97"/>
        <v>0</v>
      </c>
      <c r="BS260" s="359" t="s">
        <v>1664</v>
      </c>
      <c r="BT260" s="5"/>
    </row>
    <row r="261" spans="1:72" ht="75" customHeight="1" x14ac:dyDescent="0.2">
      <c r="A261" s="327">
        <v>324</v>
      </c>
      <c r="B261" s="417" t="s">
        <v>1668</v>
      </c>
      <c r="C261" s="323">
        <v>1</v>
      </c>
      <c r="D261" s="417" t="s">
        <v>1622</v>
      </c>
      <c r="E261" s="323">
        <v>23</v>
      </c>
      <c r="F261" s="326" t="s">
        <v>1202</v>
      </c>
      <c r="G261" s="323">
        <v>2301</v>
      </c>
      <c r="H261" s="326" t="s">
        <v>1569</v>
      </c>
      <c r="I261" s="323">
        <v>2301</v>
      </c>
      <c r="J261" s="326" t="s">
        <v>1570</v>
      </c>
      <c r="K261" s="326" t="s">
        <v>1204</v>
      </c>
      <c r="L261" s="323">
        <v>2301024</v>
      </c>
      <c r="M261" s="493" t="s">
        <v>1205</v>
      </c>
      <c r="N261" s="323">
        <v>2301024</v>
      </c>
      <c r="O261" s="493" t="s">
        <v>1205</v>
      </c>
      <c r="P261" s="422">
        <v>230102401</v>
      </c>
      <c r="Q261" s="326" t="s">
        <v>1206</v>
      </c>
      <c r="R261" s="422">
        <v>230102401</v>
      </c>
      <c r="S261" s="326" t="s">
        <v>1206</v>
      </c>
      <c r="T261" s="349" t="s">
        <v>1689</v>
      </c>
      <c r="U261" s="103">
        <v>15</v>
      </c>
      <c r="V261" s="103">
        <v>0</v>
      </c>
      <c r="W261" s="427" t="s">
        <v>1207</v>
      </c>
      <c r="X261" s="324" t="s">
        <v>1208</v>
      </c>
      <c r="Y261" s="324" t="s">
        <v>1209</v>
      </c>
      <c r="Z261" s="419"/>
      <c r="AA261" s="419"/>
      <c r="AB261" s="419"/>
      <c r="AC261" s="419"/>
      <c r="AD261" s="419"/>
      <c r="AE261" s="419"/>
      <c r="AF261" s="419"/>
      <c r="AG261" s="419"/>
      <c r="AH261" s="419"/>
      <c r="AI261" s="403"/>
      <c r="AJ261" s="403"/>
      <c r="AK261" s="403"/>
      <c r="AL261" s="403"/>
      <c r="AM261" s="403"/>
      <c r="AN261" s="403"/>
      <c r="AO261" s="403"/>
      <c r="AP261" s="403"/>
      <c r="AQ261" s="403"/>
      <c r="AR261" s="403"/>
      <c r="AS261" s="403"/>
      <c r="AT261" s="403"/>
      <c r="AU261" s="403"/>
      <c r="AV261" s="403"/>
      <c r="AW261" s="403"/>
      <c r="AX261" s="403"/>
      <c r="AY261" s="403"/>
      <c r="AZ261" s="403"/>
      <c r="BA261" s="403"/>
      <c r="BB261" s="403"/>
      <c r="BC261" s="403"/>
      <c r="BD261" s="403">
        <v>18000000</v>
      </c>
      <c r="BE261" s="403"/>
      <c r="BF261" s="403"/>
      <c r="BG261" s="403"/>
      <c r="BH261" s="403"/>
      <c r="BI261" s="403"/>
      <c r="BJ261" s="403"/>
      <c r="BK261" s="403"/>
      <c r="BL261" s="403"/>
      <c r="BM261" s="403"/>
      <c r="BN261" s="403"/>
      <c r="BO261" s="403"/>
      <c r="BP261" s="403">
        <f>+Z261+AC261+AF261+AI261+AL261+AO261+AR261+AU261+AX261+BA261+BD261+BG261+BJ261</f>
        <v>18000000</v>
      </c>
      <c r="BQ261" s="403">
        <f>+AA261+AD261+AG261+AJ261+AM261+AP261+AS261+AV261+AY261+BB261+BE261+BH261+BK261</f>
        <v>0</v>
      </c>
      <c r="BR261" s="403">
        <f>+AB261+AE261+AH261+AK261+AN261+AQ261+AT261+AW261+AZ261+BC261+BF261+BI261+BL261</f>
        <v>0</v>
      </c>
      <c r="BS261" s="359" t="s">
        <v>1665</v>
      </c>
      <c r="BT261" s="5"/>
    </row>
    <row r="262" spans="1:72" ht="75" customHeight="1" x14ac:dyDescent="0.2">
      <c r="A262" s="327">
        <v>324</v>
      </c>
      <c r="B262" s="417" t="s">
        <v>1668</v>
      </c>
      <c r="C262" s="323">
        <v>1</v>
      </c>
      <c r="D262" s="417" t="s">
        <v>1622</v>
      </c>
      <c r="E262" s="323">
        <v>23</v>
      </c>
      <c r="F262" s="326" t="s">
        <v>1202</v>
      </c>
      <c r="G262" s="323">
        <v>2301</v>
      </c>
      <c r="H262" s="326" t="s">
        <v>1569</v>
      </c>
      <c r="I262" s="323">
        <v>2301</v>
      </c>
      <c r="J262" s="326" t="s">
        <v>1570</v>
      </c>
      <c r="K262" s="326" t="s">
        <v>1204</v>
      </c>
      <c r="L262" s="323">
        <v>2301024</v>
      </c>
      <c r="M262" s="493" t="s">
        <v>1205</v>
      </c>
      <c r="N262" s="323">
        <v>2301024</v>
      </c>
      <c r="O262" s="493" t="s">
        <v>1205</v>
      </c>
      <c r="P262" s="422">
        <v>230102404</v>
      </c>
      <c r="Q262" s="326" t="s">
        <v>1210</v>
      </c>
      <c r="R262" s="422">
        <v>230102404</v>
      </c>
      <c r="S262" s="326" t="s">
        <v>1210</v>
      </c>
      <c r="T262" s="349" t="s">
        <v>1691</v>
      </c>
      <c r="U262" s="103">
        <v>3</v>
      </c>
      <c r="V262" s="103">
        <v>0</v>
      </c>
      <c r="W262" s="427" t="s">
        <v>1207</v>
      </c>
      <c r="X262" s="324" t="s">
        <v>1208</v>
      </c>
      <c r="Y262" s="324" t="s">
        <v>1209</v>
      </c>
      <c r="Z262" s="419"/>
      <c r="AA262" s="419"/>
      <c r="AB262" s="419"/>
      <c r="AC262" s="419"/>
      <c r="AD262" s="419"/>
      <c r="AE262" s="419"/>
      <c r="AF262" s="419"/>
      <c r="AG262" s="419"/>
      <c r="AH262" s="419"/>
      <c r="AI262" s="403"/>
      <c r="AJ262" s="403"/>
      <c r="AK262" s="403"/>
      <c r="AL262" s="403"/>
      <c r="AM262" s="403"/>
      <c r="AN262" s="403"/>
      <c r="AO262" s="403"/>
      <c r="AP262" s="403"/>
      <c r="AQ262" s="403"/>
      <c r="AR262" s="403"/>
      <c r="AS262" s="403"/>
      <c r="AT262" s="403"/>
      <c r="AU262" s="403"/>
      <c r="AV262" s="403"/>
      <c r="AW262" s="403"/>
      <c r="AX262" s="403"/>
      <c r="AY262" s="403"/>
      <c r="AZ262" s="403"/>
      <c r="BA262" s="403"/>
      <c r="BB262" s="403"/>
      <c r="BC262" s="403"/>
      <c r="BD262" s="403">
        <f>100000000+77460000+50000000+80000000</f>
        <v>307460000</v>
      </c>
      <c r="BE262" s="403">
        <v>49720000</v>
      </c>
      <c r="BF262" s="403">
        <v>29920000</v>
      </c>
      <c r="BG262" s="403"/>
      <c r="BH262" s="403"/>
      <c r="BI262" s="403"/>
      <c r="BJ262" s="403"/>
      <c r="BK262" s="403"/>
      <c r="BL262" s="403"/>
      <c r="BM262" s="403"/>
      <c r="BN262" s="403"/>
      <c r="BO262" s="403"/>
      <c r="BP262" s="403">
        <f t="shared" ref="BP262:BP269" si="98">+Z262+AC262+AF262+AI262+AL262+AO262+AR262+AU262+AX262+BA262+BD262+BG262+BJ262</f>
        <v>307460000</v>
      </c>
      <c r="BQ262" s="403">
        <f t="shared" ref="BQ262:BR269" si="99">+AA262+AD262+AG262+AJ262+AM262+AP262+AS262+AV262+AY262+BB262+BE262+BH262+BK262</f>
        <v>49720000</v>
      </c>
      <c r="BR262" s="403">
        <f t="shared" si="99"/>
        <v>29920000</v>
      </c>
      <c r="BS262" s="359" t="s">
        <v>1665</v>
      </c>
      <c r="BT262" s="5"/>
    </row>
    <row r="263" spans="1:72" ht="103.5" customHeight="1" x14ac:dyDescent="0.2">
      <c r="A263" s="327">
        <v>324</v>
      </c>
      <c r="B263" s="417" t="s">
        <v>1668</v>
      </c>
      <c r="C263" s="323">
        <v>1</v>
      </c>
      <c r="D263" s="417" t="s">
        <v>1622</v>
      </c>
      <c r="E263" s="323">
        <v>23</v>
      </c>
      <c r="F263" s="326" t="s">
        <v>1202</v>
      </c>
      <c r="G263" s="323">
        <v>2301</v>
      </c>
      <c r="H263" s="326" t="s">
        <v>1569</v>
      </c>
      <c r="I263" s="323">
        <v>2301</v>
      </c>
      <c r="J263" s="326" t="s">
        <v>1570</v>
      </c>
      <c r="K263" s="326" t="s">
        <v>1204</v>
      </c>
      <c r="L263" s="103">
        <v>2301012</v>
      </c>
      <c r="M263" s="326" t="s">
        <v>1211</v>
      </c>
      <c r="N263" s="323">
        <v>2301079</v>
      </c>
      <c r="O263" s="326" t="s">
        <v>1212</v>
      </c>
      <c r="P263" s="103">
        <v>230101204</v>
      </c>
      <c r="Q263" s="326" t="s">
        <v>1213</v>
      </c>
      <c r="R263" s="422">
        <v>230107902</v>
      </c>
      <c r="S263" s="326" t="s">
        <v>1214</v>
      </c>
      <c r="T263" s="349" t="s">
        <v>1691</v>
      </c>
      <c r="U263" s="103">
        <v>13</v>
      </c>
      <c r="V263" s="103">
        <v>0</v>
      </c>
      <c r="W263" s="427" t="s">
        <v>1207</v>
      </c>
      <c r="X263" s="324" t="s">
        <v>1208</v>
      </c>
      <c r="Y263" s="324" t="s">
        <v>1209</v>
      </c>
      <c r="Z263" s="419"/>
      <c r="AA263" s="419"/>
      <c r="AB263" s="419"/>
      <c r="AC263" s="419"/>
      <c r="AD263" s="419"/>
      <c r="AE263" s="419"/>
      <c r="AF263" s="419"/>
      <c r="AG263" s="419"/>
      <c r="AH263" s="419"/>
      <c r="AI263" s="403"/>
      <c r="AJ263" s="403"/>
      <c r="AK263" s="403"/>
      <c r="AL263" s="403"/>
      <c r="AM263" s="403"/>
      <c r="AN263" s="403"/>
      <c r="AO263" s="403"/>
      <c r="AP263" s="403"/>
      <c r="AQ263" s="403"/>
      <c r="AR263" s="403"/>
      <c r="AS263" s="403"/>
      <c r="AT263" s="403"/>
      <c r="AU263" s="403"/>
      <c r="AV263" s="403"/>
      <c r="AW263" s="403"/>
      <c r="AX263" s="403"/>
      <c r="AY263" s="403"/>
      <c r="AZ263" s="403"/>
      <c r="BA263" s="403"/>
      <c r="BB263" s="403"/>
      <c r="BC263" s="403"/>
      <c r="BD263" s="403">
        <f>80000000-80000000</f>
        <v>0</v>
      </c>
      <c r="BE263" s="403"/>
      <c r="BF263" s="403"/>
      <c r="BG263" s="403"/>
      <c r="BH263" s="403"/>
      <c r="BI263" s="403"/>
      <c r="BJ263" s="403"/>
      <c r="BK263" s="403"/>
      <c r="BL263" s="403"/>
      <c r="BM263" s="403"/>
      <c r="BN263" s="403"/>
      <c r="BO263" s="403"/>
      <c r="BP263" s="403">
        <f t="shared" si="98"/>
        <v>0</v>
      </c>
      <c r="BQ263" s="403">
        <f t="shared" si="99"/>
        <v>0</v>
      </c>
      <c r="BR263" s="403">
        <f t="shared" si="99"/>
        <v>0</v>
      </c>
      <c r="BS263" s="359" t="s">
        <v>1665</v>
      </c>
      <c r="BT263" s="5"/>
    </row>
    <row r="264" spans="1:72" ht="96.75" customHeight="1" x14ac:dyDescent="0.2">
      <c r="A264" s="327">
        <v>324</v>
      </c>
      <c r="B264" s="417" t="s">
        <v>1668</v>
      </c>
      <c r="C264" s="323">
        <v>1</v>
      </c>
      <c r="D264" s="417" t="s">
        <v>1622</v>
      </c>
      <c r="E264" s="323">
        <v>23</v>
      </c>
      <c r="F264" s="326" t="s">
        <v>1202</v>
      </c>
      <c r="G264" s="323">
        <v>2301</v>
      </c>
      <c r="H264" s="326" t="s">
        <v>1569</v>
      </c>
      <c r="I264" s="323">
        <v>2301</v>
      </c>
      <c r="J264" s="326" t="s">
        <v>1570</v>
      </c>
      <c r="K264" s="326" t="s">
        <v>1204</v>
      </c>
      <c r="L264" s="323">
        <v>2301062</v>
      </c>
      <c r="M264" s="326" t="s">
        <v>1215</v>
      </c>
      <c r="N264" s="323">
        <v>2301062</v>
      </c>
      <c r="O264" s="326" t="s">
        <v>1215</v>
      </c>
      <c r="P264" s="422">
        <v>230106201</v>
      </c>
      <c r="Q264" s="326" t="s">
        <v>1216</v>
      </c>
      <c r="R264" s="422">
        <v>230106201</v>
      </c>
      <c r="S264" s="326" t="s">
        <v>1216</v>
      </c>
      <c r="T264" s="349" t="s">
        <v>1670</v>
      </c>
      <c r="U264" s="103">
        <v>9</v>
      </c>
      <c r="V264" s="103">
        <v>9</v>
      </c>
      <c r="W264" s="427" t="s">
        <v>1207</v>
      </c>
      <c r="X264" s="324" t="s">
        <v>1208</v>
      </c>
      <c r="Y264" s="324" t="s">
        <v>1209</v>
      </c>
      <c r="Z264" s="419"/>
      <c r="AA264" s="419"/>
      <c r="AB264" s="419"/>
      <c r="AC264" s="419"/>
      <c r="AD264" s="419"/>
      <c r="AE264" s="419"/>
      <c r="AF264" s="419"/>
      <c r="AG264" s="419"/>
      <c r="AH264" s="419"/>
      <c r="AI264" s="403"/>
      <c r="AJ264" s="403"/>
      <c r="AK264" s="403"/>
      <c r="AL264" s="403"/>
      <c r="AM264" s="403"/>
      <c r="AN264" s="403"/>
      <c r="AO264" s="403"/>
      <c r="AP264" s="403"/>
      <c r="AQ264" s="403"/>
      <c r="AR264" s="403"/>
      <c r="AS264" s="403"/>
      <c r="AT264" s="403"/>
      <c r="AU264" s="403"/>
      <c r="AV264" s="403"/>
      <c r="AW264" s="403"/>
      <c r="AX264" s="403"/>
      <c r="AY264" s="403"/>
      <c r="AZ264" s="403"/>
      <c r="BA264" s="403"/>
      <c r="BB264" s="403"/>
      <c r="BC264" s="403"/>
      <c r="BD264" s="403">
        <v>0</v>
      </c>
      <c r="BE264" s="403"/>
      <c r="BF264" s="403"/>
      <c r="BG264" s="403"/>
      <c r="BH264" s="403"/>
      <c r="BI264" s="403"/>
      <c r="BJ264" s="403"/>
      <c r="BK264" s="403"/>
      <c r="BL264" s="403"/>
      <c r="BM264" s="403"/>
      <c r="BN264" s="403"/>
      <c r="BO264" s="403"/>
      <c r="BP264" s="403">
        <f t="shared" si="98"/>
        <v>0</v>
      </c>
      <c r="BQ264" s="403">
        <f t="shared" si="99"/>
        <v>0</v>
      </c>
      <c r="BR264" s="403">
        <f t="shared" si="99"/>
        <v>0</v>
      </c>
      <c r="BS264" s="359" t="s">
        <v>1665</v>
      </c>
      <c r="BT264" s="5"/>
    </row>
    <row r="265" spans="1:72" ht="102" customHeight="1" x14ac:dyDescent="0.2">
      <c r="A265" s="327">
        <v>324</v>
      </c>
      <c r="B265" s="417" t="s">
        <v>1668</v>
      </c>
      <c r="C265" s="323">
        <v>1</v>
      </c>
      <c r="D265" s="417" t="s">
        <v>1622</v>
      </c>
      <c r="E265" s="323">
        <v>23</v>
      </c>
      <c r="F265" s="326" t="s">
        <v>1202</v>
      </c>
      <c r="G265" s="323">
        <v>2301</v>
      </c>
      <c r="H265" s="326" t="s">
        <v>1569</v>
      </c>
      <c r="I265" s="323">
        <v>2301</v>
      </c>
      <c r="J265" s="326" t="s">
        <v>1570</v>
      </c>
      <c r="K265" s="326" t="s">
        <v>1217</v>
      </c>
      <c r="L265" s="323">
        <v>2301030</v>
      </c>
      <c r="M265" s="326" t="s">
        <v>1218</v>
      </c>
      <c r="N265" s="323">
        <v>2301030</v>
      </c>
      <c r="O265" s="326" t="s">
        <v>1218</v>
      </c>
      <c r="P265" s="422">
        <v>230103000</v>
      </c>
      <c r="Q265" s="326" t="s">
        <v>1219</v>
      </c>
      <c r="R265" s="422">
        <v>230103000</v>
      </c>
      <c r="S265" s="326" t="s">
        <v>1219</v>
      </c>
      <c r="T265" s="349" t="s">
        <v>1691</v>
      </c>
      <c r="U265" s="103">
        <v>2500</v>
      </c>
      <c r="V265" s="103">
        <v>1407</v>
      </c>
      <c r="W265" s="439" t="s">
        <v>1220</v>
      </c>
      <c r="X265" s="324" t="s">
        <v>1221</v>
      </c>
      <c r="Y265" s="452" t="s">
        <v>1222</v>
      </c>
      <c r="Z265" s="419"/>
      <c r="AA265" s="419"/>
      <c r="AB265" s="419"/>
      <c r="AC265" s="419"/>
      <c r="AD265" s="419"/>
      <c r="AE265" s="419"/>
      <c r="AF265" s="419"/>
      <c r="AG265" s="419"/>
      <c r="AH265" s="419"/>
      <c r="AI265" s="403"/>
      <c r="AJ265" s="403"/>
      <c r="AK265" s="403"/>
      <c r="AL265" s="403"/>
      <c r="AM265" s="403"/>
      <c r="AN265" s="403"/>
      <c r="AO265" s="403"/>
      <c r="AP265" s="403"/>
      <c r="AQ265" s="403"/>
      <c r="AR265" s="403"/>
      <c r="AS265" s="403"/>
      <c r="AT265" s="403"/>
      <c r="AU265" s="403"/>
      <c r="AV265" s="403"/>
      <c r="AW265" s="403"/>
      <c r="AX265" s="403"/>
      <c r="AY265" s="403"/>
      <c r="AZ265" s="403"/>
      <c r="BA265" s="403"/>
      <c r="BB265" s="403"/>
      <c r="BC265" s="403"/>
      <c r="BD265" s="403">
        <f>36000000+222540000</f>
        <v>258540000</v>
      </c>
      <c r="BE265" s="403">
        <v>175030733</v>
      </c>
      <c r="BF265" s="403">
        <v>81472400</v>
      </c>
      <c r="BG265" s="403"/>
      <c r="BH265" s="403"/>
      <c r="BI265" s="403"/>
      <c r="BJ265" s="403"/>
      <c r="BK265" s="403"/>
      <c r="BL265" s="403"/>
      <c r="BM265" s="403"/>
      <c r="BN265" s="403"/>
      <c r="BO265" s="403"/>
      <c r="BP265" s="403">
        <f t="shared" si="98"/>
        <v>258540000</v>
      </c>
      <c r="BQ265" s="403">
        <f t="shared" si="99"/>
        <v>175030733</v>
      </c>
      <c r="BR265" s="403">
        <f t="shared" si="99"/>
        <v>81472400</v>
      </c>
      <c r="BS265" s="359" t="s">
        <v>1665</v>
      </c>
      <c r="BT265" s="5"/>
    </row>
    <row r="266" spans="1:72" ht="91.5" customHeight="1" x14ac:dyDescent="0.2">
      <c r="A266" s="327">
        <v>324</v>
      </c>
      <c r="B266" s="417" t="s">
        <v>1668</v>
      </c>
      <c r="C266" s="323">
        <v>1</v>
      </c>
      <c r="D266" s="417" t="s">
        <v>1622</v>
      </c>
      <c r="E266" s="323">
        <v>23</v>
      </c>
      <c r="F266" s="326" t="s">
        <v>1202</v>
      </c>
      <c r="G266" s="323">
        <v>2301</v>
      </c>
      <c r="H266" s="326" t="s">
        <v>1569</v>
      </c>
      <c r="I266" s="323">
        <v>2301</v>
      </c>
      <c r="J266" s="326" t="s">
        <v>1570</v>
      </c>
      <c r="K266" s="326" t="s">
        <v>1217</v>
      </c>
      <c r="L266" s="323">
        <v>2301015</v>
      </c>
      <c r="M266" s="326" t="s">
        <v>1223</v>
      </c>
      <c r="N266" s="323">
        <v>2301015</v>
      </c>
      <c r="O266" s="326" t="s">
        <v>1223</v>
      </c>
      <c r="P266" s="422">
        <v>230101500</v>
      </c>
      <c r="Q266" s="326" t="s">
        <v>1224</v>
      </c>
      <c r="R266" s="422">
        <v>230101500</v>
      </c>
      <c r="S266" s="326" t="s">
        <v>1224</v>
      </c>
      <c r="T266" s="349" t="s">
        <v>1689</v>
      </c>
      <c r="U266" s="103">
        <v>3</v>
      </c>
      <c r="V266" s="103">
        <v>3</v>
      </c>
      <c r="W266" s="439" t="s">
        <v>1220</v>
      </c>
      <c r="X266" s="324" t="s">
        <v>1221</v>
      </c>
      <c r="Y266" s="452" t="s">
        <v>1222</v>
      </c>
      <c r="Z266" s="419"/>
      <c r="AA266" s="419"/>
      <c r="AB266" s="419"/>
      <c r="AC266" s="419"/>
      <c r="AD266" s="419"/>
      <c r="AE266" s="419"/>
      <c r="AF266" s="419"/>
      <c r="AG266" s="419"/>
      <c r="AH266" s="419"/>
      <c r="AI266" s="403"/>
      <c r="AJ266" s="403"/>
      <c r="AK266" s="403"/>
      <c r="AL266" s="403"/>
      <c r="AM266" s="403"/>
      <c r="AN266" s="403"/>
      <c r="AO266" s="403"/>
      <c r="AP266" s="403"/>
      <c r="AQ266" s="403"/>
      <c r="AR266" s="403"/>
      <c r="AS266" s="403"/>
      <c r="AT266" s="403"/>
      <c r="AU266" s="403"/>
      <c r="AV266" s="403"/>
      <c r="AW266" s="403"/>
      <c r="AX266" s="403"/>
      <c r="AY266" s="403"/>
      <c r="AZ266" s="403"/>
      <c r="BA266" s="403"/>
      <c r="BB266" s="403"/>
      <c r="BC266" s="403"/>
      <c r="BD266" s="403">
        <v>18000000</v>
      </c>
      <c r="BE266" s="403">
        <v>15465000</v>
      </c>
      <c r="BF266" s="403">
        <v>5155000</v>
      </c>
      <c r="BG266" s="403"/>
      <c r="BH266" s="403"/>
      <c r="BI266" s="403"/>
      <c r="BJ266" s="403"/>
      <c r="BK266" s="403"/>
      <c r="BL266" s="403"/>
      <c r="BM266" s="403"/>
      <c r="BN266" s="403"/>
      <c r="BO266" s="403"/>
      <c r="BP266" s="403">
        <f t="shared" si="98"/>
        <v>18000000</v>
      </c>
      <c r="BQ266" s="403">
        <f t="shared" si="99"/>
        <v>15465000</v>
      </c>
      <c r="BR266" s="403">
        <f t="shared" si="99"/>
        <v>5155000</v>
      </c>
      <c r="BS266" s="359" t="s">
        <v>1665</v>
      </c>
      <c r="BT266" s="5"/>
    </row>
    <row r="267" spans="1:72" ht="99.75" customHeight="1" x14ac:dyDescent="0.2">
      <c r="A267" s="327">
        <v>324</v>
      </c>
      <c r="B267" s="417" t="s">
        <v>1668</v>
      </c>
      <c r="C267" s="323">
        <v>1</v>
      </c>
      <c r="D267" s="417" t="s">
        <v>1622</v>
      </c>
      <c r="E267" s="323">
        <v>23</v>
      </c>
      <c r="F267" s="326" t="s">
        <v>1202</v>
      </c>
      <c r="G267" s="323">
        <v>2301</v>
      </c>
      <c r="H267" s="326" t="s">
        <v>1569</v>
      </c>
      <c r="I267" s="323">
        <v>2301</v>
      </c>
      <c r="J267" s="326" t="s">
        <v>1570</v>
      </c>
      <c r="K267" s="326" t="s">
        <v>1217</v>
      </c>
      <c r="L267" s="323">
        <v>2301004</v>
      </c>
      <c r="M267" s="326" t="s">
        <v>233</v>
      </c>
      <c r="N267" s="323">
        <v>2301004</v>
      </c>
      <c r="O267" s="326" t="s">
        <v>233</v>
      </c>
      <c r="P267" s="103">
        <v>230200400</v>
      </c>
      <c r="Q267" s="326" t="s">
        <v>235</v>
      </c>
      <c r="R267" s="422">
        <v>230100400</v>
      </c>
      <c r="S267" s="326" t="s">
        <v>235</v>
      </c>
      <c r="T267" s="349" t="s">
        <v>1689</v>
      </c>
      <c r="U267" s="103">
        <v>1</v>
      </c>
      <c r="V267" s="103">
        <v>0.8</v>
      </c>
      <c r="W267" s="439" t="s">
        <v>1220</v>
      </c>
      <c r="X267" s="324" t="s">
        <v>1221</v>
      </c>
      <c r="Y267" s="452" t="s">
        <v>1222</v>
      </c>
      <c r="Z267" s="419"/>
      <c r="AA267" s="419"/>
      <c r="AB267" s="419"/>
      <c r="AC267" s="419"/>
      <c r="AD267" s="419"/>
      <c r="AE267" s="419"/>
      <c r="AF267" s="419"/>
      <c r="AG267" s="419"/>
      <c r="AH267" s="419"/>
      <c r="AI267" s="403"/>
      <c r="AJ267" s="403"/>
      <c r="AK267" s="403"/>
      <c r="AL267" s="403"/>
      <c r="AM267" s="403"/>
      <c r="AN267" s="403"/>
      <c r="AO267" s="403"/>
      <c r="AP267" s="403"/>
      <c r="AQ267" s="403"/>
      <c r="AR267" s="403"/>
      <c r="AS267" s="403"/>
      <c r="AT267" s="403"/>
      <c r="AU267" s="403"/>
      <c r="AV267" s="403"/>
      <c r="AW267" s="403"/>
      <c r="AX267" s="403"/>
      <c r="AY267" s="403"/>
      <c r="AZ267" s="403"/>
      <c r="BA267" s="403"/>
      <c r="BB267" s="403"/>
      <c r="BC267" s="403"/>
      <c r="BD267" s="403">
        <v>18000000</v>
      </c>
      <c r="BE267" s="403">
        <v>16617600</v>
      </c>
      <c r="BF267" s="403">
        <v>16617600</v>
      </c>
      <c r="BG267" s="403"/>
      <c r="BH267" s="403"/>
      <c r="BI267" s="403"/>
      <c r="BJ267" s="403"/>
      <c r="BK267" s="403"/>
      <c r="BL267" s="403"/>
      <c r="BM267" s="403"/>
      <c r="BN267" s="403"/>
      <c r="BO267" s="403"/>
      <c r="BP267" s="403">
        <f t="shared" si="98"/>
        <v>18000000</v>
      </c>
      <c r="BQ267" s="403">
        <f t="shared" si="99"/>
        <v>16617600</v>
      </c>
      <c r="BR267" s="403">
        <f t="shared" si="99"/>
        <v>16617600</v>
      </c>
      <c r="BS267" s="359" t="s">
        <v>1665</v>
      </c>
      <c r="BT267" s="5"/>
    </row>
    <row r="268" spans="1:72" ht="103.5" customHeight="1" x14ac:dyDescent="0.2">
      <c r="A268" s="327">
        <v>324</v>
      </c>
      <c r="B268" s="417" t="s">
        <v>1668</v>
      </c>
      <c r="C268" s="323">
        <v>1</v>
      </c>
      <c r="D268" s="417" t="s">
        <v>1622</v>
      </c>
      <c r="E268" s="323">
        <v>23</v>
      </c>
      <c r="F268" s="326" t="s">
        <v>1202</v>
      </c>
      <c r="G268" s="323">
        <v>2301</v>
      </c>
      <c r="H268" s="326" t="s">
        <v>1569</v>
      </c>
      <c r="I268" s="323">
        <v>2301</v>
      </c>
      <c r="J268" s="326" t="s">
        <v>1570</v>
      </c>
      <c r="K268" s="326" t="s">
        <v>1217</v>
      </c>
      <c r="L268" s="323">
        <v>2301035</v>
      </c>
      <c r="M268" s="326" t="s">
        <v>1225</v>
      </c>
      <c r="N268" s="323">
        <v>2301035</v>
      </c>
      <c r="O268" s="326" t="s">
        <v>1225</v>
      </c>
      <c r="P268" s="422">
        <v>230103500</v>
      </c>
      <c r="Q268" s="326" t="s">
        <v>1226</v>
      </c>
      <c r="R268" s="422">
        <v>230103500</v>
      </c>
      <c r="S268" s="326" t="s">
        <v>1226</v>
      </c>
      <c r="T268" s="349" t="s">
        <v>1691</v>
      </c>
      <c r="U268" s="103">
        <v>20</v>
      </c>
      <c r="V268" s="103">
        <v>0</v>
      </c>
      <c r="W268" s="439" t="s">
        <v>1220</v>
      </c>
      <c r="X268" s="324" t="s">
        <v>1221</v>
      </c>
      <c r="Y268" s="452" t="s">
        <v>1222</v>
      </c>
      <c r="Z268" s="419"/>
      <c r="AA268" s="419"/>
      <c r="AB268" s="419"/>
      <c r="AC268" s="419"/>
      <c r="AD268" s="419"/>
      <c r="AE268" s="419"/>
      <c r="AF268" s="419"/>
      <c r="AG268" s="419"/>
      <c r="AH268" s="419"/>
      <c r="AI268" s="403"/>
      <c r="AJ268" s="403"/>
      <c r="AK268" s="403"/>
      <c r="AL268" s="403"/>
      <c r="AM268" s="403"/>
      <c r="AN268" s="403"/>
      <c r="AO268" s="403"/>
      <c r="AP268" s="403"/>
      <c r="AQ268" s="403"/>
      <c r="AR268" s="403"/>
      <c r="AS268" s="403"/>
      <c r="AT268" s="403"/>
      <c r="AU268" s="403"/>
      <c r="AV268" s="403"/>
      <c r="AW268" s="403"/>
      <c r="AX268" s="403"/>
      <c r="AY268" s="403"/>
      <c r="AZ268" s="403"/>
      <c r="BA268" s="403"/>
      <c r="BB268" s="403"/>
      <c r="BC268" s="403"/>
      <c r="BD268" s="403">
        <v>36000000</v>
      </c>
      <c r="BE268" s="403">
        <v>19800000</v>
      </c>
      <c r="BF268" s="403">
        <v>3300000</v>
      </c>
      <c r="BG268" s="403"/>
      <c r="BH268" s="403"/>
      <c r="BI268" s="403"/>
      <c r="BJ268" s="403"/>
      <c r="BK268" s="403"/>
      <c r="BL268" s="403"/>
      <c r="BM268" s="403"/>
      <c r="BN268" s="403"/>
      <c r="BO268" s="403"/>
      <c r="BP268" s="403">
        <f t="shared" si="98"/>
        <v>36000000</v>
      </c>
      <c r="BQ268" s="403">
        <f t="shared" si="99"/>
        <v>19800000</v>
      </c>
      <c r="BR268" s="403">
        <f t="shared" si="99"/>
        <v>3300000</v>
      </c>
      <c r="BS268" s="359" t="s">
        <v>1665</v>
      </c>
      <c r="BT268" s="5"/>
    </row>
    <row r="269" spans="1:72" ht="103.5" customHeight="1" x14ac:dyDescent="0.2">
      <c r="A269" s="327">
        <v>324</v>
      </c>
      <c r="B269" s="417" t="s">
        <v>1668</v>
      </c>
      <c r="C269" s="323">
        <v>1</v>
      </c>
      <c r="D269" s="417" t="s">
        <v>1622</v>
      </c>
      <c r="E269" s="323">
        <v>23</v>
      </c>
      <c r="F269" s="326" t="s">
        <v>1202</v>
      </c>
      <c r="G269" s="323">
        <v>2301</v>
      </c>
      <c r="H269" s="326" t="s">
        <v>1569</v>
      </c>
      <c r="I269" s="323">
        <v>2301</v>
      </c>
      <c r="J269" s="326" t="s">
        <v>1570</v>
      </c>
      <c r="K269" s="326" t="s">
        <v>1217</v>
      </c>
      <c r="L269" s="323">
        <v>2301042</v>
      </c>
      <c r="M269" s="326" t="s">
        <v>1227</v>
      </c>
      <c r="N269" s="323">
        <v>2301042</v>
      </c>
      <c r="O269" s="326" t="s">
        <v>1227</v>
      </c>
      <c r="P269" s="422">
        <v>230104201</v>
      </c>
      <c r="Q269" s="326" t="s">
        <v>1228</v>
      </c>
      <c r="R269" s="422">
        <v>230104201</v>
      </c>
      <c r="S269" s="326" t="s">
        <v>1228</v>
      </c>
      <c r="T269" s="349" t="s">
        <v>1689</v>
      </c>
      <c r="U269" s="103">
        <v>1</v>
      </c>
      <c r="V269" s="103">
        <v>0</v>
      </c>
      <c r="W269" s="439" t="s">
        <v>1220</v>
      </c>
      <c r="X269" s="324" t="s">
        <v>1221</v>
      </c>
      <c r="Y269" s="452" t="s">
        <v>1222</v>
      </c>
      <c r="Z269" s="419"/>
      <c r="AA269" s="419"/>
      <c r="AB269" s="419"/>
      <c r="AC269" s="419"/>
      <c r="AD269" s="419"/>
      <c r="AE269" s="419"/>
      <c r="AF269" s="419"/>
      <c r="AG269" s="419"/>
      <c r="AH269" s="419"/>
      <c r="AI269" s="403"/>
      <c r="AJ269" s="403"/>
      <c r="AK269" s="403"/>
      <c r="AL269" s="403"/>
      <c r="AM269" s="403"/>
      <c r="AN269" s="403"/>
      <c r="AO269" s="403"/>
      <c r="AP269" s="403"/>
      <c r="AQ269" s="403"/>
      <c r="AR269" s="403"/>
      <c r="AS269" s="403"/>
      <c r="AT269" s="403"/>
      <c r="AU269" s="403"/>
      <c r="AV269" s="403"/>
      <c r="AW269" s="403"/>
      <c r="AX269" s="403"/>
      <c r="AY269" s="403"/>
      <c r="AZ269" s="403"/>
      <c r="BA269" s="403"/>
      <c r="BB269" s="403"/>
      <c r="BC269" s="403"/>
      <c r="BD269" s="403">
        <v>18000000</v>
      </c>
      <c r="BE269" s="403"/>
      <c r="BF269" s="403"/>
      <c r="BG269" s="403"/>
      <c r="BH269" s="403"/>
      <c r="BI269" s="403"/>
      <c r="BJ269" s="403"/>
      <c r="BK269" s="403"/>
      <c r="BL269" s="403"/>
      <c r="BM269" s="403"/>
      <c r="BN269" s="403"/>
      <c r="BO269" s="403"/>
      <c r="BP269" s="403">
        <f t="shared" si="98"/>
        <v>18000000</v>
      </c>
      <c r="BQ269" s="403">
        <f t="shared" si="99"/>
        <v>0</v>
      </c>
      <c r="BR269" s="403">
        <f t="shared" si="99"/>
        <v>0</v>
      </c>
      <c r="BS269" s="359" t="s">
        <v>1665</v>
      </c>
      <c r="BT269" s="5"/>
    </row>
    <row r="270" spans="1:72" ht="104.25" customHeight="1" x14ac:dyDescent="0.2">
      <c r="A270" s="327">
        <v>324</v>
      </c>
      <c r="B270" s="417" t="s">
        <v>1668</v>
      </c>
      <c r="C270" s="323">
        <v>1</v>
      </c>
      <c r="D270" s="417" t="s">
        <v>1622</v>
      </c>
      <c r="E270" s="323">
        <v>23</v>
      </c>
      <c r="F270" s="326" t="s">
        <v>1202</v>
      </c>
      <c r="G270" s="323">
        <v>2302</v>
      </c>
      <c r="H270" s="326" t="s">
        <v>1596</v>
      </c>
      <c r="I270" s="323">
        <v>2302</v>
      </c>
      <c r="J270" s="326" t="s">
        <v>1597</v>
      </c>
      <c r="K270" s="326" t="s">
        <v>1204</v>
      </c>
      <c r="L270" s="323">
        <v>2302042</v>
      </c>
      <c r="M270" s="326" t="s">
        <v>1229</v>
      </c>
      <c r="N270" s="323">
        <v>2302042</v>
      </c>
      <c r="O270" s="326" t="s">
        <v>1229</v>
      </c>
      <c r="P270" s="422">
        <v>230204200</v>
      </c>
      <c r="Q270" s="326" t="s">
        <v>1230</v>
      </c>
      <c r="R270" s="422">
        <v>230204200</v>
      </c>
      <c r="S270" s="326" t="s">
        <v>1230</v>
      </c>
      <c r="T270" s="349" t="s">
        <v>1691</v>
      </c>
      <c r="U270" s="103">
        <v>1</v>
      </c>
      <c r="V270" s="103">
        <v>0</v>
      </c>
      <c r="W270" s="439" t="s">
        <v>1231</v>
      </c>
      <c r="X270" s="324" t="s">
        <v>1232</v>
      </c>
      <c r="Y270" s="452" t="s">
        <v>1233</v>
      </c>
      <c r="Z270" s="419"/>
      <c r="AA270" s="419"/>
      <c r="AB270" s="419"/>
      <c r="AC270" s="419"/>
      <c r="AD270" s="419"/>
      <c r="AE270" s="419"/>
      <c r="AF270" s="419"/>
      <c r="AG270" s="419"/>
      <c r="AH270" s="419"/>
      <c r="AI270" s="403"/>
      <c r="AJ270" s="403"/>
      <c r="AK270" s="403"/>
      <c r="AL270" s="403"/>
      <c r="AM270" s="403"/>
      <c r="AN270" s="403"/>
      <c r="AO270" s="403"/>
      <c r="AP270" s="403"/>
      <c r="AQ270" s="403"/>
      <c r="AR270" s="403"/>
      <c r="AS270" s="403"/>
      <c r="AT270" s="403"/>
      <c r="AU270" s="403"/>
      <c r="AV270" s="403"/>
      <c r="AW270" s="403"/>
      <c r="AX270" s="403"/>
      <c r="AY270" s="403"/>
      <c r="AZ270" s="403"/>
      <c r="BA270" s="403"/>
      <c r="BB270" s="403"/>
      <c r="BC270" s="403"/>
      <c r="BD270" s="403">
        <v>20000000</v>
      </c>
      <c r="BE270" s="403">
        <f>2000000+12765000</f>
        <v>14765000</v>
      </c>
      <c r="BF270" s="403">
        <v>6210000</v>
      </c>
      <c r="BG270" s="403"/>
      <c r="BH270" s="403"/>
      <c r="BI270" s="403"/>
      <c r="BJ270" s="403"/>
      <c r="BK270" s="403"/>
      <c r="BL270" s="403"/>
      <c r="BM270" s="403"/>
      <c r="BN270" s="403"/>
      <c r="BO270" s="403"/>
      <c r="BP270" s="403">
        <f t="shared" ref="BP270:BR274" si="100">+Z270+AC270+AF270+AI270+AL270+AO270+AR270+AU270+AX270+BA270+BD270+BG270+BJ270</f>
        <v>20000000</v>
      </c>
      <c r="BQ270" s="403">
        <f t="shared" si="100"/>
        <v>14765000</v>
      </c>
      <c r="BR270" s="403">
        <f t="shared" si="100"/>
        <v>6210000</v>
      </c>
      <c r="BS270" s="359" t="s">
        <v>1665</v>
      </c>
      <c r="BT270" s="5"/>
    </row>
    <row r="271" spans="1:72" ht="103.5" customHeight="1" x14ac:dyDescent="0.2">
      <c r="A271" s="327">
        <v>324</v>
      </c>
      <c r="B271" s="417" t="s">
        <v>1668</v>
      </c>
      <c r="C271" s="323">
        <v>1</v>
      </c>
      <c r="D271" s="417" t="s">
        <v>1622</v>
      </c>
      <c r="E271" s="323">
        <v>23</v>
      </c>
      <c r="F271" s="326" t="s">
        <v>1202</v>
      </c>
      <c r="G271" s="323">
        <v>2302</v>
      </c>
      <c r="H271" s="326" t="s">
        <v>1596</v>
      </c>
      <c r="I271" s="323">
        <v>2302</v>
      </c>
      <c r="J271" s="326" t="s">
        <v>1597</v>
      </c>
      <c r="K271" s="326" t="s">
        <v>1204</v>
      </c>
      <c r="L271" s="323">
        <v>2302022</v>
      </c>
      <c r="M271" s="326" t="s">
        <v>1234</v>
      </c>
      <c r="N271" s="323">
        <v>2302022</v>
      </c>
      <c r="O271" s="326" t="s">
        <v>1234</v>
      </c>
      <c r="P271" s="422">
        <v>230202200</v>
      </c>
      <c r="Q271" s="326" t="s">
        <v>1235</v>
      </c>
      <c r="R271" s="422">
        <v>230202200</v>
      </c>
      <c r="S271" s="326" t="s">
        <v>1235</v>
      </c>
      <c r="T271" s="349" t="s">
        <v>1691</v>
      </c>
      <c r="U271" s="103">
        <v>20</v>
      </c>
      <c r="V271" s="103">
        <v>0</v>
      </c>
      <c r="W271" s="439" t="s">
        <v>1231</v>
      </c>
      <c r="X271" s="324" t="s">
        <v>1232</v>
      </c>
      <c r="Y271" s="452" t="s">
        <v>1233</v>
      </c>
      <c r="Z271" s="419"/>
      <c r="AA271" s="419"/>
      <c r="AB271" s="419"/>
      <c r="AC271" s="419"/>
      <c r="AD271" s="419"/>
      <c r="AE271" s="419"/>
      <c r="AF271" s="419"/>
      <c r="AG271" s="419"/>
      <c r="AH271" s="419"/>
      <c r="AI271" s="403"/>
      <c r="AJ271" s="403"/>
      <c r="AK271" s="403"/>
      <c r="AL271" s="403"/>
      <c r="AM271" s="403"/>
      <c r="AN271" s="403"/>
      <c r="AO271" s="403"/>
      <c r="AP271" s="403"/>
      <c r="AQ271" s="403"/>
      <c r="AR271" s="403"/>
      <c r="AS271" s="403"/>
      <c r="AT271" s="403"/>
      <c r="AU271" s="403"/>
      <c r="AV271" s="403"/>
      <c r="AW271" s="403"/>
      <c r="AX271" s="403"/>
      <c r="AY271" s="403"/>
      <c r="AZ271" s="403"/>
      <c r="BA271" s="403"/>
      <c r="BB271" s="403"/>
      <c r="BC271" s="403"/>
      <c r="BD271" s="403">
        <v>36000000</v>
      </c>
      <c r="BE271" s="403"/>
      <c r="BF271" s="403"/>
      <c r="BG271" s="403"/>
      <c r="BH271" s="403"/>
      <c r="BI271" s="403"/>
      <c r="BJ271" s="403"/>
      <c r="BK271" s="403"/>
      <c r="BL271" s="403"/>
      <c r="BM271" s="403"/>
      <c r="BN271" s="403"/>
      <c r="BO271" s="403"/>
      <c r="BP271" s="403">
        <f t="shared" si="100"/>
        <v>36000000</v>
      </c>
      <c r="BQ271" s="403">
        <f t="shared" si="100"/>
        <v>0</v>
      </c>
      <c r="BR271" s="403">
        <f t="shared" si="100"/>
        <v>0</v>
      </c>
      <c r="BS271" s="359" t="s">
        <v>1665</v>
      </c>
      <c r="BT271" s="5"/>
    </row>
    <row r="272" spans="1:72" s="2" customFormat="1" ht="84" customHeight="1" x14ac:dyDescent="0.2">
      <c r="A272" s="327">
        <v>324</v>
      </c>
      <c r="B272" s="417" t="s">
        <v>1668</v>
      </c>
      <c r="C272" s="323">
        <v>1</v>
      </c>
      <c r="D272" s="417" t="s">
        <v>1622</v>
      </c>
      <c r="E272" s="323">
        <v>23</v>
      </c>
      <c r="F272" s="326" t="s">
        <v>1202</v>
      </c>
      <c r="G272" s="323">
        <v>2302</v>
      </c>
      <c r="H272" s="326" t="s">
        <v>1596</v>
      </c>
      <c r="I272" s="323">
        <v>2302</v>
      </c>
      <c r="J272" s="326" t="s">
        <v>1597</v>
      </c>
      <c r="K272" s="326" t="s">
        <v>1217</v>
      </c>
      <c r="L272" s="323">
        <v>2302021</v>
      </c>
      <c r="M272" s="326" t="s">
        <v>1236</v>
      </c>
      <c r="N272" s="323">
        <v>2302021</v>
      </c>
      <c r="O272" s="326" t="s">
        <v>1236</v>
      </c>
      <c r="P272" s="422">
        <v>230202100</v>
      </c>
      <c r="Q272" s="326" t="s">
        <v>1237</v>
      </c>
      <c r="R272" s="422">
        <v>230202100</v>
      </c>
      <c r="S272" s="326" t="s">
        <v>1237</v>
      </c>
      <c r="T272" s="349" t="s">
        <v>1691</v>
      </c>
      <c r="U272" s="103">
        <v>8</v>
      </c>
      <c r="V272" s="103">
        <v>8</v>
      </c>
      <c r="W272" s="439" t="s">
        <v>1231</v>
      </c>
      <c r="X272" s="324" t="s">
        <v>1232</v>
      </c>
      <c r="Y272" s="452" t="s">
        <v>1233</v>
      </c>
      <c r="Z272" s="419"/>
      <c r="AA272" s="419"/>
      <c r="AB272" s="419"/>
      <c r="AC272" s="419"/>
      <c r="AD272" s="419"/>
      <c r="AE272" s="419"/>
      <c r="AF272" s="419"/>
      <c r="AG272" s="419"/>
      <c r="AH272" s="419"/>
      <c r="AI272" s="403"/>
      <c r="AJ272" s="403"/>
      <c r="AK272" s="403"/>
      <c r="AL272" s="403"/>
      <c r="AM272" s="403"/>
      <c r="AN272" s="403"/>
      <c r="AO272" s="403"/>
      <c r="AP272" s="403"/>
      <c r="AQ272" s="403"/>
      <c r="AR272" s="403"/>
      <c r="AS272" s="403"/>
      <c r="AT272" s="403"/>
      <c r="AU272" s="403"/>
      <c r="AV272" s="403"/>
      <c r="AW272" s="403"/>
      <c r="AX272" s="403"/>
      <c r="AY272" s="403"/>
      <c r="AZ272" s="403"/>
      <c r="BA272" s="403"/>
      <c r="BB272" s="403"/>
      <c r="BC272" s="403"/>
      <c r="BD272" s="403">
        <v>50000000</v>
      </c>
      <c r="BE272" s="403">
        <v>41310000</v>
      </c>
      <c r="BF272" s="403">
        <v>41310000</v>
      </c>
      <c r="BG272" s="403"/>
      <c r="BH272" s="403"/>
      <c r="BI272" s="403"/>
      <c r="BJ272" s="403"/>
      <c r="BK272" s="403"/>
      <c r="BL272" s="403"/>
      <c r="BM272" s="403"/>
      <c r="BN272" s="403"/>
      <c r="BO272" s="403"/>
      <c r="BP272" s="403">
        <f t="shared" si="100"/>
        <v>50000000</v>
      </c>
      <c r="BQ272" s="403">
        <f t="shared" si="100"/>
        <v>41310000</v>
      </c>
      <c r="BR272" s="403">
        <f t="shared" si="100"/>
        <v>41310000</v>
      </c>
      <c r="BS272" s="359" t="s">
        <v>1665</v>
      </c>
      <c r="BT272" s="5"/>
    </row>
    <row r="273" spans="1:72" ht="114" customHeight="1" x14ac:dyDescent="0.2">
      <c r="A273" s="327">
        <v>324</v>
      </c>
      <c r="B273" s="417" t="s">
        <v>1668</v>
      </c>
      <c r="C273" s="323">
        <v>1</v>
      </c>
      <c r="D273" s="417" t="s">
        <v>1622</v>
      </c>
      <c r="E273" s="323">
        <v>23</v>
      </c>
      <c r="F273" s="326" t="s">
        <v>1202</v>
      </c>
      <c r="G273" s="323">
        <v>2302</v>
      </c>
      <c r="H273" s="326" t="s">
        <v>1596</v>
      </c>
      <c r="I273" s="323">
        <v>2302</v>
      </c>
      <c r="J273" s="326" t="s">
        <v>1597</v>
      </c>
      <c r="K273" s="326" t="s">
        <v>1238</v>
      </c>
      <c r="L273" s="323">
        <v>2302058</v>
      </c>
      <c r="M273" s="326" t="s">
        <v>1239</v>
      </c>
      <c r="N273" s="323">
        <v>2302058</v>
      </c>
      <c r="O273" s="326" t="s">
        <v>1239</v>
      </c>
      <c r="P273" s="422">
        <v>230205800</v>
      </c>
      <c r="Q273" s="326" t="s">
        <v>1240</v>
      </c>
      <c r="R273" s="422">
        <v>230205800</v>
      </c>
      <c r="S273" s="326" t="s">
        <v>1240</v>
      </c>
      <c r="T273" s="349" t="s">
        <v>1691</v>
      </c>
      <c r="U273" s="103">
        <v>300</v>
      </c>
      <c r="V273" s="103">
        <v>130</v>
      </c>
      <c r="W273" s="439" t="s">
        <v>1231</v>
      </c>
      <c r="X273" s="324" t="s">
        <v>1232</v>
      </c>
      <c r="Y273" s="452" t="s">
        <v>1233</v>
      </c>
      <c r="Z273" s="419"/>
      <c r="AA273" s="419"/>
      <c r="AB273" s="419"/>
      <c r="AC273" s="419"/>
      <c r="AD273" s="419"/>
      <c r="AE273" s="419"/>
      <c r="AF273" s="419"/>
      <c r="AG273" s="419"/>
      <c r="AH273" s="419"/>
      <c r="AI273" s="403"/>
      <c r="AJ273" s="403"/>
      <c r="AK273" s="403"/>
      <c r="AL273" s="403"/>
      <c r="AM273" s="403"/>
      <c r="AN273" s="403"/>
      <c r="AO273" s="403"/>
      <c r="AP273" s="403"/>
      <c r="AQ273" s="403"/>
      <c r="AR273" s="403"/>
      <c r="AS273" s="403"/>
      <c r="AT273" s="403"/>
      <c r="AU273" s="403"/>
      <c r="AV273" s="403"/>
      <c r="AW273" s="403"/>
      <c r="AX273" s="403"/>
      <c r="AY273" s="403"/>
      <c r="AZ273" s="403"/>
      <c r="BA273" s="403"/>
      <c r="BB273" s="403"/>
      <c r="BC273" s="403"/>
      <c r="BD273" s="403">
        <v>20000000</v>
      </c>
      <c r="BE273" s="403">
        <v>17310000</v>
      </c>
      <c r="BF273" s="403">
        <v>17310000</v>
      </c>
      <c r="BG273" s="403"/>
      <c r="BH273" s="403"/>
      <c r="BI273" s="403"/>
      <c r="BJ273" s="403"/>
      <c r="BK273" s="403"/>
      <c r="BL273" s="403"/>
      <c r="BM273" s="403"/>
      <c r="BN273" s="403"/>
      <c r="BO273" s="403"/>
      <c r="BP273" s="403">
        <f t="shared" si="100"/>
        <v>20000000</v>
      </c>
      <c r="BQ273" s="403">
        <f t="shared" si="100"/>
        <v>17310000</v>
      </c>
      <c r="BR273" s="403">
        <f t="shared" si="100"/>
        <v>17310000</v>
      </c>
      <c r="BS273" s="359" t="s">
        <v>1665</v>
      </c>
      <c r="BT273" s="5"/>
    </row>
    <row r="274" spans="1:72" ht="112.5" customHeight="1" x14ac:dyDescent="0.2">
      <c r="A274" s="327">
        <v>324</v>
      </c>
      <c r="B274" s="417" t="s">
        <v>1668</v>
      </c>
      <c r="C274" s="323">
        <v>1</v>
      </c>
      <c r="D274" s="417" t="s">
        <v>1622</v>
      </c>
      <c r="E274" s="323">
        <v>23</v>
      </c>
      <c r="F274" s="326" t="s">
        <v>1202</v>
      </c>
      <c r="G274" s="323">
        <v>2302</v>
      </c>
      <c r="H274" s="326" t="s">
        <v>1596</v>
      </c>
      <c r="I274" s="323">
        <v>2302</v>
      </c>
      <c r="J274" s="326" t="s">
        <v>1597</v>
      </c>
      <c r="K274" s="326" t="s">
        <v>1238</v>
      </c>
      <c r="L274" s="323">
        <v>2302068</v>
      </c>
      <c r="M274" s="326" t="s">
        <v>1241</v>
      </c>
      <c r="N274" s="323">
        <v>2302068</v>
      </c>
      <c r="O274" s="326" t="s">
        <v>1241</v>
      </c>
      <c r="P274" s="422">
        <v>230206800</v>
      </c>
      <c r="Q274" s="326" t="s">
        <v>1242</v>
      </c>
      <c r="R274" s="422">
        <v>230206800</v>
      </c>
      <c r="S274" s="326" t="s">
        <v>1242</v>
      </c>
      <c r="T274" s="349" t="s">
        <v>1691</v>
      </c>
      <c r="U274" s="103">
        <v>60</v>
      </c>
      <c r="V274" s="103">
        <v>60</v>
      </c>
      <c r="W274" s="439" t="s">
        <v>1231</v>
      </c>
      <c r="X274" s="324" t="s">
        <v>1232</v>
      </c>
      <c r="Y274" s="452" t="s">
        <v>1233</v>
      </c>
      <c r="Z274" s="419"/>
      <c r="AA274" s="419"/>
      <c r="AB274" s="419"/>
      <c r="AC274" s="419"/>
      <c r="AD274" s="419"/>
      <c r="AE274" s="419"/>
      <c r="AF274" s="419"/>
      <c r="AG274" s="419"/>
      <c r="AH274" s="419"/>
      <c r="AI274" s="403"/>
      <c r="AJ274" s="403"/>
      <c r="AK274" s="403"/>
      <c r="AL274" s="403"/>
      <c r="AM274" s="403"/>
      <c r="AN274" s="403"/>
      <c r="AO274" s="403"/>
      <c r="AP274" s="403"/>
      <c r="AQ274" s="403"/>
      <c r="AR274" s="403"/>
      <c r="AS274" s="403"/>
      <c r="AT274" s="403"/>
      <c r="AU274" s="403"/>
      <c r="AV274" s="403"/>
      <c r="AW274" s="403"/>
      <c r="AX274" s="403"/>
      <c r="AY274" s="403"/>
      <c r="AZ274" s="403"/>
      <c r="BA274" s="403"/>
      <c r="BB274" s="403"/>
      <c r="BC274" s="403"/>
      <c r="BD274" s="403">
        <v>20000000</v>
      </c>
      <c r="BE274" s="403">
        <v>19810334</v>
      </c>
      <c r="BF274" s="403">
        <v>19810334</v>
      </c>
      <c r="BG274" s="403"/>
      <c r="BH274" s="403"/>
      <c r="BI274" s="403"/>
      <c r="BJ274" s="403"/>
      <c r="BK274" s="403"/>
      <c r="BL274" s="403"/>
      <c r="BM274" s="403"/>
      <c r="BN274" s="403"/>
      <c r="BO274" s="403"/>
      <c r="BP274" s="403">
        <f t="shared" si="100"/>
        <v>20000000</v>
      </c>
      <c r="BQ274" s="403">
        <f t="shared" si="100"/>
        <v>19810334</v>
      </c>
      <c r="BR274" s="403">
        <f t="shared" si="100"/>
        <v>19810334</v>
      </c>
      <c r="BS274" s="359" t="s">
        <v>1665</v>
      </c>
      <c r="BT274" s="5"/>
    </row>
    <row r="275" spans="1:72" ht="69.75" customHeight="1" x14ac:dyDescent="0.2">
      <c r="A275" s="327">
        <v>324</v>
      </c>
      <c r="B275" s="417" t="s">
        <v>1668</v>
      </c>
      <c r="C275" s="323">
        <v>2</v>
      </c>
      <c r="D275" s="326" t="s">
        <v>1629</v>
      </c>
      <c r="E275" s="323">
        <v>39</v>
      </c>
      <c r="F275" s="443" t="s">
        <v>1488</v>
      </c>
      <c r="G275" s="323">
        <v>3903</v>
      </c>
      <c r="H275" s="443" t="s">
        <v>1244</v>
      </c>
      <c r="I275" s="323">
        <v>3903</v>
      </c>
      <c r="J275" s="443" t="s">
        <v>1244</v>
      </c>
      <c r="K275" s="443" t="s">
        <v>1245</v>
      </c>
      <c r="L275" s="99">
        <v>3903005</v>
      </c>
      <c r="M275" s="443" t="s">
        <v>1246</v>
      </c>
      <c r="N275" s="99">
        <v>3903005</v>
      </c>
      <c r="O275" s="443" t="s">
        <v>1246</v>
      </c>
      <c r="P275" s="99" t="s">
        <v>1247</v>
      </c>
      <c r="Q275" s="443" t="s">
        <v>1248</v>
      </c>
      <c r="R275" s="99" t="s">
        <v>1247</v>
      </c>
      <c r="S275" s="443" t="s">
        <v>1248</v>
      </c>
      <c r="T275" s="349" t="s">
        <v>1689</v>
      </c>
      <c r="U275" s="103">
        <v>1</v>
      </c>
      <c r="V275" s="103">
        <v>0</v>
      </c>
      <c r="W275" s="439" t="s">
        <v>1249</v>
      </c>
      <c r="X275" s="324" t="s">
        <v>1250</v>
      </c>
      <c r="Y275" s="452" t="s">
        <v>1251</v>
      </c>
      <c r="Z275" s="419"/>
      <c r="AA275" s="419"/>
      <c r="AB275" s="419"/>
      <c r="AC275" s="419"/>
      <c r="AD275" s="419"/>
      <c r="AE275" s="419"/>
      <c r="AF275" s="419"/>
      <c r="AG275" s="419"/>
      <c r="AH275" s="419"/>
      <c r="AI275" s="403"/>
      <c r="AJ275" s="403"/>
      <c r="AK275" s="403"/>
      <c r="AL275" s="403"/>
      <c r="AM275" s="403"/>
      <c r="AN275" s="403"/>
      <c r="AO275" s="403"/>
      <c r="AP275" s="403"/>
      <c r="AQ275" s="403"/>
      <c r="AR275" s="403"/>
      <c r="AS275" s="403"/>
      <c r="AT275" s="403"/>
      <c r="AU275" s="403"/>
      <c r="AV275" s="403"/>
      <c r="AW275" s="403"/>
      <c r="AX275" s="403"/>
      <c r="AY275" s="403"/>
      <c r="AZ275" s="403"/>
      <c r="BA275" s="403"/>
      <c r="BB275" s="403"/>
      <c r="BC275" s="403"/>
      <c r="BD275" s="403">
        <f>20000000-10000000</f>
        <v>10000000</v>
      </c>
      <c r="BE275" s="403"/>
      <c r="BF275" s="403"/>
      <c r="BG275" s="403"/>
      <c r="BH275" s="403"/>
      <c r="BI275" s="403"/>
      <c r="BJ275" s="403"/>
      <c r="BK275" s="403"/>
      <c r="BL275" s="403"/>
      <c r="BM275" s="403"/>
      <c r="BN275" s="403"/>
      <c r="BO275" s="403"/>
      <c r="BP275" s="403">
        <f t="shared" ref="BP275:BR277" si="101">+Z275+AC275+AF275+AI275+AL275+AO275+AR275+AU275+AX275+BA275+BD275+BG275+BJ275</f>
        <v>10000000</v>
      </c>
      <c r="BQ275" s="403">
        <f t="shared" si="101"/>
        <v>0</v>
      </c>
      <c r="BR275" s="403">
        <f t="shared" si="101"/>
        <v>0</v>
      </c>
      <c r="BS275" s="359" t="s">
        <v>1665</v>
      </c>
      <c r="BT275" s="5"/>
    </row>
    <row r="276" spans="1:72" ht="69.75" customHeight="1" x14ac:dyDescent="0.2">
      <c r="A276" s="327">
        <v>324</v>
      </c>
      <c r="B276" s="417" t="s">
        <v>1668</v>
      </c>
      <c r="C276" s="323">
        <v>2</v>
      </c>
      <c r="D276" s="326" t="s">
        <v>1629</v>
      </c>
      <c r="E276" s="323">
        <v>39</v>
      </c>
      <c r="F276" s="443" t="s">
        <v>1488</v>
      </c>
      <c r="G276" s="323">
        <v>3903</v>
      </c>
      <c r="H276" s="443" t="s">
        <v>1244</v>
      </c>
      <c r="I276" s="323">
        <v>3903</v>
      </c>
      <c r="J276" s="443" t="s">
        <v>1244</v>
      </c>
      <c r="K276" s="443" t="s">
        <v>1245</v>
      </c>
      <c r="L276" s="99">
        <v>3903005</v>
      </c>
      <c r="M276" s="443" t="s">
        <v>1246</v>
      </c>
      <c r="N276" s="99">
        <v>3903005</v>
      </c>
      <c r="O276" s="443" t="s">
        <v>1246</v>
      </c>
      <c r="P276" s="99" t="s">
        <v>1252</v>
      </c>
      <c r="Q276" s="326" t="s">
        <v>1253</v>
      </c>
      <c r="R276" s="99" t="s">
        <v>1252</v>
      </c>
      <c r="S276" s="326" t="s">
        <v>1253</v>
      </c>
      <c r="T276" s="349" t="s">
        <v>1691</v>
      </c>
      <c r="U276" s="103">
        <v>50</v>
      </c>
      <c r="V276" s="103">
        <v>19</v>
      </c>
      <c r="W276" s="439" t="s">
        <v>1249</v>
      </c>
      <c r="X276" s="324" t="s">
        <v>1250</v>
      </c>
      <c r="Y276" s="452" t="s">
        <v>1251</v>
      </c>
      <c r="Z276" s="419"/>
      <c r="AA276" s="419"/>
      <c r="AB276" s="419"/>
      <c r="AC276" s="419"/>
      <c r="AD276" s="419"/>
      <c r="AE276" s="419"/>
      <c r="AF276" s="419"/>
      <c r="AG276" s="419"/>
      <c r="AH276" s="419"/>
      <c r="AI276" s="403"/>
      <c r="AJ276" s="403"/>
      <c r="AK276" s="403"/>
      <c r="AL276" s="403"/>
      <c r="AM276" s="403"/>
      <c r="AN276" s="403"/>
      <c r="AO276" s="403"/>
      <c r="AP276" s="403"/>
      <c r="AQ276" s="403"/>
      <c r="AR276" s="403"/>
      <c r="AS276" s="403"/>
      <c r="AT276" s="403"/>
      <c r="AU276" s="403"/>
      <c r="AV276" s="403"/>
      <c r="AW276" s="403"/>
      <c r="AX276" s="403"/>
      <c r="AY276" s="403"/>
      <c r="AZ276" s="403"/>
      <c r="BA276" s="403"/>
      <c r="BB276" s="403"/>
      <c r="BC276" s="403"/>
      <c r="BD276" s="403">
        <f>20000000+10000000</f>
        <v>30000000</v>
      </c>
      <c r="BE276" s="403">
        <v>27311333</v>
      </c>
      <c r="BF276" s="403">
        <v>14328833</v>
      </c>
      <c r="BG276" s="403"/>
      <c r="BH276" s="403"/>
      <c r="BI276" s="403"/>
      <c r="BJ276" s="403"/>
      <c r="BK276" s="403"/>
      <c r="BL276" s="403"/>
      <c r="BM276" s="403"/>
      <c r="BN276" s="403"/>
      <c r="BO276" s="403"/>
      <c r="BP276" s="403">
        <f t="shared" si="101"/>
        <v>30000000</v>
      </c>
      <c r="BQ276" s="403">
        <f t="shared" si="101"/>
        <v>27311333</v>
      </c>
      <c r="BR276" s="403">
        <f t="shared" si="101"/>
        <v>14328833</v>
      </c>
      <c r="BS276" s="359" t="s">
        <v>1665</v>
      </c>
      <c r="BT276" s="5"/>
    </row>
    <row r="277" spans="1:72" ht="78" customHeight="1" x14ac:dyDescent="0.2">
      <c r="A277" s="327">
        <v>324</v>
      </c>
      <c r="B277" s="417" t="s">
        <v>1668</v>
      </c>
      <c r="C277" s="323">
        <v>2</v>
      </c>
      <c r="D277" s="326" t="s">
        <v>1629</v>
      </c>
      <c r="E277" s="323">
        <v>39</v>
      </c>
      <c r="F277" s="443" t="s">
        <v>1488</v>
      </c>
      <c r="G277" s="323">
        <v>3903</v>
      </c>
      <c r="H277" s="443" t="s">
        <v>1244</v>
      </c>
      <c r="I277" s="323">
        <v>3903</v>
      </c>
      <c r="J277" s="443" t="s">
        <v>1244</v>
      </c>
      <c r="K277" s="443" t="s">
        <v>1245</v>
      </c>
      <c r="L277" s="99">
        <v>3903005</v>
      </c>
      <c r="M277" s="443" t="s">
        <v>1246</v>
      </c>
      <c r="N277" s="99">
        <v>3903005</v>
      </c>
      <c r="O277" s="443" t="s">
        <v>1246</v>
      </c>
      <c r="P277" s="99" t="s">
        <v>1254</v>
      </c>
      <c r="Q277" s="443" t="s">
        <v>1255</v>
      </c>
      <c r="R277" s="99" t="s">
        <v>1254</v>
      </c>
      <c r="S277" s="443" t="s">
        <v>1255</v>
      </c>
      <c r="T277" s="349" t="s">
        <v>1691</v>
      </c>
      <c r="U277" s="103">
        <v>50</v>
      </c>
      <c r="V277" s="103">
        <v>33</v>
      </c>
      <c r="W277" s="439" t="s">
        <v>1249</v>
      </c>
      <c r="X277" s="324" t="s">
        <v>1250</v>
      </c>
      <c r="Y277" s="452" t="s">
        <v>1251</v>
      </c>
      <c r="Z277" s="419"/>
      <c r="AA277" s="419"/>
      <c r="AB277" s="419"/>
      <c r="AC277" s="419"/>
      <c r="AD277" s="419"/>
      <c r="AE277" s="419"/>
      <c r="AF277" s="419"/>
      <c r="AG277" s="419"/>
      <c r="AH277" s="419"/>
      <c r="AI277" s="403"/>
      <c r="AJ277" s="403"/>
      <c r="AK277" s="403"/>
      <c r="AL277" s="403"/>
      <c r="AM277" s="403"/>
      <c r="AN277" s="403"/>
      <c r="AO277" s="403"/>
      <c r="AP277" s="403"/>
      <c r="AQ277" s="403"/>
      <c r="AR277" s="403"/>
      <c r="AS277" s="403"/>
      <c r="AT277" s="403"/>
      <c r="AU277" s="403"/>
      <c r="AV277" s="403"/>
      <c r="AW277" s="403"/>
      <c r="AX277" s="403"/>
      <c r="AY277" s="403"/>
      <c r="AZ277" s="403"/>
      <c r="BA277" s="403"/>
      <c r="BB277" s="403"/>
      <c r="BC277" s="403"/>
      <c r="BD277" s="403">
        <v>20000000</v>
      </c>
      <c r="BE277" s="403">
        <v>15867500</v>
      </c>
      <c r="BF277" s="403">
        <v>11540000</v>
      </c>
      <c r="BG277" s="403"/>
      <c r="BH277" s="403"/>
      <c r="BI277" s="403"/>
      <c r="BJ277" s="403"/>
      <c r="BK277" s="403"/>
      <c r="BL277" s="403"/>
      <c r="BM277" s="403"/>
      <c r="BN277" s="403"/>
      <c r="BO277" s="403"/>
      <c r="BP277" s="403">
        <f t="shared" si="101"/>
        <v>20000000</v>
      </c>
      <c r="BQ277" s="403">
        <f t="shared" si="101"/>
        <v>15867500</v>
      </c>
      <c r="BR277" s="403">
        <f t="shared" si="101"/>
        <v>11540000</v>
      </c>
      <c r="BS277" s="359" t="s">
        <v>1665</v>
      </c>
      <c r="BT277" s="5"/>
    </row>
    <row r="278" spans="1:72" ht="94.5" customHeight="1" x14ac:dyDescent="0.2">
      <c r="A278" s="327">
        <v>324</v>
      </c>
      <c r="B278" s="417" t="s">
        <v>1668</v>
      </c>
      <c r="C278" s="323">
        <v>2</v>
      </c>
      <c r="D278" s="326" t="s">
        <v>1629</v>
      </c>
      <c r="E278" s="323">
        <v>39</v>
      </c>
      <c r="F278" s="443" t="s">
        <v>1488</v>
      </c>
      <c r="G278" s="323">
        <v>3904</v>
      </c>
      <c r="H278" s="326" t="s">
        <v>1610</v>
      </c>
      <c r="I278" s="323">
        <v>3904</v>
      </c>
      <c r="J278" s="326" t="s">
        <v>1610</v>
      </c>
      <c r="K278" s="326" t="s">
        <v>1256</v>
      </c>
      <c r="L278" s="323">
        <v>3904018</v>
      </c>
      <c r="M278" s="326" t="s">
        <v>1257</v>
      </c>
      <c r="N278" s="323">
        <v>3904018</v>
      </c>
      <c r="O278" s="326" t="s">
        <v>1257</v>
      </c>
      <c r="P278" s="99">
        <v>390401809</v>
      </c>
      <c r="Q278" s="326" t="s">
        <v>1258</v>
      </c>
      <c r="R278" s="99">
        <v>390401809</v>
      </c>
      <c r="S278" s="326" t="s">
        <v>1258</v>
      </c>
      <c r="T278" s="349" t="s">
        <v>1691</v>
      </c>
      <c r="U278" s="103">
        <v>6</v>
      </c>
      <c r="V278" s="103">
        <v>0</v>
      </c>
      <c r="W278" s="456" t="s">
        <v>1259</v>
      </c>
      <c r="X278" s="324" t="s">
        <v>1260</v>
      </c>
      <c r="Y278" s="324" t="s">
        <v>1261</v>
      </c>
      <c r="Z278" s="419"/>
      <c r="AA278" s="419"/>
      <c r="AB278" s="419"/>
      <c r="AC278" s="419"/>
      <c r="AD278" s="419"/>
      <c r="AE278" s="419"/>
      <c r="AF278" s="419"/>
      <c r="AG278" s="419"/>
      <c r="AH278" s="419"/>
      <c r="AI278" s="403"/>
      <c r="AJ278" s="403"/>
      <c r="AK278" s="403"/>
      <c r="AL278" s="403"/>
      <c r="AM278" s="403"/>
      <c r="AN278" s="403"/>
      <c r="AO278" s="403"/>
      <c r="AP278" s="403"/>
      <c r="AQ278" s="403"/>
      <c r="AR278" s="403"/>
      <c r="AS278" s="403"/>
      <c r="AT278" s="403"/>
      <c r="AU278" s="403"/>
      <c r="AV278" s="403"/>
      <c r="AW278" s="403"/>
      <c r="AX278" s="403"/>
      <c r="AY278" s="403"/>
      <c r="AZ278" s="403"/>
      <c r="BA278" s="403"/>
      <c r="BB278" s="403"/>
      <c r="BC278" s="403"/>
      <c r="BD278" s="403">
        <v>18000000</v>
      </c>
      <c r="BE278" s="403">
        <v>6600000</v>
      </c>
      <c r="BF278" s="403"/>
      <c r="BG278" s="403"/>
      <c r="BH278" s="403"/>
      <c r="BI278" s="403"/>
      <c r="BJ278" s="403"/>
      <c r="BK278" s="403"/>
      <c r="BL278" s="403"/>
      <c r="BM278" s="403"/>
      <c r="BN278" s="403"/>
      <c r="BO278" s="403"/>
      <c r="BP278" s="403">
        <f>+Z278+AC278+AF278+AI278+AL278+AO278+AR278+AU278+AX278+BA278+BD278+BG278+BJ278</f>
        <v>18000000</v>
      </c>
      <c r="BQ278" s="403">
        <f>+AA278+AD278+AG278+AJ278+AM278+AP278+AS278+AV278+AY278+BB278+BE278+BH278+BK278</f>
        <v>6600000</v>
      </c>
      <c r="BR278" s="403">
        <f>+AB278+AE278+AH278+AK278+AN278+AQ278+AT278+AW278+AZ278+BC278+BF278+BI278+BL278</f>
        <v>0</v>
      </c>
      <c r="BS278" s="359" t="s">
        <v>1665</v>
      </c>
      <c r="BT278" s="5"/>
    </row>
    <row r="279" spans="1:72" ht="109.5" customHeight="1" x14ac:dyDescent="0.2">
      <c r="A279" s="327">
        <v>324</v>
      </c>
      <c r="B279" s="417" t="s">
        <v>1668</v>
      </c>
      <c r="C279" s="323">
        <v>4</v>
      </c>
      <c r="D279" s="326" t="s">
        <v>1620</v>
      </c>
      <c r="E279" s="323">
        <v>23</v>
      </c>
      <c r="F279" s="326" t="s">
        <v>1202</v>
      </c>
      <c r="G279" s="323">
        <v>2302</v>
      </c>
      <c r="H279" s="326" t="s">
        <v>1596</v>
      </c>
      <c r="I279" s="323">
        <v>2302</v>
      </c>
      <c r="J279" s="326" t="s">
        <v>1597</v>
      </c>
      <c r="K279" s="326" t="s">
        <v>1262</v>
      </c>
      <c r="L279" s="323">
        <v>2302003</v>
      </c>
      <c r="M279" s="326" t="s">
        <v>1263</v>
      </c>
      <c r="N279" s="323">
        <v>2302003</v>
      </c>
      <c r="O279" s="326" t="s">
        <v>1263</v>
      </c>
      <c r="P279" s="99">
        <v>230200300</v>
      </c>
      <c r="Q279" s="326" t="s">
        <v>1264</v>
      </c>
      <c r="R279" s="99">
        <v>230200300</v>
      </c>
      <c r="S279" s="326" t="s">
        <v>1264</v>
      </c>
      <c r="T279" s="349" t="s">
        <v>1691</v>
      </c>
      <c r="U279" s="103">
        <v>2</v>
      </c>
      <c r="V279" s="103">
        <v>0.8</v>
      </c>
      <c r="W279" s="439" t="s">
        <v>1265</v>
      </c>
      <c r="X279" s="324" t="s">
        <v>1266</v>
      </c>
      <c r="Y279" s="324" t="s">
        <v>1267</v>
      </c>
      <c r="Z279" s="419"/>
      <c r="AA279" s="419"/>
      <c r="AB279" s="419"/>
      <c r="AC279" s="419"/>
      <c r="AD279" s="419"/>
      <c r="AE279" s="419"/>
      <c r="AF279" s="419"/>
      <c r="AG279" s="419"/>
      <c r="AH279" s="419"/>
      <c r="AI279" s="403"/>
      <c r="AJ279" s="403"/>
      <c r="AK279" s="403"/>
      <c r="AL279" s="403"/>
      <c r="AM279" s="403"/>
      <c r="AN279" s="403"/>
      <c r="AO279" s="403"/>
      <c r="AP279" s="403"/>
      <c r="AQ279" s="403"/>
      <c r="AR279" s="403"/>
      <c r="AS279" s="403"/>
      <c r="AT279" s="403"/>
      <c r="AU279" s="403"/>
      <c r="AV279" s="403"/>
      <c r="AW279" s="403"/>
      <c r="AX279" s="403"/>
      <c r="AY279" s="403"/>
      <c r="AZ279" s="403"/>
      <c r="BA279" s="403"/>
      <c r="BB279" s="403"/>
      <c r="BC279" s="403"/>
      <c r="BD279" s="403">
        <v>120000000</v>
      </c>
      <c r="BE279" s="403">
        <v>92643000</v>
      </c>
      <c r="BF279" s="403">
        <v>16903000</v>
      </c>
      <c r="BG279" s="403"/>
      <c r="BH279" s="403"/>
      <c r="BI279" s="403"/>
      <c r="BJ279" s="403"/>
      <c r="BK279" s="403"/>
      <c r="BL279" s="403"/>
      <c r="BM279" s="403"/>
      <c r="BN279" s="403"/>
      <c r="BO279" s="403"/>
      <c r="BP279" s="403">
        <f t="shared" ref="BP279:BP284" si="102">+Z279+AC279+AF279+AI279+AL279+AO279+AR279+AU279+AX279+BA279+BD279+BG279+BJ279</f>
        <v>120000000</v>
      </c>
      <c r="BQ279" s="403">
        <f t="shared" ref="BQ279:BQ284" si="103">+AA279+AD279+AG279+AJ279+AM279+AP279+AS279+AV279+AY279+BB279+BE279+BH279+BK279</f>
        <v>92643000</v>
      </c>
      <c r="BR279" s="403">
        <f t="shared" ref="BR279:BR284" si="104">+AB279+AE279+AH279+AK279+AN279+AQ279+AT279+AW279+AZ279+BC279+BF279+BI279+BL279</f>
        <v>16903000</v>
      </c>
      <c r="BS279" s="359" t="s">
        <v>1665</v>
      </c>
      <c r="BT279" s="5"/>
    </row>
    <row r="280" spans="1:72" ht="93" customHeight="1" x14ac:dyDescent="0.2">
      <c r="A280" s="327">
        <v>324</v>
      </c>
      <c r="B280" s="417" t="s">
        <v>1668</v>
      </c>
      <c r="C280" s="323">
        <v>4</v>
      </c>
      <c r="D280" s="326" t="s">
        <v>1620</v>
      </c>
      <c r="E280" s="323">
        <v>23</v>
      </c>
      <c r="F280" s="326" t="s">
        <v>1202</v>
      </c>
      <c r="G280" s="323">
        <v>2302</v>
      </c>
      <c r="H280" s="326" t="s">
        <v>1596</v>
      </c>
      <c r="I280" s="323">
        <v>2302</v>
      </c>
      <c r="J280" s="326" t="s">
        <v>1597</v>
      </c>
      <c r="K280" s="326" t="s">
        <v>1262</v>
      </c>
      <c r="L280" s="323">
        <v>2302033</v>
      </c>
      <c r="M280" s="326" t="s">
        <v>1268</v>
      </c>
      <c r="N280" s="323">
        <v>2302033</v>
      </c>
      <c r="O280" s="326" t="s">
        <v>1268</v>
      </c>
      <c r="P280" s="99">
        <v>230203300</v>
      </c>
      <c r="Q280" s="326" t="s">
        <v>1269</v>
      </c>
      <c r="R280" s="99">
        <v>230203300</v>
      </c>
      <c r="S280" s="326" t="s">
        <v>1269</v>
      </c>
      <c r="T280" s="349" t="s">
        <v>1689</v>
      </c>
      <c r="U280" s="103">
        <v>100</v>
      </c>
      <c r="V280" s="103">
        <v>87</v>
      </c>
      <c r="W280" s="439" t="s">
        <v>1265</v>
      </c>
      <c r="X280" s="324" t="s">
        <v>1266</v>
      </c>
      <c r="Y280" s="324" t="s">
        <v>1267</v>
      </c>
      <c r="Z280" s="419"/>
      <c r="AA280" s="419"/>
      <c r="AB280" s="419"/>
      <c r="AC280" s="419"/>
      <c r="AD280" s="419"/>
      <c r="AE280" s="419"/>
      <c r="AF280" s="419"/>
      <c r="AG280" s="419"/>
      <c r="AH280" s="419"/>
      <c r="AI280" s="403"/>
      <c r="AJ280" s="403"/>
      <c r="AK280" s="403"/>
      <c r="AL280" s="403"/>
      <c r="AM280" s="403"/>
      <c r="AN280" s="403"/>
      <c r="AO280" s="403"/>
      <c r="AP280" s="403"/>
      <c r="AQ280" s="403"/>
      <c r="AR280" s="403"/>
      <c r="AS280" s="403"/>
      <c r="AT280" s="403"/>
      <c r="AU280" s="403"/>
      <c r="AV280" s="403"/>
      <c r="AW280" s="403"/>
      <c r="AX280" s="403"/>
      <c r="AY280" s="403"/>
      <c r="AZ280" s="403"/>
      <c r="BA280" s="403"/>
      <c r="BB280" s="403"/>
      <c r="BC280" s="403"/>
      <c r="BD280" s="403">
        <v>50000000</v>
      </c>
      <c r="BE280" s="403">
        <v>37779750</v>
      </c>
      <c r="BF280" s="403">
        <v>16575000</v>
      </c>
      <c r="BG280" s="403"/>
      <c r="BH280" s="403"/>
      <c r="BI280" s="403"/>
      <c r="BJ280" s="403"/>
      <c r="BK280" s="403"/>
      <c r="BL280" s="403"/>
      <c r="BM280" s="403"/>
      <c r="BN280" s="403"/>
      <c r="BO280" s="403"/>
      <c r="BP280" s="403">
        <f t="shared" si="102"/>
        <v>50000000</v>
      </c>
      <c r="BQ280" s="403">
        <f t="shared" si="103"/>
        <v>37779750</v>
      </c>
      <c r="BR280" s="403">
        <f t="shared" si="104"/>
        <v>16575000</v>
      </c>
      <c r="BS280" s="359" t="s">
        <v>1665</v>
      </c>
      <c r="BT280" s="5"/>
    </row>
    <row r="281" spans="1:72" ht="132" customHeight="1" x14ac:dyDescent="0.2">
      <c r="A281" s="327">
        <v>324</v>
      </c>
      <c r="B281" s="417" t="s">
        <v>1668</v>
      </c>
      <c r="C281" s="323">
        <v>4</v>
      </c>
      <c r="D281" s="326" t="s">
        <v>1620</v>
      </c>
      <c r="E281" s="323">
        <v>23</v>
      </c>
      <c r="F281" s="326" t="s">
        <v>1202</v>
      </c>
      <c r="G281" s="323">
        <v>2302</v>
      </c>
      <c r="H281" s="326" t="s">
        <v>1596</v>
      </c>
      <c r="I281" s="323">
        <v>2302</v>
      </c>
      <c r="J281" s="326" t="s">
        <v>1597</v>
      </c>
      <c r="K281" s="326" t="s">
        <v>1262</v>
      </c>
      <c r="L281" s="323">
        <v>2302066</v>
      </c>
      <c r="M281" s="326" t="s">
        <v>1270</v>
      </c>
      <c r="N281" s="323">
        <v>2302066</v>
      </c>
      <c r="O281" s="326" t="s">
        <v>1270</v>
      </c>
      <c r="P281" s="99">
        <v>230206600</v>
      </c>
      <c r="Q281" s="326" t="s">
        <v>1271</v>
      </c>
      <c r="R281" s="99">
        <v>230206600</v>
      </c>
      <c r="S281" s="326" t="s">
        <v>1271</v>
      </c>
      <c r="T281" s="349" t="s">
        <v>1691</v>
      </c>
      <c r="U281" s="103">
        <v>50</v>
      </c>
      <c r="V281" s="103">
        <v>40</v>
      </c>
      <c r="W281" s="439" t="s">
        <v>1265</v>
      </c>
      <c r="X281" s="324" t="s">
        <v>1266</v>
      </c>
      <c r="Y281" s="324" t="s">
        <v>1267</v>
      </c>
      <c r="Z281" s="419"/>
      <c r="AA281" s="419"/>
      <c r="AB281" s="419"/>
      <c r="AC281" s="419"/>
      <c r="AD281" s="419"/>
      <c r="AE281" s="419"/>
      <c r="AF281" s="419"/>
      <c r="AG281" s="419"/>
      <c r="AH281" s="419"/>
      <c r="AI281" s="403"/>
      <c r="AJ281" s="403"/>
      <c r="AK281" s="403"/>
      <c r="AL281" s="403"/>
      <c r="AM281" s="403"/>
      <c r="AN281" s="403"/>
      <c r="AO281" s="403"/>
      <c r="AP281" s="403"/>
      <c r="AQ281" s="403"/>
      <c r="AR281" s="403"/>
      <c r="AS281" s="403"/>
      <c r="AT281" s="403"/>
      <c r="AU281" s="403"/>
      <c r="AV281" s="403"/>
      <c r="AW281" s="403"/>
      <c r="AX281" s="403"/>
      <c r="AY281" s="403"/>
      <c r="AZ281" s="403"/>
      <c r="BA281" s="403"/>
      <c r="BB281" s="403"/>
      <c r="BC281" s="403"/>
      <c r="BD281" s="403">
        <v>60000000</v>
      </c>
      <c r="BE281" s="403">
        <v>53882500</v>
      </c>
      <c r="BF281" s="403">
        <v>45962500</v>
      </c>
      <c r="BG281" s="403"/>
      <c r="BH281" s="403"/>
      <c r="BI281" s="403"/>
      <c r="BJ281" s="403"/>
      <c r="BK281" s="403"/>
      <c r="BL281" s="403"/>
      <c r="BM281" s="403"/>
      <c r="BN281" s="403"/>
      <c r="BO281" s="403"/>
      <c r="BP281" s="403">
        <f t="shared" si="102"/>
        <v>60000000</v>
      </c>
      <c r="BQ281" s="403">
        <f t="shared" si="103"/>
        <v>53882500</v>
      </c>
      <c r="BR281" s="403">
        <f t="shared" si="104"/>
        <v>45962500</v>
      </c>
      <c r="BS281" s="359" t="s">
        <v>1665</v>
      </c>
      <c r="BT281" s="5"/>
    </row>
    <row r="282" spans="1:72" ht="108" customHeight="1" x14ac:dyDescent="0.2">
      <c r="A282" s="327">
        <v>324</v>
      </c>
      <c r="B282" s="417" t="s">
        <v>1668</v>
      </c>
      <c r="C282" s="323">
        <v>4</v>
      </c>
      <c r="D282" s="326" t="s">
        <v>1620</v>
      </c>
      <c r="E282" s="323">
        <v>23</v>
      </c>
      <c r="F282" s="326" t="s">
        <v>1202</v>
      </c>
      <c r="G282" s="323">
        <v>2302</v>
      </c>
      <c r="H282" s="326" t="s">
        <v>1596</v>
      </c>
      <c r="I282" s="323">
        <v>2302</v>
      </c>
      <c r="J282" s="326" t="s">
        <v>1597</v>
      </c>
      <c r="K282" s="326" t="s">
        <v>1262</v>
      </c>
      <c r="L282" s="323">
        <v>2302004</v>
      </c>
      <c r="M282" s="326" t="s">
        <v>1272</v>
      </c>
      <c r="N282" s="323">
        <v>2302004</v>
      </c>
      <c r="O282" s="326" t="s">
        <v>1272</v>
      </c>
      <c r="P282" s="99">
        <v>230200403</v>
      </c>
      <c r="Q282" s="326" t="s">
        <v>1273</v>
      </c>
      <c r="R282" s="99">
        <v>230200403</v>
      </c>
      <c r="S282" s="326" t="s">
        <v>1273</v>
      </c>
      <c r="T282" s="349" t="s">
        <v>1691</v>
      </c>
      <c r="U282" s="103">
        <v>1</v>
      </c>
      <c r="V282" s="103">
        <v>0.7</v>
      </c>
      <c r="W282" s="439" t="s">
        <v>1265</v>
      </c>
      <c r="X282" s="324" t="s">
        <v>1266</v>
      </c>
      <c r="Y282" s="324" t="s">
        <v>1267</v>
      </c>
      <c r="Z282" s="419"/>
      <c r="AA282" s="419"/>
      <c r="AB282" s="419"/>
      <c r="AC282" s="419"/>
      <c r="AD282" s="419"/>
      <c r="AE282" s="419"/>
      <c r="AF282" s="419"/>
      <c r="AG282" s="419"/>
      <c r="AH282" s="419"/>
      <c r="AI282" s="403"/>
      <c r="AJ282" s="403"/>
      <c r="AK282" s="403"/>
      <c r="AL282" s="403"/>
      <c r="AM282" s="403"/>
      <c r="AN282" s="403"/>
      <c r="AO282" s="403"/>
      <c r="AP282" s="403"/>
      <c r="AQ282" s="403"/>
      <c r="AR282" s="403"/>
      <c r="AS282" s="403"/>
      <c r="AT282" s="403"/>
      <c r="AU282" s="403"/>
      <c r="AV282" s="403"/>
      <c r="AW282" s="403"/>
      <c r="AX282" s="403"/>
      <c r="AY282" s="403"/>
      <c r="AZ282" s="403"/>
      <c r="BA282" s="403"/>
      <c r="BB282" s="403"/>
      <c r="BC282" s="403"/>
      <c r="BD282" s="403">
        <v>25000000</v>
      </c>
      <c r="BE282" s="403">
        <v>25000000</v>
      </c>
      <c r="BF282" s="403">
        <v>17310000</v>
      </c>
      <c r="BG282" s="403"/>
      <c r="BH282" s="403"/>
      <c r="BI282" s="403"/>
      <c r="BJ282" s="403"/>
      <c r="BK282" s="403"/>
      <c r="BL282" s="403"/>
      <c r="BM282" s="403"/>
      <c r="BN282" s="403"/>
      <c r="BO282" s="403"/>
      <c r="BP282" s="403">
        <f t="shared" si="102"/>
        <v>25000000</v>
      </c>
      <c r="BQ282" s="403">
        <f t="shared" si="103"/>
        <v>25000000</v>
      </c>
      <c r="BR282" s="403">
        <f t="shared" si="104"/>
        <v>17310000</v>
      </c>
      <c r="BS282" s="359" t="s">
        <v>1665</v>
      </c>
      <c r="BT282" s="5"/>
    </row>
    <row r="283" spans="1:72" ht="120" x14ac:dyDescent="0.2">
      <c r="A283" s="327">
        <v>324</v>
      </c>
      <c r="B283" s="417" t="s">
        <v>1668</v>
      </c>
      <c r="C283" s="323">
        <v>4</v>
      </c>
      <c r="D283" s="326" t="s">
        <v>1620</v>
      </c>
      <c r="E283" s="323">
        <v>23</v>
      </c>
      <c r="F283" s="326" t="s">
        <v>1202</v>
      </c>
      <c r="G283" s="323">
        <v>2302</v>
      </c>
      <c r="H283" s="326" t="s">
        <v>1596</v>
      </c>
      <c r="I283" s="323">
        <v>2302</v>
      </c>
      <c r="J283" s="326" t="s">
        <v>1597</v>
      </c>
      <c r="K283" s="326" t="s">
        <v>1262</v>
      </c>
      <c r="L283" s="99">
        <v>2302007</v>
      </c>
      <c r="M283" s="326" t="s">
        <v>1274</v>
      </c>
      <c r="N283" s="323">
        <v>2302007</v>
      </c>
      <c r="O283" s="326" t="s">
        <v>1274</v>
      </c>
      <c r="P283" s="99">
        <v>230200701</v>
      </c>
      <c r="Q283" s="326" t="s">
        <v>1275</v>
      </c>
      <c r="R283" s="99">
        <v>230200701</v>
      </c>
      <c r="S283" s="326" t="s">
        <v>1275</v>
      </c>
      <c r="T283" s="349" t="s">
        <v>1691</v>
      </c>
      <c r="U283" s="103">
        <v>1</v>
      </c>
      <c r="V283" s="103">
        <v>0.8</v>
      </c>
      <c r="W283" s="439" t="s">
        <v>1265</v>
      </c>
      <c r="X283" s="324" t="s">
        <v>1266</v>
      </c>
      <c r="Y283" s="324" t="s">
        <v>1267</v>
      </c>
      <c r="Z283" s="419"/>
      <c r="AA283" s="419"/>
      <c r="AB283" s="419"/>
      <c r="AC283" s="419"/>
      <c r="AD283" s="419"/>
      <c r="AE283" s="419"/>
      <c r="AF283" s="419"/>
      <c r="AG283" s="419"/>
      <c r="AH283" s="419"/>
      <c r="AI283" s="403"/>
      <c r="AJ283" s="403"/>
      <c r="AK283" s="403"/>
      <c r="AL283" s="403"/>
      <c r="AM283" s="403"/>
      <c r="AN283" s="403"/>
      <c r="AO283" s="403"/>
      <c r="AP283" s="403"/>
      <c r="AQ283" s="403"/>
      <c r="AR283" s="403"/>
      <c r="AS283" s="403"/>
      <c r="AT283" s="403"/>
      <c r="AU283" s="403"/>
      <c r="AV283" s="403"/>
      <c r="AW283" s="403"/>
      <c r="AX283" s="403"/>
      <c r="AY283" s="403"/>
      <c r="AZ283" s="403"/>
      <c r="BA283" s="403"/>
      <c r="BB283" s="403"/>
      <c r="BC283" s="403"/>
      <c r="BD283" s="403">
        <v>25000000</v>
      </c>
      <c r="BE283" s="403">
        <v>21204750</v>
      </c>
      <c r="BF283" s="403">
        <v>13559500</v>
      </c>
      <c r="BG283" s="403"/>
      <c r="BH283" s="403"/>
      <c r="BI283" s="403"/>
      <c r="BJ283" s="403"/>
      <c r="BK283" s="403"/>
      <c r="BL283" s="403"/>
      <c r="BM283" s="403"/>
      <c r="BN283" s="403"/>
      <c r="BO283" s="403"/>
      <c r="BP283" s="403">
        <f t="shared" si="102"/>
        <v>25000000</v>
      </c>
      <c r="BQ283" s="403">
        <f t="shared" si="103"/>
        <v>21204750</v>
      </c>
      <c r="BR283" s="403">
        <f t="shared" si="104"/>
        <v>13559500</v>
      </c>
      <c r="BS283" s="359" t="s">
        <v>1665</v>
      </c>
      <c r="BT283" s="5"/>
    </row>
    <row r="284" spans="1:72" ht="97.5" customHeight="1" x14ac:dyDescent="0.2">
      <c r="A284" s="327">
        <v>324</v>
      </c>
      <c r="B284" s="417" t="s">
        <v>1668</v>
      </c>
      <c r="C284" s="323">
        <v>4</v>
      </c>
      <c r="D284" s="326" t="s">
        <v>1620</v>
      </c>
      <c r="E284" s="323">
        <v>23</v>
      </c>
      <c r="F284" s="326" t="s">
        <v>1202</v>
      </c>
      <c r="G284" s="323">
        <v>2302</v>
      </c>
      <c r="H284" s="326" t="s">
        <v>1596</v>
      </c>
      <c r="I284" s="323">
        <v>2302</v>
      </c>
      <c r="J284" s="326" t="s">
        <v>1597</v>
      </c>
      <c r="K284" s="326" t="s">
        <v>1262</v>
      </c>
      <c r="L284" s="323">
        <v>2302083</v>
      </c>
      <c r="M284" s="326" t="s">
        <v>84</v>
      </c>
      <c r="N284" s="323">
        <v>2302083</v>
      </c>
      <c r="O284" s="326" t="s">
        <v>84</v>
      </c>
      <c r="P284" s="99">
        <v>230208300</v>
      </c>
      <c r="Q284" s="326" t="s">
        <v>532</v>
      </c>
      <c r="R284" s="99">
        <v>230208300</v>
      </c>
      <c r="S284" s="326" t="s">
        <v>532</v>
      </c>
      <c r="T284" s="349" t="s">
        <v>1691</v>
      </c>
      <c r="U284" s="103">
        <v>1</v>
      </c>
      <c r="V284" s="103">
        <v>0.8</v>
      </c>
      <c r="W284" s="439" t="s">
        <v>1265</v>
      </c>
      <c r="X284" s="324" t="s">
        <v>1266</v>
      </c>
      <c r="Y284" s="324" t="s">
        <v>1267</v>
      </c>
      <c r="Z284" s="419"/>
      <c r="AA284" s="419"/>
      <c r="AB284" s="419"/>
      <c r="AC284" s="419"/>
      <c r="AD284" s="419"/>
      <c r="AE284" s="419"/>
      <c r="AF284" s="419"/>
      <c r="AG284" s="419"/>
      <c r="AH284" s="419"/>
      <c r="AI284" s="403"/>
      <c r="AJ284" s="403"/>
      <c r="AK284" s="403"/>
      <c r="AL284" s="403"/>
      <c r="AM284" s="403"/>
      <c r="AN284" s="403"/>
      <c r="AO284" s="403"/>
      <c r="AP284" s="403"/>
      <c r="AQ284" s="403"/>
      <c r="AR284" s="403"/>
      <c r="AS284" s="403"/>
      <c r="AT284" s="403"/>
      <c r="AU284" s="403"/>
      <c r="AV284" s="403"/>
      <c r="AW284" s="403"/>
      <c r="AX284" s="403"/>
      <c r="AY284" s="403"/>
      <c r="AZ284" s="403"/>
      <c r="BA284" s="403"/>
      <c r="BB284" s="403"/>
      <c r="BC284" s="403"/>
      <c r="BD284" s="403">
        <v>18000000</v>
      </c>
      <c r="BE284" s="403">
        <v>15070000</v>
      </c>
      <c r="BF284" s="403">
        <v>9240000</v>
      </c>
      <c r="BG284" s="403"/>
      <c r="BH284" s="403"/>
      <c r="BI284" s="403"/>
      <c r="BJ284" s="403"/>
      <c r="BK284" s="403"/>
      <c r="BL284" s="403"/>
      <c r="BM284" s="403"/>
      <c r="BN284" s="403"/>
      <c r="BO284" s="403"/>
      <c r="BP284" s="403">
        <f t="shared" si="102"/>
        <v>18000000</v>
      </c>
      <c r="BQ284" s="403">
        <f t="shared" si="103"/>
        <v>15070000</v>
      </c>
      <c r="BR284" s="403">
        <f t="shared" si="104"/>
        <v>9240000</v>
      </c>
      <c r="BS284" s="359" t="s">
        <v>1665</v>
      </c>
      <c r="BT284" s="5"/>
    </row>
    <row r="285" spans="1:72" s="33" customFormat="1" ht="140.25" customHeight="1" x14ac:dyDescent="0.2">
      <c r="A285" s="327">
        <v>319</v>
      </c>
      <c r="B285" s="443" t="s">
        <v>1637</v>
      </c>
      <c r="C285" s="323">
        <v>1</v>
      </c>
      <c r="D285" s="417" t="s">
        <v>1622</v>
      </c>
      <c r="E285" s="323">
        <v>43</v>
      </c>
      <c r="F285" s="326" t="s">
        <v>176</v>
      </c>
      <c r="G285" s="323">
        <v>4301</v>
      </c>
      <c r="H285" s="443" t="s">
        <v>1572</v>
      </c>
      <c r="I285" s="323">
        <v>4301</v>
      </c>
      <c r="J285" s="443" t="s">
        <v>1573</v>
      </c>
      <c r="K285" s="443" t="s">
        <v>1278</v>
      </c>
      <c r="L285" s="323">
        <v>4301007</v>
      </c>
      <c r="M285" s="326" t="s">
        <v>1279</v>
      </c>
      <c r="N285" s="323">
        <v>4301007</v>
      </c>
      <c r="O285" s="326" t="s">
        <v>1279</v>
      </c>
      <c r="P285" s="323">
        <v>430100701</v>
      </c>
      <c r="Q285" s="326" t="s">
        <v>1280</v>
      </c>
      <c r="R285" s="323">
        <v>430100701</v>
      </c>
      <c r="S285" s="326" t="s">
        <v>1280</v>
      </c>
      <c r="T285" s="349" t="s">
        <v>1689</v>
      </c>
      <c r="U285" s="103">
        <v>12</v>
      </c>
      <c r="V285" s="103">
        <v>12</v>
      </c>
      <c r="W285" s="494">
        <v>2020003630009</v>
      </c>
      <c r="X285" s="324" t="s">
        <v>1281</v>
      </c>
      <c r="Y285" s="452" t="s">
        <v>1282</v>
      </c>
      <c r="Z285" s="348">
        <v>1117742469</v>
      </c>
      <c r="AA285" s="419"/>
      <c r="AB285" s="419"/>
      <c r="AC285" s="419"/>
      <c r="AD285" s="419"/>
      <c r="AE285" s="419"/>
      <c r="AF285" s="419"/>
      <c r="AG285" s="419"/>
      <c r="AH285" s="419"/>
      <c r="AI285" s="419"/>
      <c r="AJ285" s="419"/>
      <c r="AK285" s="419"/>
      <c r="AL285" s="419"/>
      <c r="AM285" s="419"/>
      <c r="AN285" s="419"/>
      <c r="AO285" s="495"/>
      <c r="AP285" s="495"/>
      <c r="AQ285" s="495"/>
      <c r="AR285" s="419"/>
      <c r="AS285" s="419"/>
      <c r="AT285" s="419"/>
      <c r="AU285" s="419"/>
      <c r="AV285" s="419"/>
      <c r="AW285" s="419"/>
      <c r="AX285" s="419"/>
      <c r="AY285" s="419"/>
      <c r="AZ285" s="419"/>
      <c r="BA285" s="419"/>
      <c r="BB285" s="419"/>
      <c r="BC285" s="419"/>
      <c r="BD285" s="348"/>
      <c r="BE285" s="348"/>
      <c r="BF285" s="348"/>
      <c r="BG285" s="348">
        <f>843746501.24+460056673.81</f>
        <v>1303803175.05</v>
      </c>
      <c r="BH285" s="348">
        <v>997851701.86000013</v>
      </c>
      <c r="BI285" s="348">
        <v>979085035.8599999</v>
      </c>
      <c r="BJ285" s="419">
        <v>240000000</v>
      </c>
      <c r="BK285" s="419">
        <v>115599998</v>
      </c>
      <c r="BL285" s="419">
        <v>54200000</v>
      </c>
      <c r="BM285" s="419"/>
      <c r="BN285" s="419"/>
      <c r="BO285" s="419"/>
      <c r="BP285" s="403">
        <f t="shared" ref="BP285:BR288" si="105">+Z285+AC285+AF285+AI285+AL285+AO285+AR285+AU285+AX285+BA285+BD285+BG285+BJ285</f>
        <v>2661545644.0500002</v>
      </c>
      <c r="BQ285" s="403">
        <f t="shared" si="105"/>
        <v>1113451699.8600001</v>
      </c>
      <c r="BR285" s="403">
        <f t="shared" si="105"/>
        <v>1033285035.8599999</v>
      </c>
      <c r="BS285" s="359" t="s">
        <v>1666</v>
      </c>
      <c r="BT285" s="346"/>
    </row>
    <row r="286" spans="1:72" s="33" customFormat="1" ht="140.25" customHeight="1" x14ac:dyDescent="0.2">
      <c r="A286" s="327">
        <v>319</v>
      </c>
      <c r="B286" s="443" t="s">
        <v>1637</v>
      </c>
      <c r="C286" s="323">
        <v>1</v>
      </c>
      <c r="D286" s="417" t="s">
        <v>1622</v>
      </c>
      <c r="E286" s="323">
        <v>43</v>
      </c>
      <c r="F286" s="326" t="s">
        <v>176</v>
      </c>
      <c r="G286" s="323">
        <v>4301</v>
      </c>
      <c r="H286" s="443" t="s">
        <v>1572</v>
      </c>
      <c r="I286" s="323">
        <v>4301</v>
      </c>
      <c r="J286" s="443" t="s">
        <v>1573</v>
      </c>
      <c r="K286" s="443" t="s">
        <v>1278</v>
      </c>
      <c r="L286" s="323">
        <v>4301037</v>
      </c>
      <c r="M286" s="326" t="s">
        <v>1283</v>
      </c>
      <c r="N286" s="323">
        <v>4301037</v>
      </c>
      <c r="O286" s="326" t="s">
        <v>1283</v>
      </c>
      <c r="P286" s="323">
        <v>430103701</v>
      </c>
      <c r="Q286" s="326" t="s">
        <v>1284</v>
      </c>
      <c r="R286" s="323">
        <v>430103701</v>
      </c>
      <c r="S286" s="326" t="s">
        <v>1284</v>
      </c>
      <c r="T286" s="349" t="s">
        <v>1689</v>
      </c>
      <c r="U286" s="103">
        <v>12</v>
      </c>
      <c r="V286" s="103">
        <v>11</v>
      </c>
      <c r="W286" s="494">
        <v>2020003630009</v>
      </c>
      <c r="X286" s="324" t="s">
        <v>1281</v>
      </c>
      <c r="Y286" s="452" t="s">
        <v>1282</v>
      </c>
      <c r="Z286" s="419"/>
      <c r="AA286" s="419"/>
      <c r="AB286" s="419"/>
      <c r="AC286" s="419"/>
      <c r="AD286" s="419"/>
      <c r="AE286" s="419"/>
      <c r="AF286" s="419"/>
      <c r="AG286" s="419"/>
      <c r="AH286" s="419"/>
      <c r="AI286" s="419"/>
      <c r="AJ286" s="419"/>
      <c r="AK286" s="419"/>
      <c r="AL286" s="419"/>
      <c r="AM286" s="419"/>
      <c r="AN286" s="419"/>
      <c r="AO286" s="419"/>
      <c r="AP286" s="419"/>
      <c r="AQ286" s="419"/>
      <c r="AR286" s="419"/>
      <c r="AS286" s="419"/>
      <c r="AT286" s="419"/>
      <c r="AU286" s="419"/>
      <c r="AV286" s="419"/>
      <c r="AW286" s="419"/>
      <c r="AX286" s="419"/>
      <c r="AY286" s="419"/>
      <c r="AZ286" s="419"/>
      <c r="BA286" s="419"/>
      <c r="BB286" s="419"/>
      <c r="BC286" s="419"/>
      <c r="BD286" s="348"/>
      <c r="BE286" s="348"/>
      <c r="BF286" s="348"/>
      <c r="BG286" s="348">
        <f>176820060+40000000+94205491.84</f>
        <v>311025551.84000003</v>
      </c>
      <c r="BH286" s="348">
        <v>86800000</v>
      </c>
      <c r="BI286" s="348">
        <v>57591589</v>
      </c>
      <c r="BJ286" s="496">
        <v>165000000</v>
      </c>
      <c r="BK286" s="496"/>
      <c r="BL286" s="496"/>
      <c r="BM286" s="496"/>
      <c r="BN286" s="496"/>
      <c r="BO286" s="496"/>
      <c r="BP286" s="403">
        <f t="shared" si="105"/>
        <v>476025551.84000003</v>
      </c>
      <c r="BQ286" s="403">
        <f t="shared" si="105"/>
        <v>86800000</v>
      </c>
      <c r="BR286" s="403">
        <f t="shared" si="105"/>
        <v>57591589</v>
      </c>
      <c r="BS286" s="359" t="s">
        <v>1666</v>
      </c>
      <c r="BT286" s="346"/>
    </row>
    <row r="287" spans="1:72" s="33" customFormat="1" ht="129" customHeight="1" x14ac:dyDescent="0.2">
      <c r="A287" s="327">
        <v>319</v>
      </c>
      <c r="B287" s="443" t="s">
        <v>1637</v>
      </c>
      <c r="C287" s="323">
        <v>1</v>
      </c>
      <c r="D287" s="417" t="s">
        <v>1622</v>
      </c>
      <c r="E287" s="323">
        <v>43</v>
      </c>
      <c r="F287" s="326" t="s">
        <v>176</v>
      </c>
      <c r="G287" s="323">
        <v>4301</v>
      </c>
      <c r="H287" s="443" t="s">
        <v>1572</v>
      </c>
      <c r="I287" s="323">
        <v>4301</v>
      </c>
      <c r="J287" s="443" t="s">
        <v>1573</v>
      </c>
      <c r="K287" s="443" t="s">
        <v>1278</v>
      </c>
      <c r="L287" s="323">
        <v>4301037</v>
      </c>
      <c r="M287" s="326" t="s">
        <v>1283</v>
      </c>
      <c r="N287" s="323">
        <v>4301037</v>
      </c>
      <c r="O287" s="326" t="s">
        <v>1283</v>
      </c>
      <c r="P287" s="323" t="s">
        <v>1285</v>
      </c>
      <c r="Q287" s="326" t="s">
        <v>1286</v>
      </c>
      <c r="R287" s="323" t="s">
        <v>1285</v>
      </c>
      <c r="S287" s="326" t="s">
        <v>1286</v>
      </c>
      <c r="T287" s="349" t="s">
        <v>1689</v>
      </c>
      <c r="U287" s="103">
        <v>12</v>
      </c>
      <c r="V287" s="103">
        <v>12</v>
      </c>
      <c r="W287" s="494">
        <v>2020003630009</v>
      </c>
      <c r="X287" s="324" t="s">
        <v>1281</v>
      </c>
      <c r="Y287" s="452" t="s">
        <v>1282</v>
      </c>
      <c r="Z287" s="419">
        <v>1000000000</v>
      </c>
      <c r="AA287" s="419"/>
      <c r="AB287" s="419"/>
      <c r="AC287" s="419"/>
      <c r="AD287" s="419"/>
      <c r="AE287" s="419"/>
      <c r="AF287" s="419"/>
      <c r="AG287" s="419"/>
      <c r="AH287" s="419"/>
      <c r="AI287" s="419"/>
      <c r="AJ287" s="419"/>
      <c r="AK287" s="419"/>
      <c r="AL287" s="419"/>
      <c r="AM287" s="419"/>
      <c r="AN287" s="419"/>
      <c r="AO287" s="419"/>
      <c r="AP287" s="419"/>
      <c r="AQ287" s="419"/>
      <c r="AR287" s="419"/>
      <c r="AS287" s="419"/>
      <c r="AT287" s="419"/>
      <c r="AU287" s="419"/>
      <c r="AV287" s="419"/>
      <c r="AW287" s="419"/>
      <c r="AX287" s="419"/>
      <c r="AY287" s="419"/>
      <c r="AZ287" s="419"/>
      <c r="BA287" s="419"/>
      <c r="BB287" s="419"/>
      <c r="BC287" s="419"/>
      <c r="BD287" s="348">
        <f>63455402+72672234+600000000+150000000+250000000-1000000000</f>
        <v>136127636</v>
      </c>
      <c r="BE287" s="348">
        <v>100563965.81999999</v>
      </c>
      <c r="BF287" s="348">
        <v>49144231</v>
      </c>
      <c r="BG287" s="348">
        <f>253377194+128617531.11</f>
        <v>381994725.11000001</v>
      </c>
      <c r="BH287" s="348">
        <v>174373198</v>
      </c>
      <c r="BI287" s="348">
        <v>133947281</v>
      </c>
      <c r="BJ287" s="419">
        <v>595000000</v>
      </c>
      <c r="BK287" s="419">
        <v>302052436</v>
      </c>
      <c r="BL287" s="419">
        <v>137686769</v>
      </c>
      <c r="BM287" s="419"/>
      <c r="BN287" s="419"/>
      <c r="BO287" s="419"/>
      <c r="BP287" s="403">
        <f t="shared" si="105"/>
        <v>2113122361.1100001</v>
      </c>
      <c r="BQ287" s="403">
        <f t="shared" si="105"/>
        <v>576989599.81999993</v>
      </c>
      <c r="BR287" s="403">
        <f t="shared" si="105"/>
        <v>320778281</v>
      </c>
      <c r="BS287" s="359" t="s">
        <v>1666</v>
      </c>
      <c r="BT287" s="346"/>
    </row>
    <row r="288" spans="1:72" s="33" customFormat="1" ht="166.5" customHeight="1" x14ac:dyDescent="0.2">
      <c r="A288" s="327">
        <v>319</v>
      </c>
      <c r="B288" s="443" t="s">
        <v>1637</v>
      </c>
      <c r="C288" s="323">
        <v>1</v>
      </c>
      <c r="D288" s="417" t="s">
        <v>1622</v>
      </c>
      <c r="E288" s="323">
        <v>43</v>
      </c>
      <c r="F288" s="326" t="s">
        <v>176</v>
      </c>
      <c r="G288" s="323">
        <v>4301</v>
      </c>
      <c r="H288" s="443" t="s">
        <v>1572</v>
      </c>
      <c r="I288" s="323">
        <v>4301</v>
      </c>
      <c r="J288" s="443" t="s">
        <v>1573</v>
      </c>
      <c r="K288" s="443" t="s">
        <v>1278</v>
      </c>
      <c r="L288" s="103" t="s">
        <v>41</v>
      </c>
      <c r="M288" s="326" t="s">
        <v>1287</v>
      </c>
      <c r="N288" s="323">
        <v>4301006</v>
      </c>
      <c r="O288" s="326" t="s">
        <v>1288</v>
      </c>
      <c r="P288" s="103" t="s">
        <v>41</v>
      </c>
      <c r="Q288" s="326" t="s">
        <v>1289</v>
      </c>
      <c r="R288" s="323">
        <v>430100600</v>
      </c>
      <c r="S288" s="326" t="s">
        <v>1290</v>
      </c>
      <c r="T288" s="349" t="s">
        <v>1689</v>
      </c>
      <c r="U288" s="103">
        <v>1</v>
      </c>
      <c r="V288" s="103">
        <v>0.5</v>
      </c>
      <c r="W288" s="494">
        <v>2020003630009</v>
      </c>
      <c r="X288" s="324" t="s">
        <v>1281</v>
      </c>
      <c r="Y288" s="452" t="s">
        <v>1282</v>
      </c>
      <c r="Z288" s="419"/>
      <c r="AA288" s="419"/>
      <c r="AB288" s="419"/>
      <c r="AC288" s="419"/>
      <c r="AD288" s="419"/>
      <c r="AE288" s="419"/>
      <c r="AF288" s="419"/>
      <c r="AG288" s="419"/>
      <c r="AH288" s="419"/>
      <c r="AI288" s="419"/>
      <c r="AJ288" s="419"/>
      <c r="AK288" s="419"/>
      <c r="AL288" s="419"/>
      <c r="AM288" s="419"/>
      <c r="AN288" s="419"/>
      <c r="AO288" s="419"/>
      <c r="AP288" s="419"/>
      <c r="AQ288" s="419"/>
      <c r="AR288" s="419"/>
      <c r="AS288" s="419"/>
      <c r="AT288" s="419"/>
      <c r="AU288" s="419"/>
      <c r="AV288" s="419"/>
      <c r="AW288" s="419"/>
      <c r="AX288" s="419"/>
      <c r="AY288" s="419"/>
      <c r="AZ288" s="419"/>
      <c r="BA288" s="419"/>
      <c r="BB288" s="419"/>
      <c r="BC288" s="419"/>
      <c r="BD288" s="420"/>
      <c r="BE288" s="420"/>
      <c r="BF288" s="420"/>
      <c r="BG288" s="423">
        <v>76178126.980000004</v>
      </c>
      <c r="BH288" s="423">
        <v>58670000</v>
      </c>
      <c r="BI288" s="423">
        <v>29280000</v>
      </c>
      <c r="BJ288" s="497"/>
      <c r="BK288" s="497"/>
      <c r="BL288" s="497"/>
      <c r="BM288" s="497"/>
      <c r="BN288" s="497"/>
      <c r="BO288" s="497"/>
      <c r="BP288" s="403">
        <f>+Z288+AC288+AF288+AI288+AL288+AO288+AR288+AU288+AX288+BA288+BD288+BG288+BJ288</f>
        <v>76178126.980000004</v>
      </c>
      <c r="BQ288" s="403">
        <f t="shared" si="105"/>
        <v>58670000</v>
      </c>
      <c r="BR288" s="403">
        <f t="shared" si="105"/>
        <v>29280000</v>
      </c>
      <c r="BS288" s="359" t="s">
        <v>1666</v>
      </c>
      <c r="BT288" s="346"/>
    </row>
    <row r="289" spans="1:72" s="33" customFormat="1" ht="151.5" customHeight="1" x14ac:dyDescent="0.2">
      <c r="A289" s="327">
        <v>319</v>
      </c>
      <c r="B289" s="443" t="s">
        <v>1637</v>
      </c>
      <c r="C289" s="323">
        <v>1</v>
      </c>
      <c r="D289" s="417" t="s">
        <v>1622</v>
      </c>
      <c r="E289" s="323">
        <v>43</v>
      </c>
      <c r="F289" s="326" t="s">
        <v>176</v>
      </c>
      <c r="G289" s="323">
        <v>4302</v>
      </c>
      <c r="H289" s="443" t="s">
        <v>1291</v>
      </c>
      <c r="I289" s="323">
        <v>4302</v>
      </c>
      <c r="J289" s="443" t="s">
        <v>1616</v>
      </c>
      <c r="K289" s="443" t="s">
        <v>1292</v>
      </c>
      <c r="L289" s="498">
        <v>4302075</v>
      </c>
      <c r="M289" s="326" t="s">
        <v>1293</v>
      </c>
      <c r="N289" s="498">
        <v>4302075</v>
      </c>
      <c r="O289" s="326" t="s">
        <v>1293</v>
      </c>
      <c r="P289" s="422">
        <v>430207500</v>
      </c>
      <c r="Q289" s="443" t="s">
        <v>1294</v>
      </c>
      <c r="R289" s="422">
        <v>430207500</v>
      </c>
      <c r="S289" s="443" t="s">
        <v>1294</v>
      </c>
      <c r="T289" s="349" t="s">
        <v>1689</v>
      </c>
      <c r="U289" s="103">
        <v>25</v>
      </c>
      <c r="V289" s="103">
        <v>25</v>
      </c>
      <c r="W289" s="499">
        <v>2020003630010</v>
      </c>
      <c r="X289" s="500" t="s">
        <v>1295</v>
      </c>
      <c r="Y289" s="500" t="s">
        <v>1296</v>
      </c>
      <c r="Z289" s="457">
        <v>4533873991</v>
      </c>
      <c r="AA289" s="419"/>
      <c r="AB289" s="419"/>
      <c r="AC289" s="419"/>
      <c r="AD289" s="419"/>
      <c r="AE289" s="419"/>
      <c r="AF289" s="419"/>
      <c r="AG289" s="419"/>
      <c r="AH289" s="419"/>
      <c r="AI289" s="419"/>
      <c r="AJ289" s="419"/>
      <c r="AK289" s="419"/>
      <c r="AL289" s="419"/>
      <c r="AM289" s="419"/>
      <c r="AN289" s="419"/>
      <c r="AO289" s="419"/>
      <c r="AP289" s="419"/>
      <c r="AQ289" s="419"/>
      <c r="AR289" s="419"/>
      <c r="AS289" s="419"/>
      <c r="AT289" s="419"/>
      <c r="AU289" s="419"/>
      <c r="AV289" s="419"/>
      <c r="AW289" s="419"/>
      <c r="AX289" s="419"/>
      <c r="AY289" s="419"/>
      <c r="AZ289" s="419"/>
      <c r="BA289" s="419"/>
      <c r="BB289" s="419"/>
      <c r="BC289" s="419"/>
      <c r="BD289" s="465">
        <f>684120550+100000000</f>
        <v>784120550</v>
      </c>
      <c r="BE289" s="465">
        <v>161172215</v>
      </c>
      <c r="BF289" s="465">
        <v>135772548</v>
      </c>
      <c r="BG289" s="465">
        <f>288360186+2044951320.41</f>
        <v>2333311506.4099998</v>
      </c>
      <c r="BH289" s="465">
        <v>1766391025.1799998</v>
      </c>
      <c r="BI289" s="465">
        <v>1144879025</v>
      </c>
      <c r="BJ289" s="419"/>
      <c r="BK289" s="419"/>
      <c r="BL289" s="419"/>
      <c r="BM289" s="419"/>
      <c r="BN289" s="419"/>
      <c r="BO289" s="419"/>
      <c r="BP289" s="403">
        <f t="shared" ref="BP289:BR290" si="106">+Z289+AC289+AF289+AI289+AL289+AO289+AR289+AU289+AX289+BA289+BD289+BG289+BJ289</f>
        <v>7651306047.4099998</v>
      </c>
      <c r="BQ289" s="403">
        <f t="shared" si="106"/>
        <v>1927563240.1799998</v>
      </c>
      <c r="BR289" s="403">
        <f t="shared" si="106"/>
        <v>1280651573</v>
      </c>
      <c r="BS289" s="359" t="s">
        <v>1666</v>
      </c>
      <c r="BT289" s="346"/>
    </row>
    <row r="290" spans="1:72" s="33" customFormat="1" ht="147" customHeight="1" x14ac:dyDescent="0.2">
      <c r="A290" s="327">
        <v>319</v>
      </c>
      <c r="B290" s="443" t="s">
        <v>1637</v>
      </c>
      <c r="C290" s="323">
        <v>1</v>
      </c>
      <c r="D290" s="417" t="s">
        <v>1622</v>
      </c>
      <c r="E290" s="323">
        <v>43</v>
      </c>
      <c r="F290" s="326" t="s">
        <v>176</v>
      </c>
      <c r="G290" s="323">
        <v>4302</v>
      </c>
      <c r="H290" s="443" t="s">
        <v>1291</v>
      </c>
      <c r="I290" s="323">
        <v>4302</v>
      </c>
      <c r="J290" s="443" t="s">
        <v>1616</v>
      </c>
      <c r="K290" s="443" t="s">
        <v>1297</v>
      </c>
      <c r="L290" s="498">
        <v>4302075</v>
      </c>
      <c r="M290" s="326" t="s">
        <v>1293</v>
      </c>
      <c r="N290" s="498">
        <v>4302004</v>
      </c>
      <c r="O290" s="326" t="s">
        <v>1298</v>
      </c>
      <c r="P290" s="103" t="s">
        <v>41</v>
      </c>
      <c r="Q290" s="326" t="s">
        <v>1299</v>
      </c>
      <c r="R290" s="327">
        <v>430200401</v>
      </c>
      <c r="S290" s="326" t="s">
        <v>1300</v>
      </c>
      <c r="T290" s="349" t="s">
        <v>1689</v>
      </c>
      <c r="U290" s="103">
        <v>1</v>
      </c>
      <c r="V290" s="103">
        <v>0</v>
      </c>
      <c r="W290" s="499">
        <v>2020003630013</v>
      </c>
      <c r="X290" s="324" t="s">
        <v>1301</v>
      </c>
      <c r="Y290" s="326" t="s">
        <v>1302</v>
      </c>
      <c r="Z290" s="419"/>
      <c r="AA290" s="419"/>
      <c r="AB290" s="419"/>
      <c r="AC290" s="419"/>
      <c r="AD290" s="419"/>
      <c r="AE290" s="419"/>
      <c r="AF290" s="419"/>
      <c r="AG290" s="419"/>
      <c r="AH290" s="419"/>
      <c r="AI290" s="419"/>
      <c r="AJ290" s="419"/>
      <c r="AK290" s="419"/>
      <c r="AL290" s="419"/>
      <c r="AM290" s="419"/>
      <c r="AN290" s="419"/>
      <c r="AO290" s="419"/>
      <c r="AP290" s="419"/>
      <c r="AQ290" s="419"/>
      <c r="AR290" s="419"/>
      <c r="AS290" s="419"/>
      <c r="AT290" s="419"/>
      <c r="AU290" s="419"/>
      <c r="AV290" s="419"/>
      <c r="AW290" s="419"/>
      <c r="AX290" s="419"/>
      <c r="AY290" s="419"/>
      <c r="AZ290" s="419"/>
      <c r="BA290" s="419"/>
      <c r="BB290" s="419"/>
      <c r="BC290" s="419"/>
      <c r="BD290" s="352">
        <f>35000000+91882074.64</f>
        <v>126882074.64</v>
      </c>
      <c r="BE290" s="348">
        <v>42811666</v>
      </c>
      <c r="BF290" s="352">
        <v>18636666</v>
      </c>
      <c r="BG290" s="348"/>
      <c r="BH290" s="348"/>
      <c r="BI290" s="348"/>
      <c r="BJ290" s="419"/>
      <c r="BK290" s="419"/>
      <c r="BL290" s="419"/>
      <c r="BM290" s="419"/>
      <c r="BN290" s="419"/>
      <c r="BO290" s="419"/>
      <c r="BP290" s="403">
        <f t="shared" si="106"/>
        <v>126882074.64</v>
      </c>
      <c r="BQ290" s="403">
        <f t="shared" si="106"/>
        <v>42811666</v>
      </c>
      <c r="BR290" s="403">
        <f t="shared" si="106"/>
        <v>18636666</v>
      </c>
      <c r="BS290" s="359" t="s">
        <v>1666</v>
      </c>
      <c r="BT290" s="346"/>
    </row>
    <row r="291" spans="1:72" s="33" customFormat="1" ht="175.5" customHeight="1" x14ac:dyDescent="0.2">
      <c r="A291" s="327">
        <v>320</v>
      </c>
      <c r="B291" s="443" t="s">
        <v>1638</v>
      </c>
      <c r="C291" s="323">
        <v>1</v>
      </c>
      <c r="D291" s="417" t="s">
        <v>1622</v>
      </c>
      <c r="E291" s="323">
        <v>43</v>
      </c>
      <c r="F291" s="326" t="s">
        <v>176</v>
      </c>
      <c r="G291" s="323">
        <v>4301</v>
      </c>
      <c r="H291" s="443" t="s">
        <v>1572</v>
      </c>
      <c r="I291" s="323">
        <v>4301</v>
      </c>
      <c r="J291" s="443" t="s">
        <v>1573</v>
      </c>
      <c r="K291" s="326" t="s">
        <v>178</v>
      </c>
      <c r="L291" s="103" t="s">
        <v>41</v>
      </c>
      <c r="M291" s="434" t="s">
        <v>1304</v>
      </c>
      <c r="N291" s="323">
        <v>4301004</v>
      </c>
      <c r="O291" s="434" t="s">
        <v>180</v>
      </c>
      <c r="P291" s="103" t="s">
        <v>41</v>
      </c>
      <c r="Q291" s="434" t="s">
        <v>1305</v>
      </c>
      <c r="R291" s="435">
        <v>430100401</v>
      </c>
      <c r="S291" s="434" t="s">
        <v>182</v>
      </c>
      <c r="T291" s="349" t="s">
        <v>1691</v>
      </c>
      <c r="U291" s="103">
        <v>3</v>
      </c>
      <c r="V291" s="103">
        <v>3</v>
      </c>
      <c r="W291" s="456" t="s">
        <v>1306</v>
      </c>
      <c r="X291" s="434" t="s">
        <v>1307</v>
      </c>
      <c r="Y291" s="434" t="s">
        <v>1308</v>
      </c>
      <c r="Z291" s="444">
        <v>308302422.89999998</v>
      </c>
      <c r="AA291" s="444">
        <v>83625087.285999894</v>
      </c>
      <c r="AB291" s="444">
        <v>6574999.8999999985</v>
      </c>
      <c r="AC291" s="419"/>
      <c r="AD291" s="419"/>
      <c r="AE291" s="419"/>
      <c r="AF291" s="419"/>
      <c r="AG291" s="419"/>
      <c r="AH291" s="419"/>
      <c r="AI291" s="419"/>
      <c r="AJ291" s="419"/>
      <c r="AK291" s="419"/>
      <c r="AL291" s="419"/>
      <c r="AM291" s="419"/>
      <c r="AN291" s="419"/>
      <c r="AO291" s="419"/>
      <c r="AP291" s="419"/>
      <c r="AQ291" s="419"/>
      <c r="AR291" s="419"/>
      <c r="AS291" s="419"/>
      <c r="AT291" s="419"/>
      <c r="AU291" s="419"/>
      <c r="AV291" s="419"/>
      <c r="AW291" s="419"/>
      <c r="AX291" s="419"/>
      <c r="AY291" s="419"/>
      <c r="AZ291" s="419"/>
      <c r="BA291" s="419"/>
      <c r="BB291" s="419"/>
      <c r="BC291" s="419"/>
      <c r="BD291" s="454"/>
      <c r="BE291" s="454"/>
      <c r="BF291" s="454"/>
      <c r="BG291" s="446"/>
      <c r="BH291" s="446"/>
      <c r="BI291" s="446"/>
      <c r="BJ291" s="419"/>
      <c r="BK291" s="419"/>
      <c r="BL291" s="419"/>
      <c r="BM291" s="419"/>
      <c r="BN291" s="419"/>
      <c r="BO291" s="419"/>
      <c r="BP291" s="403">
        <f>+Z291+AC291+AF291+AI291+AL291+AO291+AR291+AU291+AX291+BA291+BD291+BG291+BJ291</f>
        <v>308302422.89999998</v>
      </c>
      <c r="BQ291" s="403">
        <f t="shared" ref="BQ291:BR291" si="107">+AA291+AD291+AG291+AJ291+AM291+AP291+AS291+AV291+AY291+BB291+BE291+BH291+BK291</f>
        <v>83625087.285999894</v>
      </c>
      <c r="BR291" s="403">
        <f t="shared" si="107"/>
        <v>6574999.8999999985</v>
      </c>
      <c r="BS291" s="359" t="s">
        <v>1667</v>
      </c>
      <c r="BT291" s="5"/>
    </row>
    <row r="292" spans="1:72" s="33" customFormat="1" ht="131.25" customHeight="1" x14ac:dyDescent="0.2">
      <c r="A292" s="327">
        <v>320</v>
      </c>
      <c r="B292" s="443" t="s">
        <v>1638</v>
      </c>
      <c r="C292" s="323">
        <v>1</v>
      </c>
      <c r="D292" s="417" t="s">
        <v>1622</v>
      </c>
      <c r="E292" s="323">
        <v>22</v>
      </c>
      <c r="F292" s="442" t="s">
        <v>156</v>
      </c>
      <c r="G292" s="323">
        <v>2201</v>
      </c>
      <c r="H292" s="326" t="s">
        <v>277</v>
      </c>
      <c r="I292" s="323">
        <v>2201</v>
      </c>
      <c r="J292" s="326" t="s">
        <v>1595</v>
      </c>
      <c r="K292" s="326" t="s">
        <v>158</v>
      </c>
      <c r="L292" s="103" t="s">
        <v>41</v>
      </c>
      <c r="M292" s="326" t="s">
        <v>674</v>
      </c>
      <c r="N292" s="435">
        <v>2201062</v>
      </c>
      <c r="O292" s="326" t="s">
        <v>160</v>
      </c>
      <c r="P292" s="103" t="s">
        <v>41</v>
      </c>
      <c r="Q292" s="326" t="s">
        <v>161</v>
      </c>
      <c r="R292" s="323">
        <v>220106200</v>
      </c>
      <c r="S292" s="326" t="s">
        <v>162</v>
      </c>
      <c r="T292" s="349" t="s">
        <v>1691</v>
      </c>
      <c r="U292" s="103">
        <v>15</v>
      </c>
      <c r="V292" s="103">
        <v>0</v>
      </c>
      <c r="W292" s="456" t="s">
        <v>1309</v>
      </c>
      <c r="X292" s="434" t="s">
        <v>1310</v>
      </c>
      <c r="Y292" s="434" t="s">
        <v>1311</v>
      </c>
      <c r="Z292" s="444">
        <f>308302422.9+20706441.05</f>
        <v>329008863.94999999</v>
      </c>
      <c r="AA292" s="444">
        <v>41687051.560000002</v>
      </c>
      <c r="AB292" s="444">
        <v>15000000</v>
      </c>
      <c r="AC292" s="419"/>
      <c r="AD292" s="419"/>
      <c r="AE292" s="419"/>
      <c r="AF292" s="419"/>
      <c r="AG292" s="419"/>
      <c r="AH292" s="419"/>
      <c r="AI292" s="419"/>
      <c r="AJ292" s="419"/>
      <c r="AK292" s="419"/>
      <c r="AL292" s="419"/>
      <c r="AM292" s="419"/>
      <c r="AN292" s="419"/>
      <c r="AO292" s="419"/>
      <c r="AP292" s="419"/>
      <c r="AQ292" s="419"/>
      <c r="AR292" s="419"/>
      <c r="AS292" s="419"/>
      <c r="AT292" s="419"/>
      <c r="AU292" s="419"/>
      <c r="AV292" s="419"/>
      <c r="AW292" s="419"/>
      <c r="AX292" s="419"/>
      <c r="AY292" s="419"/>
      <c r="AZ292" s="419"/>
      <c r="BA292" s="419"/>
      <c r="BB292" s="419"/>
      <c r="BC292" s="419"/>
      <c r="BD292" s="454"/>
      <c r="BE292" s="454"/>
      <c r="BF292" s="454"/>
      <c r="BG292" s="419"/>
      <c r="BH292" s="419"/>
      <c r="BI292" s="419"/>
      <c r="BJ292" s="437"/>
      <c r="BK292" s="437"/>
      <c r="BL292" s="437"/>
      <c r="BM292" s="437"/>
      <c r="BN292" s="437"/>
      <c r="BO292" s="437"/>
      <c r="BP292" s="403">
        <f>+Z292+AC292+AF292+AI292+AL292+AO292+AR292+AU292+AX292+BA292+BD292+BG292+BJ292</f>
        <v>329008863.94999999</v>
      </c>
      <c r="BQ292" s="403">
        <f t="shared" ref="BQ292:BR292" si="108">+AA292+AD292+AG292+AJ292+AM292+AP292+AS292+AV292+AY292+BB292+BE292+BH292+BK292</f>
        <v>41687051.560000002</v>
      </c>
      <c r="BR292" s="403">
        <f t="shared" si="108"/>
        <v>15000000</v>
      </c>
      <c r="BS292" s="359" t="s">
        <v>1667</v>
      </c>
      <c r="BT292" s="5"/>
    </row>
    <row r="293" spans="1:72" s="33" customFormat="1" ht="132" customHeight="1" x14ac:dyDescent="0.2">
      <c r="A293" s="327">
        <v>320</v>
      </c>
      <c r="B293" s="443" t="s">
        <v>1638</v>
      </c>
      <c r="C293" s="327">
        <v>3</v>
      </c>
      <c r="D293" s="434" t="s">
        <v>1639</v>
      </c>
      <c r="E293" s="327">
        <v>24</v>
      </c>
      <c r="F293" s="327" t="s">
        <v>187</v>
      </c>
      <c r="G293" s="323">
        <v>2402</v>
      </c>
      <c r="H293" s="434" t="s">
        <v>188</v>
      </c>
      <c r="I293" s="323">
        <v>2402</v>
      </c>
      <c r="J293" s="434" t="s">
        <v>1598</v>
      </c>
      <c r="K293" s="434" t="s">
        <v>1312</v>
      </c>
      <c r="L293" s="103" t="s">
        <v>41</v>
      </c>
      <c r="M293" s="326" t="s">
        <v>196</v>
      </c>
      <c r="N293" s="435">
        <v>2402041</v>
      </c>
      <c r="O293" s="326" t="s">
        <v>197</v>
      </c>
      <c r="P293" s="103" t="s">
        <v>41</v>
      </c>
      <c r="Q293" s="326" t="s">
        <v>198</v>
      </c>
      <c r="R293" s="435">
        <v>240204100</v>
      </c>
      <c r="S293" s="326" t="s">
        <v>199</v>
      </c>
      <c r="T293" s="349" t="s">
        <v>1689</v>
      </c>
      <c r="U293" s="445">
        <v>130</v>
      </c>
      <c r="V293" s="445">
        <v>38.9</v>
      </c>
      <c r="W293" s="456" t="s">
        <v>1313</v>
      </c>
      <c r="X293" s="501" t="s">
        <v>1314</v>
      </c>
      <c r="Y293" s="326" t="s">
        <v>1315</v>
      </c>
      <c r="Z293" s="419"/>
      <c r="AA293" s="419"/>
      <c r="AB293" s="419"/>
      <c r="AC293" s="419"/>
      <c r="AD293" s="419"/>
      <c r="AE293" s="419"/>
      <c r="AF293" s="454"/>
      <c r="AG293" s="454"/>
      <c r="AH293" s="454"/>
      <c r="AI293" s="419"/>
      <c r="AJ293" s="419"/>
      <c r="AK293" s="419"/>
      <c r="AL293" s="419"/>
      <c r="AM293" s="419"/>
      <c r="AN293" s="419"/>
      <c r="AO293" s="419"/>
      <c r="AP293" s="419"/>
      <c r="AQ293" s="419"/>
      <c r="AR293" s="419"/>
      <c r="AS293" s="419"/>
      <c r="AT293" s="419"/>
      <c r="AU293" s="419"/>
      <c r="AV293" s="419"/>
      <c r="AW293" s="419"/>
      <c r="AX293" s="419"/>
      <c r="AY293" s="419"/>
      <c r="AZ293" s="419"/>
      <c r="BA293" s="419"/>
      <c r="BB293" s="419"/>
      <c r="BC293" s="419"/>
      <c r="BD293" s="454"/>
      <c r="BE293" s="454"/>
      <c r="BF293" s="454"/>
      <c r="BG293" s="446">
        <f>199461691.2+149435040</f>
        <v>348896731.19999999</v>
      </c>
      <c r="BH293" s="446">
        <v>118726877.62840003</v>
      </c>
      <c r="BI293" s="446">
        <v>99450239.376000002</v>
      </c>
      <c r="BJ293" s="419"/>
      <c r="BK293" s="419"/>
      <c r="BL293" s="419"/>
      <c r="BM293" s="419"/>
      <c r="BN293" s="419"/>
      <c r="BO293" s="419"/>
      <c r="BP293" s="403">
        <f>+Z293+AC293+AF293+AI293+AL293+AO293+AR293+AU293+AX293+BA293+BD293+BG293+BJ293</f>
        <v>348896731.19999999</v>
      </c>
      <c r="BQ293" s="403">
        <f t="shared" ref="BQ293:BR293" si="109">+AA293+AD293+AG293+AJ293+AM293+AP293+AS293+AV293+AY293+BB293+BE293+BH293+BK293</f>
        <v>118726877.62840003</v>
      </c>
      <c r="BR293" s="403">
        <f t="shared" si="109"/>
        <v>99450239.376000002</v>
      </c>
      <c r="BS293" s="359" t="s">
        <v>1667</v>
      </c>
      <c r="BT293" s="5"/>
    </row>
    <row r="294" spans="1:72" ht="105" customHeight="1" x14ac:dyDescent="0.2">
      <c r="A294" s="327">
        <v>320</v>
      </c>
      <c r="B294" s="443" t="s">
        <v>1638</v>
      </c>
      <c r="C294" s="327">
        <v>3</v>
      </c>
      <c r="D294" s="434" t="s">
        <v>1639</v>
      </c>
      <c r="E294" s="323">
        <v>40</v>
      </c>
      <c r="F294" s="326" t="s">
        <v>221</v>
      </c>
      <c r="G294" s="400">
        <v>4001</v>
      </c>
      <c r="H294" s="326" t="s">
        <v>222</v>
      </c>
      <c r="I294" s="400">
        <v>4001</v>
      </c>
      <c r="J294" s="326" t="s">
        <v>1611</v>
      </c>
      <c r="K294" s="326" t="s">
        <v>223</v>
      </c>
      <c r="L294" s="400">
        <v>4001001</v>
      </c>
      <c r="M294" s="326" t="s">
        <v>1316</v>
      </c>
      <c r="N294" s="400">
        <v>4001001</v>
      </c>
      <c r="O294" s="326" t="s">
        <v>1316</v>
      </c>
      <c r="P294" s="422" t="s">
        <v>1317</v>
      </c>
      <c r="Q294" s="443" t="s">
        <v>1318</v>
      </c>
      <c r="R294" s="422" t="s">
        <v>1317</v>
      </c>
      <c r="S294" s="443" t="s">
        <v>1318</v>
      </c>
      <c r="T294" s="349" t="s">
        <v>1691</v>
      </c>
      <c r="U294" s="103">
        <v>3</v>
      </c>
      <c r="V294" s="103">
        <v>0</v>
      </c>
      <c r="W294" s="439" t="s">
        <v>1319</v>
      </c>
      <c r="X294" s="501" t="s">
        <v>1320</v>
      </c>
      <c r="Y294" s="326" t="s">
        <v>1321</v>
      </c>
      <c r="Z294" s="444">
        <v>0</v>
      </c>
      <c r="AA294" s="444"/>
      <c r="AB294" s="444"/>
      <c r="AC294" s="419"/>
      <c r="AD294" s="419"/>
      <c r="AE294" s="419"/>
      <c r="AF294" s="419"/>
      <c r="AG294" s="419"/>
      <c r="AH294" s="419"/>
      <c r="AI294" s="419"/>
      <c r="AJ294" s="419"/>
      <c r="AK294" s="419"/>
      <c r="AL294" s="419"/>
      <c r="AM294" s="419"/>
      <c r="AN294" s="419"/>
      <c r="AO294" s="419"/>
      <c r="AP294" s="419"/>
      <c r="AQ294" s="419"/>
      <c r="AR294" s="419"/>
      <c r="AS294" s="419"/>
      <c r="AT294" s="419"/>
      <c r="AU294" s="419"/>
      <c r="AV294" s="419"/>
      <c r="AW294" s="419"/>
      <c r="AX294" s="419"/>
      <c r="AY294" s="419"/>
      <c r="AZ294" s="419"/>
      <c r="BA294" s="419"/>
      <c r="BB294" s="419"/>
      <c r="BC294" s="419"/>
      <c r="BD294" s="454"/>
      <c r="BE294" s="454"/>
      <c r="BF294" s="454"/>
      <c r="BG294" s="419">
        <f>9973084.56-9973084.56</f>
        <v>0</v>
      </c>
      <c r="BH294" s="419"/>
      <c r="BI294" s="419"/>
      <c r="BJ294" s="437"/>
      <c r="BK294" s="437"/>
      <c r="BL294" s="437"/>
      <c r="BM294" s="437"/>
      <c r="BN294" s="437"/>
      <c r="BO294" s="437"/>
      <c r="BP294" s="403">
        <f t="shared" ref="BP294:BP300" si="110">+Z294+AC294+AF294+AI294+AL294+AO294+AR294+AU294+AX294+BA294+BD294+BG294+BJ294</f>
        <v>0</v>
      </c>
      <c r="BQ294" s="403">
        <f t="shared" ref="BQ294:BQ300" si="111">+AA294+AD294+AG294+AJ294+AM294+AP294+AS294+AV294+AY294+BB294+BE294+BH294+BK294</f>
        <v>0</v>
      </c>
      <c r="BR294" s="403">
        <f t="shared" ref="BR294:BR300" si="112">+AB294+AE294+AH294+AK294+AN294+AQ294+AT294+AW294+AZ294+BC294+BF294+BI294+BL294</f>
        <v>0</v>
      </c>
      <c r="BS294" s="359" t="s">
        <v>1667</v>
      </c>
      <c r="BT294" s="5"/>
    </row>
    <row r="295" spans="1:72" ht="90" customHeight="1" x14ac:dyDescent="0.2">
      <c r="A295" s="327">
        <v>320</v>
      </c>
      <c r="B295" s="443" t="s">
        <v>1638</v>
      </c>
      <c r="C295" s="327">
        <v>3</v>
      </c>
      <c r="D295" s="434" t="s">
        <v>1639</v>
      </c>
      <c r="E295" s="323">
        <v>40</v>
      </c>
      <c r="F295" s="326" t="s">
        <v>221</v>
      </c>
      <c r="G295" s="400">
        <v>4001</v>
      </c>
      <c r="H295" s="326" t="s">
        <v>222</v>
      </c>
      <c r="I295" s="400">
        <v>4001</v>
      </c>
      <c r="J295" s="326" t="s">
        <v>1611</v>
      </c>
      <c r="K295" s="326" t="s">
        <v>1322</v>
      </c>
      <c r="L295" s="400">
        <v>4001017</v>
      </c>
      <c r="M295" s="326" t="s">
        <v>1323</v>
      </c>
      <c r="N295" s="400">
        <v>4001017</v>
      </c>
      <c r="O295" s="326" t="s">
        <v>1323</v>
      </c>
      <c r="P295" s="422" t="s">
        <v>1324</v>
      </c>
      <c r="Q295" s="443" t="s">
        <v>1325</v>
      </c>
      <c r="R295" s="422" t="s">
        <v>1324</v>
      </c>
      <c r="S295" s="443" t="s">
        <v>1325</v>
      </c>
      <c r="T295" s="349" t="s">
        <v>1691</v>
      </c>
      <c r="U295" s="103">
        <v>25</v>
      </c>
      <c r="V295" s="103">
        <v>16</v>
      </c>
      <c r="W295" s="439" t="s">
        <v>1319</v>
      </c>
      <c r="X295" s="501" t="s">
        <v>1320</v>
      </c>
      <c r="Y295" s="326" t="s">
        <v>1321</v>
      </c>
      <c r="Z295" s="444">
        <f>51383737.16+62209722.85+22290833.34</f>
        <v>135884293.34999999</v>
      </c>
      <c r="AA295" s="444">
        <v>128544130.70145001</v>
      </c>
      <c r="AB295" s="444">
        <v>6767500</v>
      </c>
      <c r="AC295" s="419"/>
      <c r="AD295" s="419"/>
      <c r="AE295" s="419"/>
      <c r="AF295" s="419"/>
      <c r="AG295" s="419"/>
      <c r="AH295" s="419"/>
      <c r="AI295" s="419"/>
      <c r="AJ295" s="419"/>
      <c r="AK295" s="419"/>
      <c r="AL295" s="419"/>
      <c r="AM295" s="419"/>
      <c r="AN295" s="419"/>
      <c r="AO295" s="419"/>
      <c r="AP295" s="419"/>
      <c r="AQ295" s="419"/>
      <c r="AR295" s="419"/>
      <c r="AS295" s="419"/>
      <c r="AT295" s="419"/>
      <c r="AU295" s="419"/>
      <c r="AV295" s="419"/>
      <c r="AW295" s="419"/>
      <c r="AX295" s="419"/>
      <c r="AY295" s="419"/>
      <c r="AZ295" s="419"/>
      <c r="BA295" s="419"/>
      <c r="BB295" s="419"/>
      <c r="BC295" s="419"/>
      <c r="BD295" s="454"/>
      <c r="BE295" s="454"/>
      <c r="BF295" s="454"/>
      <c r="BG295" s="419">
        <f>29919253.68+27767253.39+12918750+7031749.71</f>
        <v>77637006.779999986</v>
      </c>
      <c r="BH295" s="419">
        <v>74800909.753800005</v>
      </c>
      <c r="BI295" s="419">
        <v>21625000</v>
      </c>
      <c r="BJ295" s="437"/>
      <c r="BK295" s="437"/>
      <c r="BL295" s="437"/>
      <c r="BM295" s="437"/>
      <c r="BN295" s="437"/>
      <c r="BO295" s="437"/>
      <c r="BP295" s="403">
        <f t="shared" si="110"/>
        <v>213521300.13</v>
      </c>
      <c r="BQ295" s="403">
        <f t="shared" si="111"/>
        <v>203345040.45525002</v>
      </c>
      <c r="BR295" s="403">
        <f t="shared" si="112"/>
        <v>28392500</v>
      </c>
      <c r="BS295" s="359" t="s">
        <v>1667</v>
      </c>
      <c r="BT295" s="5"/>
    </row>
    <row r="296" spans="1:72" ht="96" customHeight="1" x14ac:dyDescent="0.2">
      <c r="A296" s="327">
        <v>320</v>
      </c>
      <c r="B296" s="443" t="s">
        <v>1638</v>
      </c>
      <c r="C296" s="327">
        <v>3</v>
      </c>
      <c r="D296" s="434" t="s">
        <v>1639</v>
      </c>
      <c r="E296" s="323">
        <v>40</v>
      </c>
      <c r="F296" s="326" t="s">
        <v>221</v>
      </c>
      <c r="G296" s="400">
        <v>4001</v>
      </c>
      <c r="H296" s="326" t="s">
        <v>222</v>
      </c>
      <c r="I296" s="400">
        <v>4001</v>
      </c>
      <c r="J296" s="326" t="s">
        <v>1611</v>
      </c>
      <c r="K296" s="326" t="s">
        <v>223</v>
      </c>
      <c r="L296" s="400">
        <v>4001018</v>
      </c>
      <c r="M296" s="326" t="s">
        <v>1326</v>
      </c>
      <c r="N296" s="400">
        <v>4001018</v>
      </c>
      <c r="O296" s="326" t="s">
        <v>1326</v>
      </c>
      <c r="P296" s="422" t="s">
        <v>1327</v>
      </c>
      <c r="Q296" s="443" t="s">
        <v>1328</v>
      </c>
      <c r="R296" s="422" t="s">
        <v>1327</v>
      </c>
      <c r="S296" s="443" t="s">
        <v>1328</v>
      </c>
      <c r="T296" s="349" t="s">
        <v>1691</v>
      </c>
      <c r="U296" s="103">
        <v>75</v>
      </c>
      <c r="V296" s="103">
        <v>0</v>
      </c>
      <c r="W296" s="439" t="s">
        <v>1319</v>
      </c>
      <c r="X296" s="501" t="s">
        <v>1320</v>
      </c>
      <c r="Y296" s="326" t="s">
        <v>1321</v>
      </c>
      <c r="Z296" s="444">
        <f>143874464.02-70555072.61</f>
        <v>73319391.410000011</v>
      </c>
      <c r="AA296" s="444"/>
      <c r="AB296" s="444"/>
      <c r="AC296" s="419"/>
      <c r="AD296" s="419"/>
      <c r="AE296" s="419"/>
      <c r="AF296" s="419"/>
      <c r="AG296" s="419"/>
      <c r="AH296" s="419"/>
      <c r="AI296" s="419"/>
      <c r="AJ296" s="419"/>
      <c r="AK296" s="419"/>
      <c r="AL296" s="419"/>
      <c r="AM296" s="419"/>
      <c r="AN296" s="419"/>
      <c r="AO296" s="419"/>
      <c r="AP296" s="419"/>
      <c r="AQ296" s="419"/>
      <c r="AR296" s="419"/>
      <c r="AS296" s="419"/>
      <c r="AT296" s="419"/>
      <c r="AU296" s="419"/>
      <c r="AV296" s="419"/>
      <c r="AW296" s="419"/>
      <c r="AX296" s="419"/>
      <c r="AY296" s="419"/>
      <c r="AZ296" s="419"/>
      <c r="BA296" s="419"/>
      <c r="BB296" s="419"/>
      <c r="BC296" s="419"/>
      <c r="BD296" s="454"/>
      <c r="BE296" s="454"/>
      <c r="BF296" s="454"/>
      <c r="BG296" s="419">
        <f>59838507.38-8822723.33-49193298.55</f>
        <v>1822485.5000000075</v>
      </c>
      <c r="BH296" s="419"/>
      <c r="BI296" s="419"/>
      <c r="BJ296" s="437"/>
      <c r="BK296" s="437"/>
      <c r="BL296" s="437"/>
      <c r="BM296" s="437"/>
      <c r="BN296" s="437"/>
      <c r="BO296" s="437"/>
      <c r="BP296" s="403">
        <f t="shared" si="110"/>
        <v>75141876.910000026</v>
      </c>
      <c r="BQ296" s="403">
        <f t="shared" si="111"/>
        <v>0</v>
      </c>
      <c r="BR296" s="403">
        <f t="shared" si="112"/>
        <v>0</v>
      </c>
      <c r="BS296" s="359" t="s">
        <v>1667</v>
      </c>
      <c r="BT296" s="5"/>
    </row>
    <row r="297" spans="1:72" ht="97.5" customHeight="1" x14ac:dyDescent="0.2">
      <c r="A297" s="327">
        <v>320</v>
      </c>
      <c r="B297" s="443" t="s">
        <v>1638</v>
      </c>
      <c r="C297" s="327">
        <v>3</v>
      </c>
      <c r="D297" s="434" t="s">
        <v>1639</v>
      </c>
      <c r="E297" s="323">
        <v>40</v>
      </c>
      <c r="F297" s="326" t="s">
        <v>221</v>
      </c>
      <c r="G297" s="400">
        <v>4001</v>
      </c>
      <c r="H297" s="326" t="s">
        <v>222</v>
      </c>
      <c r="I297" s="400">
        <v>4001</v>
      </c>
      <c r="J297" s="326" t="s">
        <v>1611</v>
      </c>
      <c r="K297" s="326" t="s">
        <v>223</v>
      </c>
      <c r="L297" s="400">
        <v>4001030</v>
      </c>
      <c r="M297" s="326" t="s">
        <v>1329</v>
      </c>
      <c r="N297" s="400">
        <v>4001030</v>
      </c>
      <c r="O297" s="326" t="s">
        <v>1329</v>
      </c>
      <c r="P297" s="422" t="s">
        <v>1330</v>
      </c>
      <c r="Q297" s="443" t="s">
        <v>247</v>
      </c>
      <c r="R297" s="422" t="s">
        <v>1330</v>
      </c>
      <c r="S297" s="443" t="s">
        <v>247</v>
      </c>
      <c r="T297" s="349" t="s">
        <v>1691</v>
      </c>
      <c r="U297" s="103">
        <v>3</v>
      </c>
      <c r="V297" s="103">
        <v>3</v>
      </c>
      <c r="W297" s="439" t="s">
        <v>1319</v>
      </c>
      <c r="X297" s="501" t="s">
        <v>1320</v>
      </c>
      <c r="Y297" s="326" t="s">
        <v>1321</v>
      </c>
      <c r="Z297" s="444">
        <v>0</v>
      </c>
      <c r="AA297" s="444"/>
      <c r="AB297" s="444"/>
      <c r="AC297" s="419"/>
      <c r="AD297" s="419"/>
      <c r="AE297" s="419"/>
      <c r="AF297" s="419"/>
      <c r="AG297" s="419"/>
      <c r="AH297" s="419"/>
      <c r="AI297" s="419"/>
      <c r="AJ297" s="419"/>
      <c r="AK297" s="419"/>
      <c r="AL297" s="419"/>
      <c r="AM297" s="419"/>
      <c r="AN297" s="419"/>
      <c r="AO297" s="419"/>
      <c r="AP297" s="419"/>
      <c r="AQ297" s="419"/>
      <c r="AR297" s="419"/>
      <c r="AS297" s="419"/>
      <c r="AT297" s="419"/>
      <c r="AU297" s="419"/>
      <c r="AV297" s="419"/>
      <c r="AW297" s="419"/>
      <c r="AX297" s="419"/>
      <c r="AY297" s="419"/>
      <c r="AZ297" s="419"/>
      <c r="BA297" s="419"/>
      <c r="BB297" s="419"/>
      <c r="BC297" s="419"/>
      <c r="BD297" s="446"/>
      <c r="BE297" s="446"/>
      <c r="BF297" s="446"/>
      <c r="BG297" s="419">
        <v>9973084.5600000005</v>
      </c>
      <c r="BH297" s="419">
        <v>9973084.5600000005</v>
      </c>
      <c r="BI297" s="419">
        <v>9743845</v>
      </c>
      <c r="BJ297" s="437"/>
      <c r="BK297" s="437"/>
      <c r="BL297" s="437"/>
      <c r="BM297" s="437"/>
      <c r="BN297" s="437"/>
      <c r="BO297" s="437"/>
      <c r="BP297" s="403">
        <f t="shared" si="110"/>
        <v>9973084.5600000005</v>
      </c>
      <c r="BQ297" s="403">
        <f t="shared" si="111"/>
        <v>9973084.5600000005</v>
      </c>
      <c r="BR297" s="403">
        <f t="shared" si="112"/>
        <v>9743845</v>
      </c>
      <c r="BS297" s="359" t="s">
        <v>1667</v>
      </c>
      <c r="BT297" s="5"/>
    </row>
    <row r="298" spans="1:72" ht="97.5" customHeight="1" x14ac:dyDescent="0.2">
      <c r="A298" s="327">
        <v>320</v>
      </c>
      <c r="B298" s="443" t="s">
        <v>1638</v>
      </c>
      <c r="C298" s="327">
        <v>3</v>
      </c>
      <c r="D298" s="434" t="s">
        <v>1639</v>
      </c>
      <c r="E298" s="323">
        <v>40</v>
      </c>
      <c r="F298" s="326" t="s">
        <v>221</v>
      </c>
      <c r="G298" s="400">
        <v>4001</v>
      </c>
      <c r="H298" s="326" t="s">
        <v>222</v>
      </c>
      <c r="I298" s="400">
        <v>4001</v>
      </c>
      <c r="J298" s="326" t="s">
        <v>1611</v>
      </c>
      <c r="K298" s="326" t="s">
        <v>223</v>
      </c>
      <c r="L298" s="400">
        <v>4001031</v>
      </c>
      <c r="M298" s="326" t="s">
        <v>1331</v>
      </c>
      <c r="N298" s="400">
        <v>4001031</v>
      </c>
      <c r="O298" s="326" t="s">
        <v>1331</v>
      </c>
      <c r="P298" s="422">
        <v>400103103</v>
      </c>
      <c r="Q298" s="326" t="s">
        <v>1332</v>
      </c>
      <c r="R298" s="422">
        <v>400103103</v>
      </c>
      <c r="S298" s="326" t="s">
        <v>1332</v>
      </c>
      <c r="T298" s="349" t="s">
        <v>1691</v>
      </c>
      <c r="U298" s="103">
        <v>8</v>
      </c>
      <c r="V298" s="103">
        <v>7</v>
      </c>
      <c r="W298" s="439" t="s">
        <v>1319</v>
      </c>
      <c r="X298" s="501" t="s">
        <v>1320</v>
      </c>
      <c r="Y298" s="326" t="s">
        <v>1321</v>
      </c>
      <c r="Z298" s="444">
        <v>99360196.459999993</v>
      </c>
      <c r="AA298" s="444">
        <v>26557946.460000001</v>
      </c>
      <c r="AB298" s="444">
        <v>0</v>
      </c>
      <c r="AC298" s="419"/>
      <c r="AD298" s="419"/>
      <c r="AE298" s="419"/>
      <c r="AF298" s="419"/>
      <c r="AG298" s="419"/>
      <c r="AH298" s="419"/>
      <c r="AI298" s="419"/>
      <c r="AJ298" s="419"/>
      <c r="AK298" s="419"/>
      <c r="AL298" s="419"/>
      <c r="AM298" s="419"/>
      <c r="AN298" s="419"/>
      <c r="AO298" s="419"/>
      <c r="AP298" s="419"/>
      <c r="AQ298" s="419"/>
      <c r="AR298" s="419"/>
      <c r="AS298" s="419"/>
      <c r="AT298" s="419"/>
      <c r="AU298" s="419"/>
      <c r="AV298" s="419"/>
      <c r="AW298" s="419"/>
      <c r="AX298" s="419"/>
      <c r="AY298" s="419"/>
      <c r="AZ298" s="419"/>
      <c r="BA298" s="419"/>
      <c r="BB298" s="419"/>
      <c r="BC298" s="419"/>
      <c r="BD298" s="446"/>
      <c r="BE298" s="446"/>
      <c r="BF298" s="446"/>
      <c r="BG298" s="419">
        <f>598385073.6+110029114.38</f>
        <v>708414187.98000002</v>
      </c>
      <c r="BH298" s="419">
        <v>456779395.40240002</v>
      </c>
      <c r="BI298" s="419">
        <v>324384231.47000003</v>
      </c>
      <c r="BJ298" s="437"/>
      <c r="BK298" s="437"/>
      <c r="BL298" s="437"/>
      <c r="BM298" s="437"/>
      <c r="BN298" s="437"/>
      <c r="BO298" s="437"/>
      <c r="BP298" s="403">
        <f t="shared" si="110"/>
        <v>807774384.44000006</v>
      </c>
      <c r="BQ298" s="403">
        <f t="shared" si="111"/>
        <v>483337341.8624</v>
      </c>
      <c r="BR298" s="403">
        <f t="shared" si="112"/>
        <v>324384231.47000003</v>
      </c>
      <c r="BS298" s="359" t="s">
        <v>1667</v>
      </c>
      <c r="BT298" s="5"/>
    </row>
    <row r="299" spans="1:72" ht="97.5" customHeight="1" x14ac:dyDescent="0.2">
      <c r="A299" s="327">
        <v>320</v>
      </c>
      <c r="B299" s="443" t="s">
        <v>1638</v>
      </c>
      <c r="C299" s="327">
        <v>3</v>
      </c>
      <c r="D299" s="434" t="s">
        <v>1639</v>
      </c>
      <c r="E299" s="323">
        <v>40</v>
      </c>
      <c r="F299" s="326" t="s">
        <v>221</v>
      </c>
      <c r="G299" s="400">
        <v>4001</v>
      </c>
      <c r="H299" s="326" t="s">
        <v>222</v>
      </c>
      <c r="I299" s="400">
        <v>4001</v>
      </c>
      <c r="J299" s="326" t="s">
        <v>1611</v>
      </c>
      <c r="K299" s="326" t="s">
        <v>1322</v>
      </c>
      <c r="L299" s="400" t="s">
        <v>1333</v>
      </c>
      <c r="M299" s="326" t="s">
        <v>1334</v>
      </c>
      <c r="N299" s="400" t="s">
        <v>1333</v>
      </c>
      <c r="O299" s="326" t="s">
        <v>1334</v>
      </c>
      <c r="P299" s="422" t="s">
        <v>1335</v>
      </c>
      <c r="Q299" s="443" t="s">
        <v>1334</v>
      </c>
      <c r="R299" s="422" t="s">
        <v>1335</v>
      </c>
      <c r="S299" s="443" t="s">
        <v>1334</v>
      </c>
      <c r="T299" s="349" t="s">
        <v>1691</v>
      </c>
      <c r="U299" s="103">
        <v>35</v>
      </c>
      <c r="V299" s="103">
        <v>0</v>
      </c>
      <c r="W299" s="439" t="s">
        <v>1319</v>
      </c>
      <c r="X299" s="501" t="s">
        <v>1320</v>
      </c>
      <c r="Y299" s="326" t="s">
        <v>1321</v>
      </c>
      <c r="Z299" s="444">
        <f>71937232.01-57179838.22-14757393.79</f>
        <v>0</v>
      </c>
      <c r="AA299" s="444"/>
      <c r="AB299" s="444"/>
      <c r="AC299" s="419"/>
      <c r="AD299" s="419"/>
      <c r="AE299" s="419"/>
      <c r="AF299" s="419"/>
      <c r="AG299" s="419"/>
      <c r="AH299" s="419"/>
      <c r="AI299" s="419"/>
      <c r="AJ299" s="419"/>
      <c r="AK299" s="419"/>
      <c r="AL299" s="419"/>
      <c r="AM299" s="419"/>
      <c r="AN299" s="419"/>
      <c r="AO299" s="419"/>
      <c r="AP299" s="419"/>
      <c r="AQ299" s="419"/>
      <c r="AR299" s="419"/>
      <c r="AS299" s="419"/>
      <c r="AT299" s="419"/>
      <c r="AU299" s="419"/>
      <c r="AV299" s="419"/>
      <c r="AW299" s="419"/>
      <c r="AX299" s="419"/>
      <c r="AY299" s="419"/>
      <c r="AZ299" s="419"/>
      <c r="BA299" s="419"/>
      <c r="BB299" s="419"/>
      <c r="BC299" s="419"/>
      <c r="BD299" s="446"/>
      <c r="BE299" s="446"/>
      <c r="BF299" s="446"/>
      <c r="BG299" s="419">
        <f>29919253.68-27767253.39-2152000.29</f>
        <v>0</v>
      </c>
      <c r="BH299" s="419"/>
      <c r="BI299" s="419"/>
      <c r="BJ299" s="437"/>
      <c r="BK299" s="437"/>
      <c r="BL299" s="437"/>
      <c r="BM299" s="437"/>
      <c r="BN299" s="437"/>
      <c r="BO299" s="437"/>
      <c r="BP299" s="403">
        <f t="shared" si="110"/>
        <v>0</v>
      </c>
      <c r="BQ299" s="403">
        <f t="shared" si="111"/>
        <v>0</v>
      </c>
      <c r="BR299" s="403">
        <f t="shared" si="112"/>
        <v>0</v>
      </c>
      <c r="BS299" s="359" t="s">
        <v>1667</v>
      </c>
      <c r="BT299" s="5"/>
    </row>
    <row r="300" spans="1:72" ht="97.5" customHeight="1" x14ac:dyDescent="0.2">
      <c r="A300" s="327">
        <v>320</v>
      </c>
      <c r="B300" s="443" t="s">
        <v>1638</v>
      </c>
      <c r="C300" s="327">
        <v>3</v>
      </c>
      <c r="D300" s="434" t="s">
        <v>1639</v>
      </c>
      <c r="E300" s="323">
        <v>40</v>
      </c>
      <c r="F300" s="326" t="s">
        <v>221</v>
      </c>
      <c r="G300" s="400">
        <v>4001</v>
      </c>
      <c r="H300" s="326" t="s">
        <v>222</v>
      </c>
      <c r="I300" s="400">
        <v>4001</v>
      </c>
      <c r="J300" s="326" t="s">
        <v>1611</v>
      </c>
      <c r="K300" s="326" t="s">
        <v>223</v>
      </c>
      <c r="L300" s="400" t="s">
        <v>1336</v>
      </c>
      <c r="M300" s="326" t="s">
        <v>226</v>
      </c>
      <c r="N300" s="400" t="s">
        <v>1336</v>
      </c>
      <c r="O300" s="326" t="s">
        <v>226</v>
      </c>
      <c r="P300" s="422">
        <v>400101500</v>
      </c>
      <c r="Q300" s="443" t="s">
        <v>226</v>
      </c>
      <c r="R300" s="422">
        <v>400101500</v>
      </c>
      <c r="S300" s="443" t="s">
        <v>226</v>
      </c>
      <c r="T300" s="349" t="s">
        <v>1691</v>
      </c>
      <c r="U300" s="323">
        <v>50</v>
      </c>
      <c r="V300" s="323">
        <v>0</v>
      </c>
      <c r="W300" s="439" t="s">
        <v>1319</v>
      </c>
      <c r="X300" s="501" t="s">
        <v>1320</v>
      </c>
      <c r="Y300" s="326" t="s">
        <v>1321</v>
      </c>
      <c r="Z300" s="444">
        <f>143874464.02-5029884.63-36338563.4</f>
        <v>102506015.99000001</v>
      </c>
      <c r="AA300" s="444"/>
      <c r="AB300" s="444"/>
      <c r="AC300" s="419"/>
      <c r="AD300" s="419"/>
      <c r="AE300" s="419"/>
      <c r="AF300" s="419"/>
      <c r="AG300" s="419"/>
      <c r="AH300" s="419"/>
      <c r="AI300" s="419"/>
      <c r="AJ300" s="419"/>
      <c r="AK300" s="419"/>
      <c r="AL300" s="419"/>
      <c r="AM300" s="419"/>
      <c r="AN300" s="419"/>
      <c r="AO300" s="419"/>
      <c r="AP300" s="419"/>
      <c r="AQ300" s="419"/>
      <c r="AR300" s="419"/>
      <c r="AS300" s="419"/>
      <c r="AT300" s="419"/>
      <c r="AU300" s="419"/>
      <c r="AV300" s="419"/>
      <c r="AW300" s="419"/>
      <c r="AX300" s="419"/>
      <c r="AY300" s="419"/>
      <c r="AZ300" s="419"/>
      <c r="BA300" s="419"/>
      <c r="BB300" s="419"/>
      <c r="BC300" s="419"/>
      <c r="BD300" s="446"/>
      <c r="BE300" s="446"/>
      <c r="BF300" s="446"/>
      <c r="BG300" s="419">
        <f>59838507.36-11127776.38-48710730.98</f>
        <v>0</v>
      </c>
      <c r="BH300" s="419"/>
      <c r="BI300" s="419"/>
      <c r="BJ300" s="437"/>
      <c r="BK300" s="437"/>
      <c r="BL300" s="437"/>
      <c r="BM300" s="437"/>
      <c r="BN300" s="437"/>
      <c r="BO300" s="437"/>
      <c r="BP300" s="403">
        <f t="shared" si="110"/>
        <v>102506015.99000001</v>
      </c>
      <c r="BQ300" s="403">
        <f t="shared" si="111"/>
        <v>0</v>
      </c>
      <c r="BR300" s="403">
        <f t="shared" si="112"/>
        <v>0</v>
      </c>
      <c r="BS300" s="359" t="s">
        <v>1667</v>
      </c>
      <c r="BT300" s="5"/>
    </row>
    <row r="301" spans="1:72" s="33" customFormat="1" ht="132.75" customHeight="1" x14ac:dyDescent="0.2">
      <c r="A301" s="327">
        <v>321</v>
      </c>
      <c r="B301" s="443" t="s">
        <v>1640</v>
      </c>
      <c r="C301" s="327">
        <v>3</v>
      </c>
      <c r="D301" s="434" t="s">
        <v>1639</v>
      </c>
      <c r="E301" s="323">
        <v>24</v>
      </c>
      <c r="F301" s="442" t="s">
        <v>187</v>
      </c>
      <c r="G301" s="327">
        <v>2409</v>
      </c>
      <c r="H301" s="443" t="s">
        <v>1338</v>
      </c>
      <c r="I301" s="327">
        <v>2409</v>
      </c>
      <c r="J301" s="443" t="s">
        <v>1599</v>
      </c>
      <c r="K301" s="443" t="s">
        <v>1339</v>
      </c>
      <c r="L301" s="103" t="s">
        <v>41</v>
      </c>
      <c r="M301" s="326" t="s">
        <v>1340</v>
      </c>
      <c r="N301" s="323">
        <v>2409009</v>
      </c>
      <c r="O301" s="326" t="s">
        <v>1341</v>
      </c>
      <c r="P301" s="103" t="s">
        <v>41</v>
      </c>
      <c r="Q301" s="443" t="s">
        <v>1342</v>
      </c>
      <c r="R301" s="323">
        <v>240900900</v>
      </c>
      <c r="S301" s="443" t="s">
        <v>1343</v>
      </c>
      <c r="T301" s="349" t="s">
        <v>1689</v>
      </c>
      <c r="U301" s="103">
        <v>1</v>
      </c>
      <c r="V301" s="103">
        <v>0.32</v>
      </c>
      <c r="W301" s="439" t="s">
        <v>1344</v>
      </c>
      <c r="X301" s="501" t="s">
        <v>1345</v>
      </c>
      <c r="Y301" s="326" t="s">
        <v>1346</v>
      </c>
      <c r="Z301" s="419"/>
      <c r="AA301" s="419"/>
      <c r="AB301" s="419"/>
      <c r="AC301" s="419"/>
      <c r="AD301" s="419"/>
      <c r="AE301" s="419"/>
      <c r="AF301" s="419"/>
      <c r="AG301" s="419"/>
      <c r="AH301" s="419"/>
      <c r="AI301" s="419"/>
      <c r="AJ301" s="419"/>
      <c r="AK301" s="419"/>
      <c r="AL301" s="419"/>
      <c r="AM301" s="419"/>
      <c r="AN301" s="419"/>
      <c r="AO301" s="419"/>
      <c r="AP301" s="419"/>
      <c r="AQ301" s="419"/>
      <c r="AR301" s="419"/>
      <c r="AS301" s="419"/>
      <c r="AT301" s="419"/>
      <c r="AU301" s="419"/>
      <c r="AV301" s="419"/>
      <c r="AW301" s="419"/>
      <c r="AX301" s="419"/>
      <c r="AY301" s="419"/>
      <c r="AZ301" s="419"/>
      <c r="BA301" s="419"/>
      <c r="BB301" s="419"/>
      <c r="BC301" s="419"/>
      <c r="BD301" s="454"/>
      <c r="BE301" s="454"/>
      <c r="BF301" s="454"/>
      <c r="BG301" s="454">
        <v>27192000</v>
      </c>
      <c r="BH301" s="454">
        <v>25197000</v>
      </c>
      <c r="BI301" s="454">
        <v>19890000</v>
      </c>
      <c r="BJ301" s="419"/>
      <c r="BK301" s="419"/>
      <c r="BL301" s="419"/>
      <c r="BM301" s="419"/>
      <c r="BN301" s="419"/>
      <c r="BO301" s="419"/>
      <c r="BP301" s="403">
        <f t="shared" ref="BP301:BR304" si="113">+Z301+AC301+AF301+AI301+AL301+AO301+AR301+AU301+AX301+BA301+BD301+BG301+BJ301</f>
        <v>27192000</v>
      </c>
      <c r="BQ301" s="403">
        <f t="shared" si="113"/>
        <v>25197000</v>
      </c>
      <c r="BR301" s="403">
        <f t="shared" si="113"/>
        <v>19890000</v>
      </c>
      <c r="BS301" s="359" t="s">
        <v>1693</v>
      </c>
      <c r="BT301" s="5"/>
    </row>
    <row r="302" spans="1:72" s="33" customFormat="1" ht="109.5" customHeight="1" x14ac:dyDescent="0.2">
      <c r="A302" s="327">
        <v>321</v>
      </c>
      <c r="B302" s="443" t="s">
        <v>1640</v>
      </c>
      <c r="C302" s="327">
        <v>3</v>
      </c>
      <c r="D302" s="434" t="s">
        <v>1639</v>
      </c>
      <c r="E302" s="323">
        <v>24</v>
      </c>
      <c r="F302" s="442" t="s">
        <v>187</v>
      </c>
      <c r="G302" s="327">
        <v>2409</v>
      </c>
      <c r="H302" s="443" t="s">
        <v>1338</v>
      </c>
      <c r="I302" s="327">
        <v>2409</v>
      </c>
      <c r="J302" s="443" t="s">
        <v>1599</v>
      </c>
      <c r="K302" s="443" t="s">
        <v>1339</v>
      </c>
      <c r="L302" s="103" t="s">
        <v>41</v>
      </c>
      <c r="M302" s="326" t="s">
        <v>1347</v>
      </c>
      <c r="N302" s="323">
        <v>2409022</v>
      </c>
      <c r="O302" s="326" t="s">
        <v>1348</v>
      </c>
      <c r="P302" s="103" t="s">
        <v>41</v>
      </c>
      <c r="Q302" s="443" t="s">
        <v>1349</v>
      </c>
      <c r="R302" s="323">
        <v>240902202</v>
      </c>
      <c r="S302" s="443" t="s">
        <v>1493</v>
      </c>
      <c r="T302" s="349" t="s">
        <v>1689</v>
      </c>
      <c r="U302" s="103">
        <v>1</v>
      </c>
      <c r="V302" s="103">
        <v>0.5</v>
      </c>
      <c r="W302" s="439" t="s">
        <v>1344</v>
      </c>
      <c r="X302" s="501" t="s">
        <v>1345</v>
      </c>
      <c r="Y302" s="326" t="s">
        <v>1346</v>
      </c>
      <c r="Z302" s="419"/>
      <c r="AA302" s="419"/>
      <c r="AB302" s="419"/>
      <c r="AC302" s="419"/>
      <c r="AD302" s="419"/>
      <c r="AE302" s="419"/>
      <c r="AF302" s="419"/>
      <c r="AG302" s="419"/>
      <c r="AH302" s="419"/>
      <c r="AI302" s="419"/>
      <c r="AJ302" s="419"/>
      <c r="AK302" s="419"/>
      <c r="AL302" s="419"/>
      <c r="AM302" s="419"/>
      <c r="AN302" s="419"/>
      <c r="AO302" s="419"/>
      <c r="AP302" s="419"/>
      <c r="AQ302" s="419"/>
      <c r="AR302" s="419"/>
      <c r="AS302" s="419"/>
      <c r="AT302" s="419"/>
      <c r="AU302" s="419"/>
      <c r="AV302" s="419"/>
      <c r="AW302" s="419"/>
      <c r="AX302" s="419"/>
      <c r="AY302" s="419"/>
      <c r="AZ302" s="419"/>
      <c r="BA302" s="419"/>
      <c r="BB302" s="419"/>
      <c r="BC302" s="419"/>
      <c r="BD302" s="454"/>
      <c r="BE302" s="454"/>
      <c r="BF302" s="454"/>
      <c r="BG302" s="454">
        <v>8652000</v>
      </c>
      <c r="BH302" s="454">
        <v>8652000</v>
      </c>
      <c r="BI302" s="454">
        <v>3500000</v>
      </c>
      <c r="BJ302" s="419"/>
      <c r="BK302" s="419"/>
      <c r="BL302" s="419"/>
      <c r="BM302" s="419"/>
      <c r="BN302" s="419"/>
      <c r="BO302" s="419"/>
      <c r="BP302" s="403">
        <f t="shared" si="113"/>
        <v>8652000</v>
      </c>
      <c r="BQ302" s="403">
        <f t="shared" si="113"/>
        <v>8652000</v>
      </c>
      <c r="BR302" s="403">
        <f t="shared" si="113"/>
        <v>3500000</v>
      </c>
      <c r="BS302" s="359" t="s">
        <v>1693</v>
      </c>
      <c r="BT302" s="5"/>
    </row>
    <row r="303" spans="1:72" s="33" customFormat="1" ht="108.75" customHeight="1" x14ac:dyDescent="0.2">
      <c r="A303" s="327">
        <v>321</v>
      </c>
      <c r="B303" s="443" t="s">
        <v>1640</v>
      </c>
      <c r="C303" s="327">
        <v>3</v>
      </c>
      <c r="D303" s="434" t="s">
        <v>1639</v>
      </c>
      <c r="E303" s="323">
        <v>24</v>
      </c>
      <c r="F303" s="442" t="s">
        <v>187</v>
      </c>
      <c r="G303" s="327">
        <v>2409</v>
      </c>
      <c r="H303" s="443" t="s">
        <v>1338</v>
      </c>
      <c r="I303" s="327">
        <v>2409</v>
      </c>
      <c r="J303" s="443" t="s">
        <v>1599</v>
      </c>
      <c r="K303" s="443" t="s">
        <v>1339</v>
      </c>
      <c r="L303" s="103" t="s">
        <v>41</v>
      </c>
      <c r="M303" s="326" t="s">
        <v>1494</v>
      </c>
      <c r="N303" s="323">
        <v>2409014</v>
      </c>
      <c r="O303" s="326" t="s">
        <v>233</v>
      </c>
      <c r="P303" s="103" t="s">
        <v>41</v>
      </c>
      <c r="Q303" s="443" t="s">
        <v>1350</v>
      </c>
      <c r="R303" s="323">
        <v>240901400</v>
      </c>
      <c r="S303" s="443" t="s">
        <v>974</v>
      </c>
      <c r="T303" s="349" t="s">
        <v>1689</v>
      </c>
      <c r="U303" s="103">
        <v>1</v>
      </c>
      <c r="V303" s="103">
        <v>0.86</v>
      </c>
      <c r="W303" s="439" t="s">
        <v>1344</v>
      </c>
      <c r="X303" s="501" t="s">
        <v>1345</v>
      </c>
      <c r="Y303" s="326" t="s">
        <v>1346</v>
      </c>
      <c r="Z303" s="419"/>
      <c r="AA303" s="419"/>
      <c r="AB303" s="419"/>
      <c r="AC303" s="419"/>
      <c r="AD303" s="419"/>
      <c r="AE303" s="419"/>
      <c r="AF303" s="419"/>
      <c r="AG303" s="419"/>
      <c r="AH303" s="419"/>
      <c r="AI303" s="419"/>
      <c r="AJ303" s="419"/>
      <c r="AK303" s="419"/>
      <c r="AL303" s="419"/>
      <c r="AM303" s="419"/>
      <c r="AN303" s="419"/>
      <c r="AO303" s="419"/>
      <c r="AP303" s="419"/>
      <c r="AQ303" s="419"/>
      <c r="AR303" s="419"/>
      <c r="AS303" s="419"/>
      <c r="AT303" s="419"/>
      <c r="AU303" s="419"/>
      <c r="AV303" s="419"/>
      <c r="AW303" s="419"/>
      <c r="AX303" s="419"/>
      <c r="AY303" s="419"/>
      <c r="AZ303" s="419"/>
      <c r="BA303" s="419"/>
      <c r="BB303" s="419"/>
      <c r="BC303" s="419"/>
      <c r="BD303" s="454"/>
      <c r="BE303" s="454"/>
      <c r="BF303" s="454"/>
      <c r="BG303" s="454">
        <v>25956000</v>
      </c>
      <c r="BH303" s="454">
        <v>25956000</v>
      </c>
      <c r="BI303" s="454">
        <v>21000000</v>
      </c>
      <c r="BJ303" s="419"/>
      <c r="BK303" s="419"/>
      <c r="BL303" s="419"/>
      <c r="BM303" s="419"/>
      <c r="BN303" s="419"/>
      <c r="BO303" s="419"/>
      <c r="BP303" s="403">
        <f t="shared" si="113"/>
        <v>25956000</v>
      </c>
      <c r="BQ303" s="403">
        <f t="shared" si="113"/>
        <v>25956000</v>
      </c>
      <c r="BR303" s="403">
        <f t="shared" si="113"/>
        <v>21000000</v>
      </c>
      <c r="BS303" s="359" t="s">
        <v>1693</v>
      </c>
      <c r="BT303" s="5"/>
    </row>
    <row r="304" spans="1:72" s="33" customFormat="1" ht="132" customHeight="1" x14ac:dyDescent="0.2">
      <c r="A304" s="327">
        <v>321</v>
      </c>
      <c r="B304" s="443" t="s">
        <v>1640</v>
      </c>
      <c r="C304" s="327">
        <v>3</v>
      </c>
      <c r="D304" s="434" t="s">
        <v>1639</v>
      </c>
      <c r="E304" s="323">
        <v>24</v>
      </c>
      <c r="F304" s="442" t="s">
        <v>187</v>
      </c>
      <c r="G304" s="327">
        <v>2409</v>
      </c>
      <c r="H304" s="443" t="s">
        <v>1338</v>
      </c>
      <c r="I304" s="327">
        <v>2409</v>
      </c>
      <c r="J304" s="443" t="s">
        <v>1599</v>
      </c>
      <c r="K304" s="443" t="s">
        <v>1339</v>
      </c>
      <c r="L304" s="103" t="s">
        <v>41</v>
      </c>
      <c r="M304" s="326" t="s">
        <v>1351</v>
      </c>
      <c r="N304" s="323">
        <v>2409039</v>
      </c>
      <c r="O304" s="326" t="s">
        <v>1352</v>
      </c>
      <c r="P304" s="103" t="s">
        <v>41</v>
      </c>
      <c r="Q304" s="443" t="s">
        <v>1353</v>
      </c>
      <c r="R304" s="323">
        <v>240903905</v>
      </c>
      <c r="S304" s="443" t="s">
        <v>1354</v>
      </c>
      <c r="T304" s="349" t="s">
        <v>1689</v>
      </c>
      <c r="U304" s="103">
        <v>1</v>
      </c>
      <c r="V304" s="103">
        <v>0.71</v>
      </c>
      <c r="W304" s="439" t="s">
        <v>1344</v>
      </c>
      <c r="X304" s="501" t="s">
        <v>1345</v>
      </c>
      <c r="Y304" s="326" t="s">
        <v>1346</v>
      </c>
      <c r="Z304" s="419"/>
      <c r="AA304" s="419"/>
      <c r="AB304" s="419"/>
      <c r="AC304" s="419"/>
      <c r="AD304" s="419"/>
      <c r="AE304" s="419"/>
      <c r="AF304" s="419"/>
      <c r="AG304" s="419"/>
      <c r="AH304" s="419"/>
      <c r="AI304" s="419"/>
      <c r="AJ304" s="419"/>
      <c r="AK304" s="419"/>
      <c r="AL304" s="419"/>
      <c r="AM304" s="419"/>
      <c r="AN304" s="419"/>
      <c r="AO304" s="419"/>
      <c r="AP304" s="419"/>
      <c r="AQ304" s="419"/>
      <c r="AR304" s="419"/>
      <c r="AS304" s="419"/>
      <c r="AT304" s="419"/>
      <c r="AU304" s="419"/>
      <c r="AV304" s="419"/>
      <c r="AW304" s="419"/>
      <c r="AX304" s="419"/>
      <c r="AY304" s="419"/>
      <c r="AZ304" s="419"/>
      <c r="BA304" s="419"/>
      <c r="BB304" s="419"/>
      <c r="BC304" s="419"/>
      <c r="BD304" s="454"/>
      <c r="BE304" s="454"/>
      <c r="BF304" s="454"/>
      <c r="BG304" s="454">
        <v>48410000</v>
      </c>
      <c r="BH304" s="454">
        <v>27640000</v>
      </c>
      <c r="BI304" s="454">
        <v>24310000</v>
      </c>
      <c r="BJ304" s="419"/>
      <c r="BK304" s="419"/>
      <c r="BL304" s="419"/>
      <c r="BM304" s="419"/>
      <c r="BN304" s="419"/>
      <c r="BO304" s="419"/>
      <c r="BP304" s="403">
        <f t="shared" si="113"/>
        <v>48410000</v>
      </c>
      <c r="BQ304" s="403">
        <f t="shared" si="113"/>
        <v>27640000</v>
      </c>
      <c r="BR304" s="403">
        <f t="shared" si="113"/>
        <v>24310000</v>
      </c>
      <c r="BS304" s="359" t="s">
        <v>1693</v>
      </c>
      <c r="BT304" s="5"/>
    </row>
    <row r="305" spans="1:110" s="155" customFormat="1" ht="33" customHeight="1" x14ac:dyDescent="0.25">
      <c r="A305" s="404" t="s">
        <v>1463</v>
      </c>
      <c r="B305" s="405"/>
      <c r="C305" s="406"/>
      <c r="D305" s="406"/>
      <c r="E305" s="406"/>
      <c r="F305" s="406"/>
      <c r="G305" s="407"/>
      <c r="H305" s="408"/>
      <c r="I305" s="408"/>
      <c r="J305" s="408"/>
      <c r="K305" s="409"/>
      <c r="L305" s="409"/>
      <c r="M305" s="409"/>
      <c r="N305" s="407"/>
      <c r="O305" s="409"/>
      <c r="P305" s="409"/>
      <c r="Q305" s="410"/>
      <c r="R305" s="411"/>
      <c r="S305" s="410"/>
      <c r="T305" s="408"/>
      <c r="U305" s="412"/>
      <c r="V305" s="411"/>
      <c r="W305" s="413"/>
      <c r="X305" s="414"/>
      <c r="Y305" s="414"/>
      <c r="Z305" s="415">
        <f>SUM(Z8:Z284)</f>
        <v>12724444384.490002</v>
      </c>
      <c r="AA305" s="415">
        <f t="shared" ref="AA305:BR305" si="114">SUM(AA8:AA284)</f>
        <v>5671052095.0200005</v>
      </c>
      <c r="AB305" s="415">
        <f t="shared" si="114"/>
        <v>4277451317.1300001</v>
      </c>
      <c r="AC305" s="415">
        <f t="shared" si="114"/>
        <v>4387879528.3299999</v>
      </c>
      <c r="AD305" s="415">
        <f t="shared" si="114"/>
        <v>961397333.33000004</v>
      </c>
      <c r="AE305" s="415">
        <f t="shared" si="114"/>
        <v>220105998.36000001</v>
      </c>
      <c r="AF305" s="415">
        <f t="shared" si="114"/>
        <v>56108067</v>
      </c>
      <c r="AG305" s="415">
        <f t="shared" si="114"/>
        <v>56108067</v>
      </c>
      <c r="AH305" s="415">
        <f t="shared" si="114"/>
        <v>37529205.509999998</v>
      </c>
      <c r="AI305" s="415">
        <f t="shared" si="114"/>
        <v>2375738582.6599998</v>
      </c>
      <c r="AJ305" s="415">
        <f t="shared" si="114"/>
        <v>1843264119.7800002</v>
      </c>
      <c r="AK305" s="415">
        <f t="shared" si="114"/>
        <v>1627208172.78</v>
      </c>
      <c r="AL305" s="415">
        <f t="shared" si="114"/>
        <v>7620632943.1700001</v>
      </c>
      <c r="AM305" s="415">
        <f t="shared" si="114"/>
        <v>4981325317.1999998</v>
      </c>
      <c r="AN305" s="415">
        <f t="shared" si="114"/>
        <v>2594636672.1999998</v>
      </c>
      <c r="AO305" s="415">
        <f t="shared" si="114"/>
        <v>39669979027.420006</v>
      </c>
      <c r="AP305" s="415">
        <f t="shared" si="114"/>
        <v>34616729464.719994</v>
      </c>
      <c r="AQ305" s="415">
        <f t="shared" si="114"/>
        <v>28985131233.699997</v>
      </c>
      <c r="AR305" s="415">
        <f t="shared" si="114"/>
        <v>143534499577.42001</v>
      </c>
      <c r="AS305" s="415">
        <f t="shared" si="114"/>
        <v>89164838437.649994</v>
      </c>
      <c r="AT305" s="415">
        <f t="shared" si="114"/>
        <v>88528825714.149994</v>
      </c>
      <c r="AU305" s="415">
        <f t="shared" si="114"/>
        <v>25145000000</v>
      </c>
      <c r="AV305" s="415">
        <f t="shared" si="114"/>
        <v>20447335584</v>
      </c>
      <c r="AW305" s="415">
        <f t="shared" si="114"/>
        <v>20447335584</v>
      </c>
      <c r="AX305" s="415">
        <f t="shared" si="114"/>
        <v>12550155937.449999</v>
      </c>
      <c r="AY305" s="415">
        <f t="shared" si="114"/>
        <v>9774109250</v>
      </c>
      <c r="AZ305" s="415">
        <f t="shared" si="114"/>
        <v>9243011464</v>
      </c>
      <c r="BA305" s="415">
        <f t="shared" si="114"/>
        <v>2895159641.6800003</v>
      </c>
      <c r="BB305" s="415">
        <f t="shared" si="114"/>
        <v>2876730086</v>
      </c>
      <c r="BC305" s="415">
        <f t="shared" si="114"/>
        <v>2162951384</v>
      </c>
      <c r="BD305" s="415">
        <f t="shared" si="114"/>
        <v>36050190198.189995</v>
      </c>
      <c r="BE305" s="415">
        <f t="shared" si="114"/>
        <v>24208407712.349998</v>
      </c>
      <c r="BF305" s="415">
        <f t="shared" si="114"/>
        <v>16715566765.9</v>
      </c>
      <c r="BG305" s="415">
        <f t="shared" si="114"/>
        <v>1146429972.01</v>
      </c>
      <c r="BH305" s="415">
        <f t="shared" si="114"/>
        <v>325901665</v>
      </c>
      <c r="BI305" s="415">
        <f t="shared" si="114"/>
        <v>275718900</v>
      </c>
      <c r="BJ305" s="415">
        <f t="shared" si="114"/>
        <v>12062500253.900002</v>
      </c>
      <c r="BK305" s="415">
        <f t="shared" si="114"/>
        <v>4066738039.5499997</v>
      </c>
      <c r="BL305" s="415">
        <f t="shared" si="114"/>
        <v>3060867649.6399994</v>
      </c>
      <c r="BM305" s="415">
        <f t="shared" si="114"/>
        <v>655606585.65999997</v>
      </c>
      <c r="BN305" s="415">
        <f t="shared" si="114"/>
        <v>550000000</v>
      </c>
      <c r="BO305" s="415">
        <f t="shared" si="114"/>
        <v>550000000</v>
      </c>
      <c r="BP305" s="415">
        <f t="shared" si="114"/>
        <v>300874324699.38007</v>
      </c>
      <c r="BQ305" s="415">
        <f t="shared" si="114"/>
        <v>199543937171.60001</v>
      </c>
      <c r="BR305" s="415">
        <f t="shared" si="114"/>
        <v>178726340061.37003</v>
      </c>
      <c r="BS305" s="416"/>
      <c r="BT305" s="5"/>
      <c r="BU305" s="5"/>
      <c r="BV305" s="5"/>
      <c r="BW305" s="5"/>
      <c r="BX305" s="5"/>
      <c r="BY305" s="5"/>
      <c r="BZ305" s="5"/>
      <c r="CA305" s="5"/>
      <c r="CB305" s="5"/>
      <c r="CC305" s="5"/>
      <c r="CD305" s="5"/>
      <c r="CE305" s="5"/>
      <c r="CF305" s="5"/>
      <c r="CG305" s="5"/>
      <c r="CH305" s="5"/>
      <c r="CI305" s="5"/>
      <c r="CJ305" s="5"/>
      <c r="CK305" s="5"/>
      <c r="CL305" s="5"/>
      <c r="CM305" s="5"/>
      <c r="CN305" s="5"/>
      <c r="CO305" s="5"/>
      <c r="CP305" s="5"/>
      <c r="CQ305" s="5"/>
      <c r="CR305" s="5"/>
      <c r="CS305" s="5"/>
      <c r="CT305" s="5"/>
      <c r="CU305" s="5"/>
      <c r="CV305" s="5"/>
      <c r="CW305" s="5"/>
      <c r="CX305" s="5"/>
      <c r="CY305" s="5"/>
      <c r="CZ305" s="5"/>
      <c r="DA305" s="5"/>
      <c r="DB305" s="5"/>
      <c r="DC305" s="5"/>
      <c r="DD305" s="5"/>
      <c r="DE305" s="5"/>
      <c r="DF305" s="5"/>
    </row>
    <row r="306" spans="1:110" s="158" customFormat="1" ht="33" customHeight="1" x14ac:dyDescent="0.25">
      <c r="A306" s="350" t="s">
        <v>1355</v>
      </c>
      <c r="B306" s="351"/>
      <c r="C306" s="188"/>
      <c r="D306" s="188"/>
      <c r="E306" s="188"/>
      <c r="F306" s="188"/>
      <c r="G306" s="189"/>
      <c r="H306" s="190"/>
      <c r="I306" s="190"/>
      <c r="J306" s="190"/>
      <c r="K306" s="191"/>
      <c r="L306" s="191"/>
      <c r="M306" s="191"/>
      <c r="N306" s="189"/>
      <c r="O306" s="191"/>
      <c r="P306" s="191"/>
      <c r="Q306" s="192"/>
      <c r="R306" s="194"/>
      <c r="S306" s="192"/>
      <c r="T306" s="190"/>
      <c r="U306" s="193"/>
      <c r="V306" s="194"/>
      <c r="W306" s="187"/>
      <c r="X306" s="76"/>
      <c r="Y306" s="76"/>
      <c r="Z306" s="156">
        <f>SUM(Z285:Z304)</f>
        <v>7699997644.0599995</v>
      </c>
      <c r="AA306" s="156">
        <f t="shared" ref="AA306:BR306" si="115">SUM(AA285:AA304)</f>
        <v>280414216.00744987</v>
      </c>
      <c r="AB306" s="156">
        <f t="shared" si="115"/>
        <v>28342499.899999999</v>
      </c>
      <c r="AC306" s="156">
        <f t="shared" si="115"/>
        <v>0</v>
      </c>
      <c r="AD306" s="156">
        <f t="shared" si="115"/>
        <v>0</v>
      </c>
      <c r="AE306" s="156">
        <f t="shared" si="115"/>
        <v>0</v>
      </c>
      <c r="AF306" s="156">
        <f t="shared" si="115"/>
        <v>0</v>
      </c>
      <c r="AG306" s="156">
        <f t="shared" si="115"/>
        <v>0</v>
      </c>
      <c r="AH306" s="156">
        <f t="shared" si="115"/>
        <v>0</v>
      </c>
      <c r="AI306" s="156">
        <f t="shared" si="115"/>
        <v>0</v>
      </c>
      <c r="AJ306" s="156">
        <f t="shared" si="115"/>
        <v>0</v>
      </c>
      <c r="AK306" s="156">
        <f t="shared" si="115"/>
        <v>0</v>
      </c>
      <c r="AL306" s="156">
        <f t="shared" si="115"/>
        <v>0</v>
      </c>
      <c r="AM306" s="156">
        <f t="shared" si="115"/>
        <v>0</v>
      </c>
      <c r="AN306" s="156">
        <f t="shared" si="115"/>
        <v>0</v>
      </c>
      <c r="AO306" s="156">
        <f t="shared" si="115"/>
        <v>0</v>
      </c>
      <c r="AP306" s="156">
        <f t="shared" si="115"/>
        <v>0</v>
      </c>
      <c r="AQ306" s="156">
        <f t="shared" si="115"/>
        <v>0</v>
      </c>
      <c r="AR306" s="156">
        <f t="shared" si="115"/>
        <v>0</v>
      </c>
      <c r="AS306" s="156">
        <f t="shared" si="115"/>
        <v>0</v>
      </c>
      <c r="AT306" s="156">
        <f t="shared" si="115"/>
        <v>0</v>
      </c>
      <c r="AU306" s="156">
        <f t="shared" si="115"/>
        <v>0</v>
      </c>
      <c r="AV306" s="156">
        <f t="shared" si="115"/>
        <v>0</v>
      </c>
      <c r="AW306" s="156">
        <f t="shared" si="115"/>
        <v>0</v>
      </c>
      <c r="AX306" s="156">
        <f t="shared" si="115"/>
        <v>0</v>
      </c>
      <c r="AY306" s="156">
        <f t="shared" si="115"/>
        <v>0</v>
      </c>
      <c r="AZ306" s="156">
        <f t="shared" si="115"/>
        <v>0</v>
      </c>
      <c r="BA306" s="156">
        <f t="shared" si="115"/>
        <v>0</v>
      </c>
      <c r="BB306" s="156">
        <f t="shared" si="115"/>
        <v>0</v>
      </c>
      <c r="BC306" s="156">
        <f t="shared" si="115"/>
        <v>0</v>
      </c>
      <c r="BD306" s="156">
        <f t="shared" si="115"/>
        <v>1047130260.64</v>
      </c>
      <c r="BE306" s="156">
        <f t="shared" si="115"/>
        <v>304547846.81999999</v>
      </c>
      <c r="BF306" s="156">
        <f t="shared" si="115"/>
        <v>203553445</v>
      </c>
      <c r="BG306" s="156">
        <f t="shared" si="115"/>
        <v>5663266581.4099998</v>
      </c>
      <c r="BH306" s="156">
        <f t="shared" si="115"/>
        <v>3831811192.3845997</v>
      </c>
      <c r="BI306" s="156">
        <f t="shared" si="115"/>
        <v>2868686246.7059994</v>
      </c>
      <c r="BJ306" s="156">
        <f t="shared" si="115"/>
        <v>1000000000</v>
      </c>
      <c r="BK306" s="156">
        <f t="shared" si="115"/>
        <v>417652434</v>
      </c>
      <c r="BL306" s="156">
        <f t="shared" si="115"/>
        <v>191886769</v>
      </c>
      <c r="BM306" s="156">
        <f t="shared" si="115"/>
        <v>0</v>
      </c>
      <c r="BN306" s="156">
        <f t="shared" si="115"/>
        <v>0</v>
      </c>
      <c r="BO306" s="156">
        <f t="shared" si="115"/>
        <v>0</v>
      </c>
      <c r="BP306" s="156">
        <f t="shared" si="115"/>
        <v>15410394486.109999</v>
      </c>
      <c r="BQ306" s="156">
        <f t="shared" si="115"/>
        <v>4834425689.2120485</v>
      </c>
      <c r="BR306" s="156">
        <f t="shared" si="115"/>
        <v>3292468960.6059999</v>
      </c>
      <c r="BS306" s="157"/>
      <c r="BT306" s="5"/>
      <c r="BU306" s="16"/>
      <c r="BV306" s="16"/>
      <c r="BW306" s="16"/>
      <c r="BX306" s="16"/>
      <c r="BY306" s="16"/>
      <c r="BZ306" s="16"/>
      <c r="CA306" s="16"/>
      <c r="CB306" s="16"/>
      <c r="CC306" s="16"/>
      <c r="CD306" s="16"/>
      <c r="CE306" s="16"/>
      <c r="CF306" s="16"/>
      <c r="CG306" s="16"/>
      <c r="CH306" s="16"/>
      <c r="CI306" s="16"/>
      <c r="CJ306" s="16"/>
      <c r="CK306" s="16"/>
      <c r="CL306" s="16"/>
      <c r="CM306" s="16"/>
      <c r="CN306" s="16"/>
      <c r="CO306" s="16"/>
      <c r="CP306" s="16"/>
      <c r="CQ306" s="16"/>
      <c r="CR306" s="16"/>
      <c r="CS306" s="16"/>
      <c r="CT306" s="16"/>
      <c r="CU306" s="16"/>
      <c r="CV306" s="16"/>
      <c r="CW306" s="16"/>
      <c r="CX306" s="16"/>
      <c r="CY306" s="16"/>
      <c r="CZ306" s="16"/>
      <c r="DA306" s="16"/>
      <c r="DB306" s="16"/>
      <c r="DC306" s="16"/>
      <c r="DD306" s="16"/>
      <c r="DE306" s="16"/>
      <c r="DF306" s="16"/>
    </row>
    <row r="307" spans="1:110" ht="33" customHeight="1" x14ac:dyDescent="0.2">
      <c r="A307" s="70" t="s">
        <v>1695</v>
      </c>
      <c r="B307" s="180"/>
      <c r="C307" s="399"/>
      <c r="D307" s="399"/>
      <c r="E307" s="399"/>
      <c r="F307" s="399"/>
      <c r="G307" s="181"/>
      <c r="H307" s="182"/>
      <c r="I307" s="182"/>
      <c r="J307" s="182"/>
      <c r="K307" s="183"/>
      <c r="L307" s="183"/>
      <c r="M307" s="183"/>
      <c r="N307" s="181"/>
      <c r="O307" s="183"/>
      <c r="P307" s="183"/>
      <c r="Q307" s="184"/>
      <c r="R307" s="186"/>
      <c r="S307" s="184"/>
      <c r="T307" s="182"/>
      <c r="U307" s="185"/>
      <c r="V307" s="186"/>
      <c r="W307" s="152"/>
      <c r="X307" s="71"/>
      <c r="Y307" s="71"/>
      <c r="Z307" s="153">
        <f>Z305+Z306</f>
        <v>20424442028.550003</v>
      </c>
      <c r="AA307" s="153">
        <f t="shared" ref="AA307:BR307" si="116">AA305+AA306</f>
        <v>5951466311.0274506</v>
      </c>
      <c r="AB307" s="153">
        <f t="shared" si="116"/>
        <v>4305793817.0299997</v>
      </c>
      <c r="AC307" s="153">
        <f t="shared" si="116"/>
        <v>4387879528.3299999</v>
      </c>
      <c r="AD307" s="153">
        <f t="shared" si="116"/>
        <v>961397333.33000004</v>
      </c>
      <c r="AE307" s="153">
        <f t="shared" si="116"/>
        <v>220105998.36000001</v>
      </c>
      <c r="AF307" s="153">
        <f t="shared" si="116"/>
        <v>56108067</v>
      </c>
      <c r="AG307" s="153">
        <f t="shared" si="116"/>
        <v>56108067</v>
      </c>
      <c r="AH307" s="153">
        <f t="shared" si="116"/>
        <v>37529205.509999998</v>
      </c>
      <c r="AI307" s="153">
        <f t="shared" si="116"/>
        <v>2375738582.6599998</v>
      </c>
      <c r="AJ307" s="153">
        <f t="shared" si="116"/>
        <v>1843264119.7800002</v>
      </c>
      <c r="AK307" s="153">
        <f t="shared" si="116"/>
        <v>1627208172.78</v>
      </c>
      <c r="AL307" s="153">
        <f t="shared" si="116"/>
        <v>7620632943.1700001</v>
      </c>
      <c r="AM307" s="153">
        <f t="shared" si="116"/>
        <v>4981325317.1999998</v>
      </c>
      <c r="AN307" s="153">
        <f t="shared" si="116"/>
        <v>2594636672.1999998</v>
      </c>
      <c r="AO307" s="153">
        <f t="shared" si="116"/>
        <v>39669979027.420006</v>
      </c>
      <c r="AP307" s="153">
        <f t="shared" si="116"/>
        <v>34616729464.719994</v>
      </c>
      <c r="AQ307" s="153">
        <f t="shared" si="116"/>
        <v>28985131233.699997</v>
      </c>
      <c r="AR307" s="153">
        <f t="shared" si="116"/>
        <v>143534499577.42001</v>
      </c>
      <c r="AS307" s="153">
        <f t="shared" si="116"/>
        <v>89164838437.649994</v>
      </c>
      <c r="AT307" s="153">
        <f t="shared" si="116"/>
        <v>88528825714.149994</v>
      </c>
      <c r="AU307" s="153">
        <f t="shared" si="116"/>
        <v>25145000000</v>
      </c>
      <c r="AV307" s="153">
        <f t="shared" si="116"/>
        <v>20447335584</v>
      </c>
      <c r="AW307" s="153">
        <f t="shared" si="116"/>
        <v>20447335584</v>
      </c>
      <c r="AX307" s="153">
        <f t="shared" si="116"/>
        <v>12550155937.449999</v>
      </c>
      <c r="AY307" s="153">
        <f t="shared" si="116"/>
        <v>9774109250</v>
      </c>
      <c r="AZ307" s="153">
        <f t="shared" si="116"/>
        <v>9243011464</v>
      </c>
      <c r="BA307" s="153">
        <f t="shared" si="116"/>
        <v>2895159641.6800003</v>
      </c>
      <c r="BB307" s="153">
        <f t="shared" si="116"/>
        <v>2876730086</v>
      </c>
      <c r="BC307" s="153">
        <f t="shared" si="116"/>
        <v>2162951384</v>
      </c>
      <c r="BD307" s="153">
        <f t="shared" si="116"/>
        <v>37097320458.829994</v>
      </c>
      <c r="BE307" s="153">
        <f t="shared" si="116"/>
        <v>24512955559.169998</v>
      </c>
      <c r="BF307" s="153">
        <f t="shared" si="116"/>
        <v>16919120210.9</v>
      </c>
      <c r="BG307" s="153">
        <f t="shared" si="116"/>
        <v>6809696553.4200001</v>
      </c>
      <c r="BH307" s="153">
        <f t="shared" si="116"/>
        <v>4157712857.3845997</v>
      </c>
      <c r="BI307" s="153">
        <f t="shared" si="116"/>
        <v>3144405146.7059994</v>
      </c>
      <c r="BJ307" s="153">
        <f t="shared" si="116"/>
        <v>13062500253.900002</v>
      </c>
      <c r="BK307" s="153">
        <f t="shared" si="116"/>
        <v>4484390473.5499992</v>
      </c>
      <c r="BL307" s="153">
        <f t="shared" si="116"/>
        <v>3252754418.6399994</v>
      </c>
      <c r="BM307" s="153">
        <f t="shared" si="116"/>
        <v>655606585.65999997</v>
      </c>
      <c r="BN307" s="153">
        <f t="shared" si="116"/>
        <v>550000000</v>
      </c>
      <c r="BO307" s="153">
        <f t="shared" si="116"/>
        <v>550000000</v>
      </c>
      <c r="BP307" s="153">
        <f t="shared" si="116"/>
        <v>316284719185.49005</v>
      </c>
      <c r="BQ307" s="153">
        <f t="shared" si="116"/>
        <v>204378362860.81204</v>
      </c>
      <c r="BR307" s="153">
        <f t="shared" si="116"/>
        <v>182018809021.97601</v>
      </c>
      <c r="BS307" s="154"/>
    </row>
    <row r="309" spans="1:110" ht="22.5" customHeight="1" x14ac:dyDescent="0.2">
      <c r="AR309" s="1"/>
      <c r="AS309" s="1"/>
      <c r="AT309" s="1"/>
      <c r="AU309" s="1"/>
      <c r="AV309" s="1"/>
      <c r="AW309" s="1"/>
      <c r="BD309" s="1"/>
      <c r="BE309" s="1"/>
      <c r="BF309" s="1"/>
      <c r="BP309" s="1"/>
      <c r="BQ309" s="1"/>
      <c r="BR309" s="1"/>
    </row>
    <row r="310" spans="1:110" ht="36" customHeight="1" x14ac:dyDescent="0.25">
      <c r="BP310" s="21"/>
      <c r="BQ310" s="21"/>
      <c r="BR310" s="21"/>
    </row>
  </sheetData>
  <sheetProtection algorithmName="SHA-512" hashValue="hDT4NUjSNxTuEx/BQElL5//AhD5KUPeVAWeiSRVQDACyaTtv2NKIT9qnFatL4bnp3U7MJOQ2XJ2ejd1E47/XvQ==" saltValue="r8+R14umnSNUNYoo2133dA==" spinCount="100000" sheet="1" objects="1" scenarios="1"/>
  <mergeCells count="54">
    <mergeCell ref="Y6:Y7"/>
    <mergeCell ref="BJ6:BL6"/>
    <mergeCell ref="BG6:BI6"/>
    <mergeCell ref="BD6:BF6"/>
    <mergeCell ref="BA6:BC6"/>
    <mergeCell ref="AX6:AZ6"/>
    <mergeCell ref="P5:S5"/>
    <mergeCell ref="W5:Y5"/>
    <mergeCell ref="L5:O5"/>
    <mergeCell ref="C5:D5"/>
    <mergeCell ref="E5:F5"/>
    <mergeCell ref="A5:B5"/>
    <mergeCell ref="A6:A7"/>
    <mergeCell ref="B6:B7"/>
    <mergeCell ref="I6:I7"/>
    <mergeCell ref="J6:J7"/>
    <mergeCell ref="C6:C7"/>
    <mergeCell ref="D6:D7"/>
    <mergeCell ref="E6:E7"/>
    <mergeCell ref="F6:F7"/>
    <mergeCell ref="G6:G7"/>
    <mergeCell ref="H6:H7"/>
    <mergeCell ref="BS6:BS7"/>
    <mergeCell ref="G5:K5"/>
    <mergeCell ref="K6:K7"/>
    <mergeCell ref="T5:V5"/>
    <mergeCell ref="T6:T7"/>
    <mergeCell ref="Z5:BO5"/>
    <mergeCell ref="L6:L7"/>
    <mergeCell ref="M6:M7"/>
    <mergeCell ref="N6:N7"/>
    <mergeCell ref="O6:O7"/>
    <mergeCell ref="P6:P7"/>
    <mergeCell ref="Q6:Q7"/>
    <mergeCell ref="R6:R7"/>
    <mergeCell ref="AU6:AW6"/>
    <mergeCell ref="AR6:AT6"/>
    <mergeCell ref="AO6:AQ6"/>
    <mergeCell ref="C1:BQ1"/>
    <mergeCell ref="C3:BQ3"/>
    <mergeCell ref="C2:BQ2"/>
    <mergeCell ref="C4:BQ4"/>
    <mergeCell ref="BP6:BR6"/>
    <mergeCell ref="BM6:BO6"/>
    <mergeCell ref="S6:S7"/>
    <mergeCell ref="U6:U7"/>
    <mergeCell ref="V6:V7"/>
    <mergeCell ref="W6:W7"/>
    <mergeCell ref="Z6:AB6"/>
    <mergeCell ref="AC6:AE6"/>
    <mergeCell ref="AF6:AH6"/>
    <mergeCell ref="AL6:AN6"/>
    <mergeCell ref="AI6:AK6"/>
    <mergeCell ref="X6:X7"/>
  </mergeCells>
  <phoneticPr fontId="9" type="noConversion"/>
  <conditionalFormatting sqref="R200">
    <cfRule type="duplicateValues" dxfId="126" priority="74"/>
  </conditionalFormatting>
  <conditionalFormatting sqref="R208">
    <cfRule type="duplicateValues" dxfId="125" priority="72"/>
  </conditionalFormatting>
  <conditionalFormatting sqref="R208">
    <cfRule type="duplicateValues" dxfId="124" priority="73"/>
  </conditionalFormatting>
  <conditionalFormatting sqref="R215">
    <cfRule type="duplicateValues" dxfId="123" priority="70"/>
  </conditionalFormatting>
  <conditionalFormatting sqref="R215">
    <cfRule type="duplicateValues" dxfId="122" priority="71"/>
  </conditionalFormatting>
  <conditionalFormatting sqref="R72">
    <cfRule type="duplicateValues" dxfId="121" priority="68"/>
  </conditionalFormatting>
  <conditionalFormatting sqref="R89">
    <cfRule type="duplicateValues" dxfId="120" priority="67"/>
  </conditionalFormatting>
  <conditionalFormatting sqref="R90">
    <cfRule type="duplicateValues" dxfId="119" priority="66"/>
  </conditionalFormatting>
  <conditionalFormatting sqref="R190">
    <cfRule type="duplicateValues" dxfId="118" priority="64"/>
  </conditionalFormatting>
  <conditionalFormatting sqref="R190">
    <cfRule type="duplicateValues" dxfId="117" priority="65"/>
  </conditionalFormatting>
  <conditionalFormatting sqref="R92">
    <cfRule type="duplicateValues" dxfId="116" priority="63"/>
  </conditionalFormatting>
  <conditionalFormatting sqref="R93">
    <cfRule type="duplicateValues" dxfId="115" priority="59"/>
  </conditionalFormatting>
  <conditionalFormatting sqref="R93">
    <cfRule type="duplicateValues" dxfId="114" priority="60"/>
  </conditionalFormatting>
  <conditionalFormatting sqref="R93">
    <cfRule type="duplicateValues" dxfId="113" priority="61"/>
  </conditionalFormatting>
  <conditionalFormatting sqref="R97">
    <cfRule type="duplicateValues" dxfId="112" priority="57"/>
  </conditionalFormatting>
  <conditionalFormatting sqref="R97">
    <cfRule type="duplicateValues" dxfId="111" priority="58"/>
  </conditionalFormatting>
  <conditionalFormatting sqref="R98">
    <cfRule type="duplicateValues" dxfId="110" priority="55"/>
  </conditionalFormatting>
  <conditionalFormatting sqref="R98">
    <cfRule type="duplicateValues" dxfId="109" priority="56"/>
  </conditionalFormatting>
  <conditionalFormatting sqref="R99">
    <cfRule type="duplicateValues" dxfId="108" priority="52"/>
  </conditionalFormatting>
  <conditionalFormatting sqref="R99">
    <cfRule type="duplicateValues" dxfId="107" priority="53"/>
  </conditionalFormatting>
  <conditionalFormatting sqref="R104">
    <cfRule type="duplicateValues" dxfId="106" priority="50"/>
  </conditionalFormatting>
  <conditionalFormatting sqref="R104">
    <cfRule type="duplicateValues" dxfId="105" priority="51"/>
  </conditionalFormatting>
  <conditionalFormatting sqref="R105">
    <cfRule type="duplicateValues" dxfId="104" priority="48"/>
  </conditionalFormatting>
  <conditionalFormatting sqref="R105">
    <cfRule type="duplicateValues" dxfId="103" priority="49"/>
  </conditionalFormatting>
  <conditionalFormatting sqref="R106">
    <cfRule type="duplicateValues" dxfId="102" priority="46"/>
  </conditionalFormatting>
  <conditionalFormatting sqref="R106">
    <cfRule type="duplicateValues" dxfId="101" priority="47"/>
  </conditionalFormatting>
  <conditionalFormatting sqref="R107">
    <cfRule type="duplicateValues" dxfId="100" priority="44"/>
  </conditionalFormatting>
  <conditionalFormatting sqref="R107">
    <cfRule type="duplicateValues" dxfId="99" priority="45"/>
  </conditionalFormatting>
  <conditionalFormatting sqref="R216">
    <cfRule type="duplicateValues" dxfId="98" priority="42"/>
  </conditionalFormatting>
  <conditionalFormatting sqref="R216">
    <cfRule type="duplicateValues" dxfId="97" priority="43"/>
  </conditionalFormatting>
  <conditionalFormatting sqref="R91">
    <cfRule type="duplicateValues" dxfId="96" priority="75"/>
  </conditionalFormatting>
  <conditionalFormatting sqref="P72">
    <cfRule type="duplicateValues" dxfId="95" priority="31"/>
  </conditionalFormatting>
  <conditionalFormatting sqref="P89">
    <cfRule type="duplicateValues" dxfId="94" priority="30"/>
  </conditionalFormatting>
  <conditionalFormatting sqref="P90">
    <cfRule type="duplicateValues" dxfId="93" priority="29"/>
  </conditionalFormatting>
  <conditionalFormatting sqref="P91">
    <cfRule type="duplicateValues" dxfId="92" priority="28"/>
  </conditionalFormatting>
  <conditionalFormatting sqref="P92">
    <cfRule type="duplicateValues" dxfId="91" priority="27"/>
  </conditionalFormatting>
  <conditionalFormatting sqref="P93">
    <cfRule type="duplicateValues" dxfId="90" priority="24"/>
  </conditionalFormatting>
  <conditionalFormatting sqref="P93">
    <cfRule type="duplicateValues" dxfId="89" priority="25"/>
  </conditionalFormatting>
  <conditionalFormatting sqref="P93">
    <cfRule type="duplicateValues" dxfId="88" priority="26"/>
  </conditionalFormatting>
  <conditionalFormatting sqref="P97">
    <cfRule type="duplicateValues" dxfId="87" priority="22"/>
  </conditionalFormatting>
  <conditionalFormatting sqref="P97">
    <cfRule type="duplicateValues" dxfId="86" priority="23"/>
  </conditionalFormatting>
  <conditionalFormatting sqref="P98">
    <cfRule type="duplicateValues" dxfId="85" priority="20"/>
  </conditionalFormatting>
  <conditionalFormatting sqref="P98">
    <cfRule type="duplicateValues" dxfId="84" priority="21"/>
  </conditionalFormatting>
  <conditionalFormatting sqref="P99">
    <cfRule type="duplicateValues" dxfId="83" priority="18"/>
  </conditionalFormatting>
  <conditionalFormatting sqref="P99">
    <cfRule type="duplicateValues" dxfId="82" priority="19"/>
  </conditionalFormatting>
  <conditionalFormatting sqref="P104">
    <cfRule type="duplicateValues" dxfId="81" priority="16"/>
  </conditionalFormatting>
  <conditionalFormatting sqref="P104">
    <cfRule type="duplicateValues" dxfId="80" priority="17"/>
  </conditionalFormatting>
  <conditionalFormatting sqref="P105">
    <cfRule type="duplicateValues" dxfId="79" priority="14"/>
  </conditionalFormatting>
  <conditionalFormatting sqref="P105">
    <cfRule type="duplicateValues" dxfId="78" priority="15"/>
  </conditionalFormatting>
  <conditionalFormatting sqref="P106">
    <cfRule type="duplicateValues" dxfId="77" priority="12"/>
  </conditionalFormatting>
  <conditionalFormatting sqref="P106">
    <cfRule type="duplicateValues" dxfId="76" priority="13"/>
  </conditionalFormatting>
  <conditionalFormatting sqref="P107">
    <cfRule type="duplicateValues" dxfId="75" priority="10"/>
  </conditionalFormatting>
  <conditionalFormatting sqref="P107">
    <cfRule type="duplicateValues" dxfId="74" priority="11"/>
  </conditionalFormatting>
  <conditionalFormatting sqref="P190">
    <cfRule type="duplicateValues" dxfId="73" priority="8"/>
  </conditionalFormatting>
  <conditionalFormatting sqref="P190">
    <cfRule type="duplicateValues" dxfId="72" priority="9"/>
  </conditionalFormatting>
  <conditionalFormatting sqref="P200">
    <cfRule type="duplicateValues" dxfId="71" priority="7"/>
  </conditionalFormatting>
  <conditionalFormatting sqref="P208">
    <cfRule type="duplicateValues" dxfId="70" priority="5"/>
  </conditionalFormatting>
  <conditionalFormatting sqref="P208">
    <cfRule type="duplicateValues" dxfId="69" priority="6"/>
  </conditionalFormatting>
  <conditionalFormatting sqref="P215">
    <cfRule type="duplicateValues" dxfId="68" priority="3"/>
  </conditionalFormatting>
  <conditionalFormatting sqref="P215">
    <cfRule type="duplicateValues" dxfId="67" priority="4"/>
  </conditionalFormatting>
  <conditionalFormatting sqref="P216">
    <cfRule type="duplicateValues" dxfId="66" priority="1"/>
  </conditionalFormatting>
  <conditionalFormatting sqref="P216">
    <cfRule type="duplicateValues" dxfId="65" priority="2"/>
  </conditionalFormatting>
  <pageMargins left="0.7" right="0.7" top="0.75" bottom="0.75" header="0.3" footer="0.3"/>
  <pageSetup orientation="portrait" horizontalDpi="360" verticalDpi="360" r:id="rId1"/>
  <ignoredErrors>
    <ignoredError sqref="R34 R29 N29 N42 N43 R71:R73 R74:R75 R76:R79 R80:R81 R84:R86 R87 R88:R98 R99 R100:R101 R102 R103 R104:R105 R107:R108 R109:R110 R119 R120:R122 R123:R125 N197:N199 R198:R199 R43 R83" numberStoredAsText="1"/>
  </ignoredErrors>
  <drawing r:id="rId2"/>
  <legacyDrawing r:id="rId3"/>
  <controls>
    <mc:AlternateContent xmlns:mc="http://schemas.openxmlformats.org/markup-compatibility/2006">
      <mc:Choice Requires="x14">
        <control shapeId="1032" r:id="rId4" name="Control 8">
          <controlPr defaultSize="0" r:id="rId5">
            <anchor moveWithCells="1">
              <from>
                <xdr:col>66</xdr:col>
                <xdr:colOff>523875</xdr:colOff>
                <xdr:row>339</xdr:row>
                <xdr:rowOff>66675</xdr:rowOff>
              </from>
              <to>
                <xdr:col>66</xdr:col>
                <xdr:colOff>790575</xdr:colOff>
                <xdr:row>341</xdr:row>
                <xdr:rowOff>19050</xdr:rowOff>
              </to>
            </anchor>
          </controlPr>
        </control>
      </mc:Choice>
      <mc:Fallback>
        <control shapeId="1032" r:id="rId4" name="Control 8"/>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I188"/>
  <sheetViews>
    <sheetView showGridLines="0" zoomScale="60" zoomScaleNormal="60" workbookViewId="0">
      <selection activeCell="C4" sqref="C4:BQ4"/>
    </sheetView>
  </sheetViews>
  <sheetFormatPr baseColWidth="10" defaultColWidth="11.42578125" defaultRowHeight="15" x14ac:dyDescent="0.2"/>
  <cols>
    <col min="1" max="1" width="14.28515625" style="9" customWidth="1"/>
    <col min="2" max="2" width="13.85546875" style="9" customWidth="1"/>
    <col min="3" max="3" width="18.140625" style="9" customWidth="1"/>
    <col min="4" max="4" width="69.5703125" style="10" customWidth="1"/>
    <col min="5" max="5" width="34.42578125" style="10" customWidth="1"/>
    <col min="6" max="6" width="35" style="10" customWidth="1"/>
    <col min="7" max="7" width="34.28515625" style="10" customWidth="1"/>
    <col min="8" max="9" width="11.42578125" style="2"/>
    <col min="10" max="16384" width="11.42578125" style="1"/>
  </cols>
  <sheetData>
    <row r="1" spans="1:9" ht="26.25" customHeight="1" x14ac:dyDescent="0.2">
      <c r="A1" s="542" t="s">
        <v>1679</v>
      </c>
      <c r="B1" s="542"/>
      <c r="C1" s="542"/>
      <c r="D1" s="542"/>
      <c r="E1" s="542"/>
      <c r="F1" s="542"/>
      <c r="G1" s="543"/>
      <c r="H1" s="291"/>
    </row>
    <row r="2" spans="1:9" ht="26.25" customHeight="1" x14ac:dyDescent="0.2">
      <c r="A2" s="544"/>
      <c r="B2" s="544"/>
      <c r="C2" s="544"/>
      <c r="D2" s="544"/>
      <c r="E2" s="544"/>
      <c r="F2" s="544"/>
      <c r="G2" s="545"/>
      <c r="H2" s="291"/>
    </row>
    <row r="3" spans="1:9" ht="26.25" customHeight="1" x14ac:dyDescent="0.2">
      <c r="A3" s="546"/>
      <c r="B3" s="546"/>
      <c r="C3" s="546"/>
      <c r="D3" s="546"/>
      <c r="E3" s="546"/>
      <c r="F3" s="546"/>
      <c r="G3" s="547"/>
      <c r="H3" s="291"/>
    </row>
    <row r="4" spans="1:9" ht="24.75" customHeight="1" x14ac:dyDescent="0.2">
      <c r="A4" s="23"/>
      <c r="B4" s="24"/>
      <c r="C4" s="24"/>
      <c r="D4" s="24"/>
      <c r="E4" s="24"/>
      <c r="F4" s="24"/>
      <c r="G4" s="24"/>
    </row>
    <row r="5" spans="1:9" s="4" customFormat="1" ht="56.25" customHeight="1" x14ac:dyDescent="0.25">
      <c r="A5" s="161" t="s">
        <v>5</v>
      </c>
      <c r="B5" s="161" t="s">
        <v>6</v>
      </c>
      <c r="C5" s="539" t="s">
        <v>7</v>
      </c>
      <c r="D5" s="540"/>
      <c r="E5" s="541" t="s">
        <v>12</v>
      </c>
      <c r="F5" s="541"/>
      <c r="G5" s="541"/>
      <c r="H5" s="3"/>
      <c r="I5" s="3"/>
    </row>
    <row r="6" spans="1:9" ht="24" customHeight="1" x14ac:dyDescent="0.2">
      <c r="A6" s="100"/>
      <c r="B6" s="100"/>
      <c r="C6" s="100"/>
      <c r="D6" s="101"/>
      <c r="E6" s="32" t="s">
        <v>1649</v>
      </c>
      <c r="F6" s="32" t="s">
        <v>1495</v>
      </c>
      <c r="G6" s="32" t="s">
        <v>1496</v>
      </c>
    </row>
    <row r="7" spans="1:9" s="6" customFormat="1" ht="24" customHeight="1" x14ac:dyDescent="0.25">
      <c r="A7" s="30" t="s">
        <v>69</v>
      </c>
      <c r="B7" s="31"/>
      <c r="C7" s="31"/>
      <c r="D7" s="32"/>
      <c r="E7" s="266">
        <f>E8</f>
        <v>476000000</v>
      </c>
      <c r="F7" s="266">
        <f t="shared" ref="F7:G8" si="0">F8</f>
        <v>161799675</v>
      </c>
      <c r="G7" s="266">
        <f t="shared" si="0"/>
        <v>81107166.329999998</v>
      </c>
      <c r="H7" s="5"/>
      <c r="I7" s="5"/>
    </row>
    <row r="8" spans="1:9" s="6" customFormat="1" ht="24" customHeight="1" x14ac:dyDescent="0.25">
      <c r="A8" s="286">
        <v>4</v>
      </c>
      <c r="B8" s="51" t="s">
        <v>37</v>
      </c>
      <c r="C8" s="51"/>
      <c r="D8" s="51"/>
      <c r="E8" s="151">
        <f>E9</f>
        <v>476000000</v>
      </c>
      <c r="F8" s="151">
        <f t="shared" si="0"/>
        <v>161799675</v>
      </c>
      <c r="G8" s="151">
        <f t="shared" si="0"/>
        <v>81107166.329999998</v>
      </c>
      <c r="H8" s="5"/>
      <c r="I8" s="5"/>
    </row>
    <row r="9" spans="1:9" ht="24" customHeight="1" x14ac:dyDescent="0.2">
      <c r="A9" s="277"/>
      <c r="B9" s="283">
        <v>45</v>
      </c>
      <c r="C9" s="52" t="s">
        <v>38</v>
      </c>
      <c r="D9" s="125"/>
      <c r="E9" s="150">
        <f>SUM(E10:E11)</f>
        <v>476000000</v>
      </c>
      <c r="F9" s="150">
        <f t="shared" ref="F9:G9" si="1">SUM(F10:F11)</f>
        <v>161799675</v>
      </c>
      <c r="G9" s="150">
        <f t="shared" si="1"/>
        <v>81107166.329999998</v>
      </c>
    </row>
    <row r="10" spans="1:9" ht="70.5" customHeight="1" x14ac:dyDescent="0.2">
      <c r="A10" s="297"/>
      <c r="B10" s="298"/>
      <c r="C10" s="299">
        <v>4599</v>
      </c>
      <c r="D10" s="295" t="s">
        <v>39</v>
      </c>
      <c r="E10" s="300">
        <f>SUM('SGTO POAI -SEPTIEMBRE-2021'!BP8:BP10)</f>
        <v>393535000</v>
      </c>
      <c r="F10" s="300">
        <f>SUM('SGTO POAI -SEPTIEMBRE-2021'!BQ8:BQ10)</f>
        <v>125737508</v>
      </c>
      <c r="G10" s="300">
        <f>SUM('SGTO POAI -SEPTIEMBRE-2021'!BR8:BR10)</f>
        <v>56200000</v>
      </c>
    </row>
    <row r="11" spans="1:9" ht="53.25" customHeight="1" x14ac:dyDescent="0.2">
      <c r="A11" s="301"/>
      <c r="B11" s="302"/>
      <c r="C11" s="303">
        <v>4502</v>
      </c>
      <c r="D11" s="304" t="s">
        <v>60</v>
      </c>
      <c r="E11" s="305">
        <f>'SGTO POAI -SEPTIEMBRE-2021'!BD11</f>
        <v>82465000</v>
      </c>
      <c r="F11" s="305">
        <f>'SGTO POAI -SEPTIEMBRE-2021'!BE11</f>
        <v>36062167</v>
      </c>
      <c r="G11" s="305">
        <f>'SGTO POAI -SEPTIEMBRE-2021'!BF11</f>
        <v>24907166.329999998</v>
      </c>
    </row>
    <row r="12" spans="1:9" s="45" customFormat="1" ht="15.75" x14ac:dyDescent="0.2">
      <c r="A12" s="276"/>
      <c r="B12" s="276"/>
      <c r="C12" s="276"/>
      <c r="D12" s="285"/>
      <c r="E12" s="285"/>
      <c r="F12" s="285"/>
      <c r="G12" s="285"/>
      <c r="H12" s="40"/>
      <c r="I12" s="40"/>
    </row>
    <row r="13" spans="1:9" s="6" customFormat="1" ht="24" customHeight="1" x14ac:dyDescent="0.25">
      <c r="A13" s="34" t="s">
        <v>69</v>
      </c>
      <c r="B13" s="35"/>
      <c r="C13" s="35"/>
      <c r="D13" s="36"/>
      <c r="E13" s="267">
        <f>E14</f>
        <v>986333529</v>
      </c>
      <c r="F13" s="267">
        <f t="shared" ref="F13:G14" si="2">F14</f>
        <v>687842685</v>
      </c>
      <c r="G13" s="267">
        <f t="shared" si="2"/>
        <v>424005000</v>
      </c>
      <c r="H13" s="5"/>
      <c r="I13" s="5"/>
    </row>
    <row r="14" spans="1:9" ht="24" customHeight="1" x14ac:dyDescent="0.2">
      <c r="A14" s="105">
        <v>4</v>
      </c>
      <c r="B14" s="51" t="s">
        <v>37</v>
      </c>
      <c r="C14" s="51"/>
      <c r="D14" s="51"/>
      <c r="E14" s="69">
        <f>E15</f>
        <v>986333529</v>
      </c>
      <c r="F14" s="69">
        <f t="shared" si="2"/>
        <v>687842685</v>
      </c>
      <c r="G14" s="69">
        <f t="shared" si="2"/>
        <v>424005000</v>
      </c>
    </row>
    <row r="15" spans="1:9" ht="24" customHeight="1" x14ac:dyDescent="0.2">
      <c r="A15" s="277"/>
      <c r="B15" s="283">
        <v>45</v>
      </c>
      <c r="C15" s="52" t="s">
        <v>38</v>
      </c>
      <c r="D15" s="125"/>
      <c r="E15" s="265">
        <f>SUM(E16:E17)</f>
        <v>986333529</v>
      </c>
      <c r="F15" s="265">
        <f t="shared" ref="F15:G15" si="3">SUM(F16:F17)</f>
        <v>687842685</v>
      </c>
      <c r="G15" s="265">
        <f t="shared" si="3"/>
        <v>424005000</v>
      </c>
    </row>
    <row r="16" spans="1:9" s="33" customFormat="1" ht="56.25" customHeight="1" x14ac:dyDescent="0.2">
      <c r="A16" s="306"/>
      <c r="B16" s="307"/>
      <c r="C16" s="299">
        <v>4502</v>
      </c>
      <c r="D16" s="295" t="s">
        <v>60</v>
      </c>
      <c r="E16" s="300">
        <f>'SGTO POAI -SEPTIEMBRE-2021'!BD12+'SGTO POAI -SEPTIEMBRE-2021'!BD13</f>
        <v>178333529</v>
      </c>
      <c r="F16" s="300">
        <f>'SGTO POAI -SEPTIEMBRE-2021'!BE12+'SGTO POAI -SEPTIEMBRE-2021'!BE13</f>
        <v>53655000</v>
      </c>
      <c r="G16" s="300">
        <f>'SGTO POAI -SEPTIEMBRE-2021'!BF12+'SGTO POAI -SEPTIEMBRE-2021'!BF13</f>
        <v>8655000</v>
      </c>
    </row>
    <row r="17" spans="1:9" s="33" customFormat="1" ht="56.25" customHeight="1" x14ac:dyDescent="0.2">
      <c r="A17" s="287"/>
      <c r="B17" s="308"/>
      <c r="C17" s="299">
        <v>4599</v>
      </c>
      <c r="D17" s="295" t="s">
        <v>39</v>
      </c>
      <c r="E17" s="300">
        <f>'SGTO POAI -SEPTIEMBRE-2021'!BD14+'SGTO POAI -SEPTIEMBRE-2021'!BD15+'SGTO POAI -SEPTIEMBRE-2021'!BD16+'SGTO POAI -SEPTIEMBRE-2021'!BD17+'SGTO POAI -SEPTIEMBRE-2021'!BD18+'SGTO POAI -SEPTIEMBRE-2021'!BD19+'SGTO POAI -SEPTIEMBRE-2021'!BD20+'SGTO POAI -SEPTIEMBRE-2021'!BD21+'SGTO POAI -SEPTIEMBRE-2021'!BD22+'SGTO POAI -SEPTIEMBRE-2021'!BD23</f>
        <v>808000000</v>
      </c>
      <c r="F17" s="300">
        <f>'SGTO POAI -SEPTIEMBRE-2021'!BE14+'SGTO POAI -SEPTIEMBRE-2021'!BE15+'SGTO POAI -SEPTIEMBRE-2021'!BE16+'SGTO POAI -SEPTIEMBRE-2021'!BE17+'SGTO POAI -SEPTIEMBRE-2021'!BE18+'SGTO POAI -SEPTIEMBRE-2021'!BE19+'SGTO POAI -SEPTIEMBRE-2021'!BE20+'SGTO POAI -SEPTIEMBRE-2021'!BE21+'SGTO POAI -SEPTIEMBRE-2021'!BE22+'SGTO POAI -SEPTIEMBRE-2021'!BE23</f>
        <v>634187685</v>
      </c>
      <c r="G17" s="300">
        <f>'SGTO POAI -SEPTIEMBRE-2021'!BF14+'SGTO POAI -SEPTIEMBRE-2021'!BF15+'SGTO POAI -SEPTIEMBRE-2021'!BF16+'SGTO POAI -SEPTIEMBRE-2021'!BF17+'SGTO POAI -SEPTIEMBRE-2021'!BF18+'SGTO POAI -SEPTIEMBRE-2021'!BF19+'SGTO POAI -SEPTIEMBRE-2021'!BF20+'SGTO POAI -SEPTIEMBRE-2021'!BF21+'SGTO POAI -SEPTIEMBRE-2021'!BF22+'SGTO POAI -SEPTIEMBRE-2021'!BF23</f>
        <v>415350000</v>
      </c>
    </row>
    <row r="18" spans="1:9" ht="18" customHeight="1" x14ac:dyDescent="0.2">
      <c r="A18" s="126"/>
      <c r="B18" s="126"/>
      <c r="C18" s="126"/>
      <c r="D18" s="127"/>
      <c r="E18" s="127"/>
      <c r="F18" s="127"/>
      <c r="G18" s="127"/>
    </row>
    <row r="19" spans="1:9" ht="24" customHeight="1" x14ac:dyDescent="0.2">
      <c r="A19" s="34" t="s">
        <v>1358</v>
      </c>
      <c r="B19" s="35"/>
      <c r="C19" s="35"/>
      <c r="D19" s="36"/>
      <c r="E19" s="267">
        <f>E20</f>
        <v>2927625342.8400002</v>
      </c>
      <c r="F19" s="267">
        <f t="shared" ref="F19:G21" si="4">F20</f>
        <v>2083805502</v>
      </c>
      <c r="G19" s="267">
        <f t="shared" si="4"/>
        <v>1164627547.0900002</v>
      </c>
    </row>
    <row r="20" spans="1:9" ht="24" customHeight="1" x14ac:dyDescent="0.2">
      <c r="A20" s="105">
        <v>4</v>
      </c>
      <c r="B20" s="51" t="s">
        <v>37</v>
      </c>
      <c r="C20" s="51"/>
      <c r="D20" s="51"/>
      <c r="E20" s="151">
        <f>E21</f>
        <v>2927625342.8400002</v>
      </c>
      <c r="F20" s="151">
        <f t="shared" si="4"/>
        <v>2083805502</v>
      </c>
      <c r="G20" s="151">
        <f t="shared" si="4"/>
        <v>1164627547.0900002</v>
      </c>
    </row>
    <row r="21" spans="1:9" ht="24" customHeight="1" x14ac:dyDescent="0.2">
      <c r="A21" s="277"/>
      <c r="B21" s="283">
        <v>45</v>
      </c>
      <c r="C21" s="52" t="s">
        <v>38</v>
      </c>
      <c r="D21" s="125"/>
      <c r="E21" s="150">
        <f>E22</f>
        <v>2927625342.8400002</v>
      </c>
      <c r="F21" s="150">
        <f t="shared" si="4"/>
        <v>2083805502</v>
      </c>
      <c r="G21" s="150">
        <f t="shared" si="4"/>
        <v>1164627547.0900002</v>
      </c>
    </row>
    <row r="22" spans="1:9" ht="70.5" customHeight="1" x14ac:dyDescent="0.2">
      <c r="A22" s="302"/>
      <c r="B22" s="309"/>
      <c r="C22" s="74">
        <v>4599</v>
      </c>
      <c r="D22" s="295" t="s">
        <v>39</v>
      </c>
      <c r="E22" s="300">
        <f>'SGTO POAI -SEPTIEMBRE-2021'!BP24+'SGTO POAI -SEPTIEMBRE-2021'!BP25</f>
        <v>2927625342.8400002</v>
      </c>
      <c r="F22" s="300">
        <f>'SGTO POAI -SEPTIEMBRE-2021'!BQ24+'SGTO POAI -SEPTIEMBRE-2021'!BQ25</f>
        <v>2083805502</v>
      </c>
      <c r="G22" s="300">
        <f>'SGTO POAI -SEPTIEMBRE-2021'!BR24+'SGTO POAI -SEPTIEMBRE-2021'!BR25</f>
        <v>1164627547.0900002</v>
      </c>
    </row>
    <row r="23" spans="1:9" s="7" customFormat="1" x14ac:dyDescent="0.2">
      <c r="A23" s="126"/>
      <c r="B23" s="126"/>
      <c r="C23" s="126"/>
      <c r="D23" s="127"/>
      <c r="E23" s="268"/>
      <c r="F23" s="268"/>
      <c r="G23" s="268"/>
      <c r="H23" s="14"/>
      <c r="I23" s="14"/>
    </row>
    <row r="24" spans="1:9" ht="24" customHeight="1" x14ac:dyDescent="0.2">
      <c r="A24" s="30" t="s">
        <v>135</v>
      </c>
      <c r="B24" s="31"/>
      <c r="C24" s="31"/>
      <c r="D24" s="32"/>
      <c r="E24" s="266">
        <f>E25+E36+E44</f>
        <v>15986154634.140001</v>
      </c>
      <c r="F24" s="266">
        <f t="shared" ref="F24:G24" si="5">F25+F36+F44</f>
        <v>4609696684.3800001</v>
      </c>
      <c r="G24" s="266">
        <f t="shared" si="5"/>
        <v>3125538394.1900001</v>
      </c>
    </row>
    <row r="25" spans="1:9" ht="24" customHeight="1" x14ac:dyDescent="0.2">
      <c r="A25" s="105">
        <v>1</v>
      </c>
      <c r="B25" s="51" t="s">
        <v>1633</v>
      </c>
      <c r="C25" s="105"/>
      <c r="D25" s="51"/>
      <c r="E25" s="151">
        <f>E26+E28+E30+E32+E34</f>
        <v>5180537273.3600006</v>
      </c>
      <c r="F25" s="151">
        <f t="shared" ref="F25:G25" si="6">F26+F28+F30+F32+F34</f>
        <v>829933716.24000001</v>
      </c>
      <c r="G25" s="151">
        <f t="shared" si="6"/>
        <v>518428200</v>
      </c>
    </row>
    <row r="26" spans="1:9" ht="24" customHeight="1" x14ac:dyDescent="0.2">
      <c r="A26" s="277"/>
      <c r="B26" s="142">
        <v>12</v>
      </c>
      <c r="C26" s="52" t="s">
        <v>137</v>
      </c>
      <c r="D26" s="125"/>
      <c r="E26" s="150">
        <f>E27</f>
        <v>24750000</v>
      </c>
      <c r="F26" s="150">
        <f t="shared" ref="F26:G26" si="7">F27</f>
        <v>3932000</v>
      </c>
      <c r="G26" s="150">
        <f t="shared" si="7"/>
        <v>3932000</v>
      </c>
    </row>
    <row r="27" spans="1:9" ht="61.5" customHeight="1" x14ac:dyDescent="0.2">
      <c r="A27" s="310"/>
      <c r="B27" s="309"/>
      <c r="C27" s="58">
        <v>1202</v>
      </c>
      <c r="D27" s="295" t="s">
        <v>138</v>
      </c>
      <c r="E27" s="300">
        <f>'SGTO POAI -SEPTIEMBRE-2021'!BP26</f>
        <v>24750000</v>
      </c>
      <c r="F27" s="300">
        <f>'SGTO POAI -SEPTIEMBRE-2021'!BQ26</f>
        <v>3932000</v>
      </c>
      <c r="G27" s="300">
        <f>'SGTO POAI -SEPTIEMBRE-2021'!BR26</f>
        <v>3932000</v>
      </c>
    </row>
    <row r="28" spans="1:9" ht="24" customHeight="1" x14ac:dyDescent="0.2">
      <c r="A28" s="278"/>
      <c r="B28" s="142">
        <v>19</v>
      </c>
      <c r="C28" s="52" t="s">
        <v>147</v>
      </c>
      <c r="D28" s="125"/>
      <c r="E28" s="150">
        <f>E29</f>
        <v>96746979</v>
      </c>
      <c r="F28" s="150">
        <f t="shared" ref="F28:G28" si="8">F29</f>
        <v>3100000</v>
      </c>
      <c r="G28" s="150">
        <f t="shared" si="8"/>
        <v>2100000</v>
      </c>
    </row>
    <row r="29" spans="1:9" ht="55.5" customHeight="1" x14ac:dyDescent="0.2">
      <c r="A29" s="310"/>
      <c r="B29" s="309"/>
      <c r="C29" s="58">
        <v>1906</v>
      </c>
      <c r="D29" s="295" t="s">
        <v>148</v>
      </c>
      <c r="E29" s="300">
        <f>'SGTO POAI -SEPTIEMBRE-2021'!BP27</f>
        <v>96746979</v>
      </c>
      <c r="F29" s="300">
        <f>'SGTO POAI -SEPTIEMBRE-2021'!BQ27</f>
        <v>3100000</v>
      </c>
      <c r="G29" s="300">
        <f>'SGTO POAI -SEPTIEMBRE-2021'!BR27</f>
        <v>2100000</v>
      </c>
    </row>
    <row r="30" spans="1:9" ht="24" customHeight="1" x14ac:dyDescent="0.2">
      <c r="A30" s="278"/>
      <c r="B30" s="142">
        <v>22</v>
      </c>
      <c r="C30" s="128" t="s">
        <v>156</v>
      </c>
      <c r="D30" s="129"/>
      <c r="E30" s="150">
        <f>E31</f>
        <v>2083257220</v>
      </c>
      <c r="F30" s="150">
        <f t="shared" ref="F30:G30" si="9">F31</f>
        <v>260026500</v>
      </c>
      <c r="G30" s="150">
        <f t="shared" si="9"/>
        <v>239901500</v>
      </c>
    </row>
    <row r="31" spans="1:9" ht="80.25" customHeight="1" x14ac:dyDescent="0.2">
      <c r="A31" s="310"/>
      <c r="B31" s="309"/>
      <c r="C31" s="58">
        <v>2201</v>
      </c>
      <c r="D31" s="295" t="s">
        <v>157</v>
      </c>
      <c r="E31" s="300">
        <f>'SGTO POAI -SEPTIEMBRE-2021'!BP28</f>
        <v>2083257220</v>
      </c>
      <c r="F31" s="300">
        <f>'SGTO POAI -SEPTIEMBRE-2021'!BQ28</f>
        <v>260026500</v>
      </c>
      <c r="G31" s="300">
        <f>'SGTO POAI -SEPTIEMBRE-2021'!BR28</f>
        <v>239901500</v>
      </c>
    </row>
    <row r="32" spans="1:9" ht="24" customHeight="1" x14ac:dyDescent="0.2">
      <c r="A32" s="278"/>
      <c r="B32" s="142">
        <v>33</v>
      </c>
      <c r="C32" s="128" t="s">
        <v>166</v>
      </c>
      <c r="D32" s="129"/>
      <c r="E32" s="150">
        <f>E33</f>
        <v>90000000</v>
      </c>
      <c r="F32" s="150">
        <f t="shared" ref="F32:G32" si="10">F33</f>
        <v>9800000</v>
      </c>
      <c r="G32" s="150">
        <f t="shared" si="10"/>
        <v>9700000</v>
      </c>
    </row>
    <row r="33" spans="1:9" ht="63" customHeight="1" x14ac:dyDescent="0.2">
      <c r="A33" s="310"/>
      <c r="B33" s="309"/>
      <c r="C33" s="58">
        <v>3301</v>
      </c>
      <c r="D33" s="295" t="s">
        <v>167</v>
      </c>
      <c r="E33" s="300">
        <f>'SGTO POAI -SEPTIEMBRE-2021'!BP29</f>
        <v>90000000</v>
      </c>
      <c r="F33" s="300">
        <f>'SGTO POAI -SEPTIEMBRE-2021'!BQ29</f>
        <v>9800000</v>
      </c>
      <c r="G33" s="300">
        <f>'SGTO POAI -SEPTIEMBRE-2021'!BR29</f>
        <v>9700000</v>
      </c>
    </row>
    <row r="34" spans="1:9" ht="24" customHeight="1" x14ac:dyDescent="0.2">
      <c r="A34" s="278"/>
      <c r="B34" s="142">
        <v>43</v>
      </c>
      <c r="C34" s="52" t="s">
        <v>176</v>
      </c>
      <c r="D34" s="52"/>
      <c r="E34" s="150">
        <f>E35</f>
        <v>2885783074.3600001</v>
      </c>
      <c r="F34" s="150">
        <f t="shared" ref="F34:G34" si="11">F35</f>
        <v>553075216.24000001</v>
      </c>
      <c r="G34" s="150">
        <f t="shared" si="11"/>
        <v>262794700</v>
      </c>
    </row>
    <row r="35" spans="1:9" ht="65.25" customHeight="1" x14ac:dyDescent="0.2">
      <c r="A35" s="302"/>
      <c r="B35" s="309"/>
      <c r="C35" s="58">
        <v>4301</v>
      </c>
      <c r="D35" s="295" t="s">
        <v>177</v>
      </c>
      <c r="E35" s="300">
        <f>'SGTO POAI -SEPTIEMBRE-2021'!BP30</f>
        <v>2885783074.3600001</v>
      </c>
      <c r="F35" s="300">
        <f>'SGTO POAI -SEPTIEMBRE-2021'!BQ30</f>
        <v>553075216.24000001</v>
      </c>
      <c r="G35" s="300">
        <f>'SGTO POAI -SEPTIEMBRE-2021'!BR30</f>
        <v>262794700</v>
      </c>
      <c r="H35" s="1"/>
      <c r="I35" s="1"/>
    </row>
    <row r="36" spans="1:9" ht="24" customHeight="1" x14ac:dyDescent="0.2">
      <c r="A36" s="275">
        <v>3</v>
      </c>
      <c r="B36" s="53" t="s">
        <v>186</v>
      </c>
      <c r="C36" s="51"/>
      <c r="D36" s="51"/>
      <c r="E36" s="151">
        <f>E37+E39+E41</f>
        <v>10666956712.780001</v>
      </c>
      <c r="F36" s="151">
        <f t="shared" ref="F36:G36" si="12">F37+F39+F41</f>
        <v>3746987813.4700003</v>
      </c>
      <c r="G36" s="151">
        <f t="shared" si="12"/>
        <v>2605842194.1900001</v>
      </c>
      <c r="H36" s="1"/>
      <c r="I36" s="1"/>
    </row>
    <row r="37" spans="1:9" ht="24" customHeight="1" x14ac:dyDescent="0.2">
      <c r="A37" s="73"/>
      <c r="B37" s="130">
        <v>24</v>
      </c>
      <c r="C37" s="131" t="s">
        <v>187</v>
      </c>
      <c r="D37" s="129"/>
      <c r="E37" s="150">
        <f>E38</f>
        <v>4783689004</v>
      </c>
      <c r="F37" s="150">
        <f t="shared" ref="F37:G37" si="13">F38</f>
        <v>328261201</v>
      </c>
      <c r="G37" s="150">
        <f t="shared" si="13"/>
        <v>244745182.34999999</v>
      </c>
    </row>
    <row r="38" spans="1:9" ht="59.25" customHeight="1" x14ac:dyDescent="0.2">
      <c r="A38" s="293"/>
      <c r="B38" s="293"/>
      <c r="C38" s="58">
        <v>2402</v>
      </c>
      <c r="D38" s="295" t="s">
        <v>188</v>
      </c>
      <c r="E38" s="300">
        <f>SUM('SGTO POAI -SEPTIEMBRE-2021'!BP31:BP33)</f>
        <v>4783689004</v>
      </c>
      <c r="F38" s="300">
        <f>SUM('SGTO POAI -SEPTIEMBRE-2021'!BQ31:BQ33)</f>
        <v>328261201</v>
      </c>
      <c r="G38" s="300">
        <f>SUM('SGTO POAI -SEPTIEMBRE-2021'!BR31:BR33)</f>
        <v>244745182.34999999</v>
      </c>
      <c r="H38" s="1"/>
      <c r="I38" s="1"/>
    </row>
    <row r="39" spans="1:9" ht="24" customHeight="1" x14ac:dyDescent="0.2">
      <c r="A39" s="73"/>
      <c r="B39" s="54">
        <v>32</v>
      </c>
      <c r="C39" s="52" t="s">
        <v>207</v>
      </c>
      <c r="D39" s="52"/>
      <c r="E39" s="150">
        <f>E40</f>
        <v>2263108067</v>
      </c>
      <c r="F39" s="150">
        <f t="shared" ref="F39:G39" si="14">F40</f>
        <v>380435275.47000003</v>
      </c>
      <c r="G39" s="150">
        <f t="shared" si="14"/>
        <v>198145627.84</v>
      </c>
    </row>
    <row r="40" spans="1:9" ht="54.75" customHeight="1" x14ac:dyDescent="0.2">
      <c r="A40" s="293"/>
      <c r="B40" s="293"/>
      <c r="C40" s="58">
        <v>3205</v>
      </c>
      <c r="D40" s="295" t="s">
        <v>208</v>
      </c>
      <c r="E40" s="300">
        <f>SUM('SGTO POAI -SEPTIEMBRE-2021'!BP34:BP35)</f>
        <v>2263108067</v>
      </c>
      <c r="F40" s="300">
        <f>SUM('SGTO POAI -SEPTIEMBRE-2021'!BQ34:BQ35)</f>
        <v>380435275.47000003</v>
      </c>
      <c r="G40" s="300">
        <f>SUM('SGTO POAI -SEPTIEMBRE-2021'!BR34:BR35)</f>
        <v>198145627.84</v>
      </c>
      <c r="H40" s="1"/>
      <c r="I40" s="1"/>
    </row>
    <row r="41" spans="1:9" ht="24" customHeight="1" x14ac:dyDescent="0.2">
      <c r="A41" s="73"/>
      <c r="B41" s="54">
        <v>40</v>
      </c>
      <c r="C41" s="52" t="s">
        <v>221</v>
      </c>
      <c r="D41" s="129"/>
      <c r="E41" s="150">
        <f>SUM(E42:E43)</f>
        <v>3620159641.7800002</v>
      </c>
      <c r="F41" s="150">
        <f t="shared" ref="F41:G41" si="15">SUM(F42:F43)</f>
        <v>3038291337</v>
      </c>
      <c r="G41" s="150">
        <f t="shared" si="15"/>
        <v>2162951384</v>
      </c>
    </row>
    <row r="42" spans="1:9" ht="48.75" customHeight="1" x14ac:dyDescent="0.2">
      <c r="A42" s="293"/>
      <c r="B42" s="293"/>
      <c r="C42" s="58">
        <v>4001</v>
      </c>
      <c r="D42" s="295" t="s">
        <v>222</v>
      </c>
      <c r="E42" s="300">
        <f>'SGTO POAI -SEPTIEMBRE-2021'!BP36</f>
        <v>120000000.09999999</v>
      </c>
      <c r="F42" s="300">
        <f>'SGTO POAI -SEPTIEMBRE-2021'!BQ36</f>
        <v>0</v>
      </c>
      <c r="G42" s="300">
        <f>'SGTO POAI -SEPTIEMBRE-2021'!BR36</f>
        <v>0</v>
      </c>
      <c r="H42" s="1"/>
      <c r="I42" s="1"/>
    </row>
    <row r="43" spans="1:9" ht="59.25" customHeight="1" x14ac:dyDescent="0.2">
      <c r="A43" s="293"/>
      <c r="B43" s="293"/>
      <c r="C43" s="58">
        <v>4003</v>
      </c>
      <c r="D43" s="295" t="s">
        <v>230</v>
      </c>
      <c r="E43" s="300">
        <f>SUM('SGTO POAI -SEPTIEMBRE-2021'!BP37:BP42)</f>
        <v>3500159641.6800003</v>
      </c>
      <c r="F43" s="300">
        <f>SUM('SGTO POAI -SEPTIEMBRE-2021'!BQ37:BQ42)</f>
        <v>3038291337</v>
      </c>
      <c r="G43" s="300">
        <f>SUM('SGTO POAI -SEPTIEMBRE-2021'!BR37:BR42)</f>
        <v>2162951384</v>
      </c>
      <c r="H43" s="1"/>
      <c r="I43" s="1"/>
    </row>
    <row r="44" spans="1:9" ht="24" customHeight="1" x14ac:dyDescent="0.2">
      <c r="A44" s="63">
        <v>4</v>
      </c>
      <c r="B44" s="51" t="s">
        <v>37</v>
      </c>
      <c r="C44" s="51"/>
      <c r="D44" s="51"/>
      <c r="E44" s="151">
        <f>E45</f>
        <v>138660648</v>
      </c>
      <c r="F44" s="151">
        <f t="shared" ref="F44:G44" si="16">F45</f>
        <v>32775154.670000002</v>
      </c>
      <c r="G44" s="151">
        <f t="shared" si="16"/>
        <v>1268000</v>
      </c>
      <c r="H44" s="1"/>
      <c r="I44" s="1"/>
    </row>
    <row r="45" spans="1:9" ht="24" customHeight="1" x14ac:dyDescent="0.2">
      <c r="A45" s="73"/>
      <c r="B45" s="54">
        <v>45</v>
      </c>
      <c r="C45" s="52" t="s">
        <v>38</v>
      </c>
      <c r="D45" s="125"/>
      <c r="E45" s="150">
        <f>SUM(E46:E47)</f>
        <v>138660648</v>
      </c>
      <c r="F45" s="150">
        <f t="shared" ref="F45:G45" si="17">SUM(F46:F47)</f>
        <v>32775154.670000002</v>
      </c>
      <c r="G45" s="150">
        <f t="shared" si="17"/>
        <v>1268000</v>
      </c>
    </row>
    <row r="46" spans="1:9" ht="66" customHeight="1" x14ac:dyDescent="0.2">
      <c r="A46" s="293"/>
      <c r="B46" s="293"/>
      <c r="C46" s="58">
        <v>4599</v>
      </c>
      <c r="D46" s="295" t="s">
        <v>39</v>
      </c>
      <c r="E46" s="300">
        <f>'SGTO POAI -SEPTIEMBRE-2021'!BP43</f>
        <v>100660648</v>
      </c>
      <c r="F46" s="300">
        <f>'SGTO POAI -SEPTIEMBRE-2021'!BQ43</f>
        <v>1268000</v>
      </c>
      <c r="G46" s="300">
        <f>'SGTO POAI -SEPTIEMBRE-2021'!BR43</f>
        <v>1268000</v>
      </c>
      <c r="H46" s="1"/>
      <c r="I46" s="1"/>
    </row>
    <row r="47" spans="1:9" ht="53.25" customHeight="1" x14ac:dyDescent="0.2">
      <c r="A47" s="293"/>
      <c r="B47" s="293"/>
      <c r="C47" s="58">
        <v>4502</v>
      </c>
      <c r="D47" s="295" t="s">
        <v>60</v>
      </c>
      <c r="E47" s="300">
        <f>'SGTO POAI -SEPTIEMBRE-2021'!BP44</f>
        <v>38000000</v>
      </c>
      <c r="F47" s="300">
        <f>'SGTO POAI -SEPTIEMBRE-2021'!BQ44</f>
        <v>31507154.670000002</v>
      </c>
      <c r="G47" s="300">
        <f>'SGTO POAI -SEPTIEMBRE-2021'!BR44</f>
        <v>0</v>
      </c>
    </row>
    <row r="48" spans="1:9" s="7" customFormat="1" x14ac:dyDescent="0.2">
      <c r="A48" s="126"/>
      <c r="B48" s="126"/>
      <c r="C48" s="126"/>
      <c r="D48" s="127"/>
      <c r="E48" s="268"/>
      <c r="F48" s="268"/>
      <c r="G48" s="268"/>
      <c r="H48" s="14"/>
      <c r="I48" s="14"/>
    </row>
    <row r="49" spans="1:9" ht="24" customHeight="1" x14ac:dyDescent="0.2">
      <c r="A49" s="282" t="s">
        <v>261</v>
      </c>
      <c r="B49" s="31"/>
      <c r="C49" s="31"/>
      <c r="D49" s="32"/>
      <c r="E49" s="266">
        <f>E50+E62+E67</f>
        <v>6632641520.3299999</v>
      </c>
      <c r="F49" s="266">
        <f t="shared" ref="F49:G49" si="18">F50+F62+F67</f>
        <v>2025393287.3299999</v>
      </c>
      <c r="G49" s="266">
        <f t="shared" si="18"/>
        <v>947271902.30999994</v>
      </c>
    </row>
    <row r="50" spans="1:9" ht="24" customHeight="1" x14ac:dyDescent="0.2">
      <c r="A50" s="279">
        <v>1</v>
      </c>
      <c r="B50" s="51" t="s">
        <v>136</v>
      </c>
      <c r="C50" s="51"/>
      <c r="D50" s="51"/>
      <c r="E50" s="151">
        <f>E51+E55+E57+E60</f>
        <v>5408930171.3299999</v>
      </c>
      <c r="F50" s="151">
        <f t="shared" ref="F50:G50" si="19">F51+F55+F57+F60</f>
        <v>1480255431.3299999</v>
      </c>
      <c r="G50" s="151">
        <f t="shared" si="19"/>
        <v>602057600.30999994</v>
      </c>
    </row>
    <row r="51" spans="1:9" ht="24" customHeight="1" x14ac:dyDescent="0.2">
      <c r="A51" s="280"/>
      <c r="B51" s="283">
        <v>12</v>
      </c>
      <c r="C51" s="52" t="s">
        <v>137</v>
      </c>
      <c r="D51" s="52"/>
      <c r="E51" s="150">
        <f>SUM(E52:E54)</f>
        <v>254028401</v>
      </c>
      <c r="F51" s="150">
        <f t="shared" ref="F51:G51" si="20">SUM(F52:F54)</f>
        <v>174440000</v>
      </c>
      <c r="G51" s="150">
        <f t="shared" si="20"/>
        <v>154860000</v>
      </c>
    </row>
    <row r="52" spans="1:9" ht="34.5" customHeight="1" x14ac:dyDescent="0.2">
      <c r="A52" s="311"/>
      <c r="B52" s="298"/>
      <c r="C52" s="98">
        <v>1202</v>
      </c>
      <c r="D52" s="295" t="s">
        <v>138</v>
      </c>
      <c r="E52" s="300">
        <f>'SGTO POAI -SEPTIEMBRE-2021'!BP45</f>
        <v>149000000</v>
      </c>
      <c r="F52" s="300">
        <f>'SGTO POAI -SEPTIEMBRE-2021'!BQ45</f>
        <v>117985000</v>
      </c>
      <c r="G52" s="300">
        <f>'SGTO POAI -SEPTIEMBRE-2021'!BR45</f>
        <v>104445000</v>
      </c>
    </row>
    <row r="53" spans="1:9" ht="36.75" customHeight="1" x14ac:dyDescent="0.2">
      <c r="A53" s="311"/>
      <c r="B53" s="310"/>
      <c r="C53" s="98">
        <v>1203</v>
      </c>
      <c r="D53" s="295" t="s">
        <v>265</v>
      </c>
      <c r="E53" s="300">
        <f>'SGTO POAI -SEPTIEMBRE-2021'!BP46</f>
        <v>69028401</v>
      </c>
      <c r="F53" s="300">
        <f>'SGTO POAI -SEPTIEMBRE-2021'!BQ46</f>
        <v>46455000</v>
      </c>
      <c r="G53" s="300">
        <f>'SGTO POAI -SEPTIEMBRE-2021'!BR46</f>
        <v>40415000</v>
      </c>
    </row>
    <row r="54" spans="1:9" ht="60" customHeight="1" x14ac:dyDescent="0.2">
      <c r="A54" s="311"/>
      <c r="B54" s="302"/>
      <c r="C54" s="98">
        <v>1206</v>
      </c>
      <c r="D54" s="295" t="s">
        <v>271</v>
      </c>
      <c r="E54" s="300">
        <f>'SGTO POAI -SEPTIEMBRE-2021'!BP47</f>
        <v>36000000</v>
      </c>
      <c r="F54" s="300">
        <f>'SGTO POAI -SEPTIEMBRE-2021'!BQ47</f>
        <v>10000000</v>
      </c>
      <c r="G54" s="300">
        <f>'SGTO POAI -SEPTIEMBRE-2021'!BR47</f>
        <v>10000000</v>
      </c>
    </row>
    <row r="55" spans="1:9" ht="24" customHeight="1" x14ac:dyDescent="0.2">
      <c r="A55" s="281"/>
      <c r="B55" s="284">
        <v>22</v>
      </c>
      <c r="C55" s="128" t="s">
        <v>156</v>
      </c>
      <c r="D55" s="129"/>
      <c r="E55" s="150">
        <f>E56</f>
        <v>124287500</v>
      </c>
      <c r="F55" s="150">
        <f t="shared" ref="F55:G55" si="21">F56</f>
        <v>49302500</v>
      </c>
      <c r="G55" s="150">
        <f t="shared" si="21"/>
        <v>36317500</v>
      </c>
    </row>
    <row r="56" spans="1:9" ht="62.25" customHeight="1" x14ac:dyDescent="0.2">
      <c r="A56" s="312"/>
      <c r="B56" s="309"/>
      <c r="C56" s="58">
        <v>2201</v>
      </c>
      <c r="D56" s="295" t="s">
        <v>277</v>
      </c>
      <c r="E56" s="300">
        <f>'SGTO POAI -SEPTIEMBRE-2021'!BP48</f>
        <v>124287500</v>
      </c>
      <c r="F56" s="300">
        <f>'SGTO POAI -SEPTIEMBRE-2021'!BQ48</f>
        <v>49302500</v>
      </c>
      <c r="G56" s="300">
        <f>'SGTO POAI -SEPTIEMBRE-2021'!BR48</f>
        <v>36317500</v>
      </c>
    </row>
    <row r="57" spans="1:9" ht="24" customHeight="1" x14ac:dyDescent="0.2">
      <c r="A57" s="313"/>
      <c r="B57" s="283">
        <v>41</v>
      </c>
      <c r="C57" s="52" t="s">
        <v>284</v>
      </c>
      <c r="D57" s="314"/>
      <c r="E57" s="315">
        <f>SUM(E58:E59)</f>
        <v>581734742</v>
      </c>
      <c r="F57" s="315">
        <f t="shared" ref="F57:G57" si="22">SUM(F58:F59)</f>
        <v>255274098</v>
      </c>
      <c r="G57" s="315">
        <f t="shared" si="22"/>
        <v>168409101.94999999</v>
      </c>
    </row>
    <row r="58" spans="1:9" ht="44.25" customHeight="1" x14ac:dyDescent="0.2">
      <c r="A58" s="311"/>
      <c r="B58" s="298"/>
      <c r="C58" s="98">
        <v>4101</v>
      </c>
      <c r="D58" s="295" t="s">
        <v>285</v>
      </c>
      <c r="E58" s="300">
        <f>SUM('SGTO POAI -SEPTIEMBRE-2021'!BP49:BP53)</f>
        <v>547707113</v>
      </c>
      <c r="F58" s="300">
        <f>SUM('SGTO POAI -SEPTIEMBRE-2021'!BQ49:BQ53)</f>
        <v>245932969</v>
      </c>
      <c r="G58" s="300">
        <f>SUM('SGTO POAI -SEPTIEMBRE-2021'!BR49:BR53)</f>
        <v>163409101.94999999</v>
      </c>
    </row>
    <row r="59" spans="1:9" ht="57" customHeight="1" x14ac:dyDescent="0.2">
      <c r="A59" s="311"/>
      <c r="B59" s="302"/>
      <c r="C59" s="98">
        <v>4103</v>
      </c>
      <c r="D59" s="295" t="s">
        <v>302</v>
      </c>
      <c r="E59" s="300">
        <f>'SGTO POAI -SEPTIEMBRE-2021'!BP54</f>
        <v>34027629</v>
      </c>
      <c r="F59" s="300">
        <f>'SGTO POAI -SEPTIEMBRE-2021'!BQ54</f>
        <v>9341129</v>
      </c>
      <c r="G59" s="300">
        <f>'SGTO POAI -SEPTIEMBRE-2021'!BR54</f>
        <v>5000000</v>
      </c>
      <c r="H59" s="1"/>
      <c r="I59" s="1"/>
    </row>
    <row r="60" spans="1:9" ht="24" customHeight="1" x14ac:dyDescent="0.2">
      <c r="A60" s="281"/>
      <c r="B60" s="284">
        <v>45</v>
      </c>
      <c r="C60" s="52" t="s">
        <v>38</v>
      </c>
      <c r="D60" s="125"/>
      <c r="E60" s="150">
        <f>E61</f>
        <v>4448879528.3299999</v>
      </c>
      <c r="F60" s="150">
        <f t="shared" ref="F60:G60" si="23">F61</f>
        <v>1001238833.33</v>
      </c>
      <c r="G60" s="150">
        <f t="shared" si="23"/>
        <v>242470998.36000001</v>
      </c>
    </row>
    <row r="61" spans="1:9" ht="53.25" customHeight="1" x14ac:dyDescent="0.2">
      <c r="A61" s="316"/>
      <c r="B61" s="309"/>
      <c r="C61" s="58">
        <v>4501</v>
      </c>
      <c r="D61" s="295" t="s">
        <v>311</v>
      </c>
      <c r="E61" s="300">
        <f>SUM('SGTO POAI -SEPTIEMBRE-2021'!BP55:BP56)</f>
        <v>4448879528.3299999</v>
      </c>
      <c r="F61" s="300">
        <f>SUM('SGTO POAI -SEPTIEMBRE-2021'!BQ55:BQ56)</f>
        <v>1001238833.33</v>
      </c>
      <c r="G61" s="300">
        <f>SUM('SGTO POAI -SEPTIEMBRE-2021'!BR55:BR56)</f>
        <v>242470998.36000001</v>
      </c>
      <c r="H61" s="1"/>
      <c r="I61" s="1"/>
    </row>
    <row r="62" spans="1:9" ht="24" customHeight="1" x14ac:dyDescent="0.2">
      <c r="A62" s="286">
        <v>3</v>
      </c>
      <c r="B62" s="51" t="s">
        <v>186</v>
      </c>
      <c r="C62" s="51"/>
      <c r="D62" s="51"/>
      <c r="E62" s="151">
        <f>E63+E65</f>
        <v>791217948</v>
      </c>
      <c r="F62" s="151">
        <f t="shared" ref="F62:G62" si="24">F63+F65</f>
        <v>291403605</v>
      </c>
      <c r="G62" s="151">
        <f t="shared" si="24"/>
        <v>157263141</v>
      </c>
      <c r="H62" s="1"/>
      <c r="I62" s="1"/>
    </row>
    <row r="63" spans="1:9" ht="24" customHeight="1" x14ac:dyDescent="0.2">
      <c r="A63" s="277"/>
      <c r="B63" s="142">
        <v>32</v>
      </c>
      <c r="C63" s="52" t="s">
        <v>207</v>
      </c>
      <c r="D63" s="52"/>
      <c r="E63" s="150">
        <f>E64</f>
        <v>243850000</v>
      </c>
      <c r="F63" s="150">
        <f t="shared" ref="F63:G63" si="25">F64</f>
        <v>75687500</v>
      </c>
      <c r="G63" s="150">
        <f t="shared" si="25"/>
        <v>58377500</v>
      </c>
    </row>
    <row r="64" spans="1:9" s="33" customFormat="1" ht="46.5" customHeight="1" x14ac:dyDescent="0.2">
      <c r="A64" s="306"/>
      <c r="B64" s="98"/>
      <c r="C64" s="58">
        <v>3205</v>
      </c>
      <c r="D64" s="295" t="s">
        <v>208</v>
      </c>
      <c r="E64" s="300">
        <f>'SGTO POAI -SEPTIEMBRE-2021'!BP57</f>
        <v>243850000</v>
      </c>
      <c r="F64" s="300">
        <f>'SGTO POAI -SEPTIEMBRE-2021'!BQ57</f>
        <v>75687500</v>
      </c>
      <c r="G64" s="300">
        <f>'SGTO POAI -SEPTIEMBRE-2021'!BR57</f>
        <v>58377500</v>
      </c>
    </row>
    <row r="65" spans="1:9" ht="24" customHeight="1" x14ac:dyDescent="0.2">
      <c r="A65" s="278"/>
      <c r="B65" s="142">
        <v>45</v>
      </c>
      <c r="C65" s="52" t="s">
        <v>38</v>
      </c>
      <c r="D65" s="125"/>
      <c r="E65" s="150">
        <f>E66</f>
        <v>547367948</v>
      </c>
      <c r="F65" s="150">
        <f t="shared" ref="F65:G65" si="26">F66</f>
        <v>215716105</v>
      </c>
      <c r="G65" s="150">
        <f t="shared" si="26"/>
        <v>98885641</v>
      </c>
    </row>
    <row r="66" spans="1:9" s="33" customFormat="1" ht="44.25" customHeight="1" x14ac:dyDescent="0.2">
      <c r="A66" s="287"/>
      <c r="B66" s="98"/>
      <c r="C66" s="58">
        <v>4503</v>
      </c>
      <c r="D66" s="295" t="s">
        <v>1481</v>
      </c>
      <c r="E66" s="300">
        <f>SUM('SGTO POAI -SEPTIEMBRE-2021'!BP58:BP60)</f>
        <v>547367948</v>
      </c>
      <c r="F66" s="300">
        <f>SUM('SGTO POAI -SEPTIEMBRE-2021'!BQ58:BQ60)</f>
        <v>215716105</v>
      </c>
      <c r="G66" s="300">
        <f>SUM('SGTO POAI -SEPTIEMBRE-2021'!BR58:BR60)</f>
        <v>98885641</v>
      </c>
    </row>
    <row r="67" spans="1:9" ht="24" customHeight="1" x14ac:dyDescent="0.2">
      <c r="A67" s="286">
        <v>4</v>
      </c>
      <c r="B67" s="51" t="s">
        <v>37</v>
      </c>
      <c r="C67" s="51"/>
      <c r="D67" s="132"/>
      <c r="E67" s="151">
        <f>E68</f>
        <v>432493401</v>
      </c>
      <c r="F67" s="151">
        <f t="shared" ref="F67:G68" si="27">F68</f>
        <v>253734251</v>
      </c>
      <c r="G67" s="151">
        <f t="shared" si="27"/>
        <v>187951161</v>
      </c>
      <c r="H67" s="1"/>
      <c r="I67" s="1"/>
    </row>
    <row r="68" spans="1:9" ht="24" customHeight="1" x14ac:dyDescent="0.2">
      <c r="A68" s="277"/>
      <c r="B68" s="142">
        <v>45</v>
      </c>
      <c r="C68" s="52" t="s">
        <v>38</v>
      </c>
      <c r="D68" s="133"/>
      <c r="E68" s="150">
        <f>E69</f>
        <v>432493401</v>
      </c>
      <c r="F68" s="150">
        <f t="shared" si="27"/>
        <v>253734251</v>
      </c>
      <c r="G68" s="150">
        <f t="shared" si="27"/>
        <v>187951161</v>
      </c>
    </row>
    <row r="69" spans="1:9" s="33" customFormat="1" ht="54.75" customHeight="1" x14ac:dyDescent="0.2">
      <c r="A69" s="287"/>
      <c r="B69" s="98"/>
      <c r="C69" s="58">
        <v>4502</v>
      </c>
      <c r="D69" s="295" t="s">
        <v>60</v>
      </c>
      <c r="E69" s="195">
        <f>SUM('SGTO POAI -SEPTIEMBRE-2021'!BP61:BP65)</f>
        <v>432493401</v>
      </c>
      <c r="F69" s="195">
        <f>SUM('SGTO POAI -SEPTIEMBRE-2021'!BQ61:BQ65)</f>
        <v>253734251</v>
      </c>
      <c r="G69" s="195">
        <f>SUM('SGTO POAI -SEPTIEMBRE-2021'!BR61:BR65)</f>
        <v>187951161</v>
      </c>
    </row>
    <row r="70" spans="1:9" s="7" customFormat="1" x14ac:dyDescent="0.2">
      <c r="A70" s="126"/>
      <c r="B70" s="126"/>
      <c r="C70" s="126"/>
      <c r="D70" s="127"/>
      <c r="E70" s="268"/>
      <c r="F70" s="268"/>
      <c r="G70" s="268"/>
      <c r="H70" s="14"/>
      <c r="I70" s="14"/>
    </row>
    <row r="71" spans="1:9" ht="24" customHeight="1" x14ac:dyDescent="0.2">
      <c r="A71" s="30" t="s">
        <v>359</v>
      </c>
      <c r="B71" s="31"/>
      <c r="C71" s="31"/>
      <c r="D71" s="32"/>
      <c r="E71" s="266">
        <f>E72</f>
        <v>4008607319.3199997</v>
      </c>
      <c r="F71" s="266">
        <f t="shared" ref="F71:G72" si="28">F72</f>
        <v>2984380794.5299997</v>
      </c>
      <c r="G71" s="266">
        <f t="shared" si="28"/>
        <v>1712708351.0900002</v>
      </c>
      <c r="H71" s="1"/>
      <c r="I71" s="1"/>
    </row>
    <row r="72" spans="1:9" ht="24" customHeight="1" x14ac:dyDescent="0.2">
      <c r="A72" s="105">
        <v>1</v>
      </c>
      <c r="B72" s="51" t="s">
        <v>136</v>
      </c>
      <c r="C72" s="51"/>
      <c r="D72" s="51"/>
      <c r="E72" s="151">
        <f>E73</f>
        <v>4008607319.3199997</v>
      </c>
      <c r="F72" s="151">
        <f t="shared" si="28"/>
        <v>2984380794.5299997</v>
      </c>
      <c r="G72" s="151">
        <f t="shared" si="28"/>
        <v>1712708351.0900002</v>
      </c>
      <c r="H72" s="1"/>
      <c r="I72" s="1"/>
    </row>
    <row r="73" spans="1:9" ht="24" customHeight="1" x14ac:dyDescent="0.2">
      <c r="A73" s="277"/>
      <c r="B73" s="283">
        <v>33</v>
      </c>
      <c r="C73" s="128" t="s">
        <v>166</v>
      </c>
      <c r="D73" s="129"/>
      <c r="E73" s="150">
        <f>SUM(E74:E75)</f>
        <v>4008607319.3199997</v>
      </c>
      <c r="F73" s="150">
        <f t="shared" ref="F73:G73" si="29">SUM(F74:F75)</f>
        <v>2984380794.5299997</v>
      </c>
      <c r="G73" s="150">
        <f t="shared" si="29"/>
        <v>1712708351.0900002</v>
      </c>
    </row>
    <row r="74" spans="1:9" s="33" customFormat="1" ht="46.5" customHeight="1" x14ac:dyDescent="0.2">
      <c r="A74" s="317"/>
      <c r="B74" s="318"/>
      <c r="C74" s="98">
        <v>3301</v>
      </c>
      <c r="D74" s="295" t="s">
        <v>167</v>
      </c>
      <c r="E74" s="300">
        <f>SUM('SGTO POAI -SEPTIEMBRE-2021'!BP66:BP73)</f>
        <v>3734409083.0199995</v>
      </c>
      <c r="F74" s="300">
        <f>SUM('SGTO POAI -SEPTIEMBRE-2021'!BQ66:BQ73)</f>
        <v>2898815794.5299997</v>
      </c>
      <c r="G74" s="300">
        <f>SUM('SGTO POAI -SEPTIEMBRE-2021'!BR66:BR73)</f>
        <v>1666229477.0900002</v>
      </c>
    </row>
    <row r="75" spans="1:9" s="33" customFormat="1" ht="51" customHeight="1" x14ac:dyDescent="0.2">
      <c r="A75" s="319"/>
      <c r="B75" s="287"/>
      <c r="C75" s="98">
        <v>3302</v>
      </c>
      <c r="D75" s="295" t="s">
        <v>389</v>
      </c>
      <c r="E75" s="195">
        <f>SUM('SGTO POAI -SEPTIEMBRE-2021'!BP74:BP75)</f>
        <v>274198236.30000001</v>
      </c>
      <c r="F75" s="195">
        <f>SUM('SGTO POAI -SEPTIEMBRE-2021'!BQ74:BQ75)</f>
        <v>85565000</v>
      </c>
      <c r="G75" s="195">
        <f>SUM('SGTO POAI -SEPTIEMBRE-2021'!BR74:BR75)</f>
        <v>46478874</v>
      </c>
    </row>
    <row r="76" spans="1:9" s="7" customFormat="1" x14ac:dyDescent="0.2">
      <c r="A76" s="126"/>
      <c r="B76" s="126"/>
      <c r="C76" s="126"/>
      <c r="D76" s="127"/>
      <c r="E76" s="268"/>
      <c r="F76" s="268"/>
      <c r="G76" s="268"/>
      <c r="H76" s="14"/>
      <c r="I76" s="14"/>
    </row>
    <row r="77" spans="1:9" ht="24" customHeight="1" x14ac:dyDescent="0.2">
      <c r="A77" s="30" t="s">
        <v>399</v>
      </c>
      <c r="B77" s="31"/>
      <c r="C77" s="31"/>
      <c r="D77" s="32"/>
      <c r="E77" s="266">
        <f>E78</f>
        <v>3421587709.6100001</v>
      </c>
      <c r="F77" s="266">
        <f t="shared" ref="F77:G77" si="30">F78</f>
        <v>2345005652</v>
      </c>
      <c r="G77" s="266">
        <f t="shared" si="30"/>
        <v>497627876</v>
      </c>
      <c r="H77" s="1"/>
      <c r="I77" s="1"/>
    </row>
    <row r="78" spans="1:9" ht="24" customHeight="1" x14ac:dyDescent="0.2">
      <c r="A78" s="288">
        <v>2</v>
      </c>
      <c r="B78" s="51" t="s">
        <v>400</v>
      </c>
      <c r="C78" s="51"/>
      <c r="D78" s="51"/>
      <c r="E78" s="151">
        <f>E79+E81</f>
        <v>3421587709.6100001</v>
      </c>
      <c r="F78" s="151">
        <f t="shared" ref="F78:G78" si="31">F79+F81</f>
        <v>2345005652</v>
      </c>
      <c r="G78" s="151">
        <f t="shared" si="31"/>
        <v>497627876</v>
      </c>
      <c r="H78" s="1"/>
      <c r="I78" s="1"/>
    </row>
    <row r="79" spans="1:9" ht="24" customHeight="1" x14ac:dyDescent="0.2">
      <c r="A79" s="277"/>
      <c r="B79" s="142">
        <v>35</v>
      </c>
      <c r="C79" s="52" t="s">
        <v>401</v>
      </c>
      <c r="D79" s="125"/>
      <c r="E79" s="150">
        <f>E80</f>
        <v>3184087709.6100001</v>
      </c>
      <c r="F79" s="150">
        <f t="shared" ref="F79:G79" si="32">F80</f>
        <v>2242537701</v>
      </c>
      <c r="G79" s="150">
        <f t="shared" si="32"/>
        <v>429158900</v>
      </c>
    </row>
    <row r="80" spans="1:9" s="33" customFormat="1" ht="53.25" customHeight="1" x14ac:dyDescent="0.2">
      <c r="A80" s="306"/>
      <c r="B80" s="98"/>
      <c r="C80" s="74">
        <v>3502</v>
      </c>
      <c r="D80" s="295" t="s">
        <v>402</v>
      </c>
      <c r="E80" s="300">
        <f>SUM('SGTO POAI -SEPTIEMBRE-2021'!BP76:BP83)</f>
        <v>3184087709.6100001</v>
      </c>
      <c r="F80" s="300">
        <f>SUM('SGTO POAI -SEPTIEMBRE-2021'!BQ76:BQ83)</f>
        <v>2242537701</v>
      </c>
      <c r="G80" s="300">
        <f>SUM('SGTO POAI -SEPTIEMBRE-2021'!BR76:BR83)</f>
        <v>429158900</v>
      </c>
    </row>
    <row r="81" spans="1:9" ht="24" customHeight="1" x14ac:dyDescent="0.2">
      <c r="A81" s="278"/>
      <c r="B81" s="142">
        <v>36</v>
      </c>
      <c r="C81" s="128" t="s">
        <v>433</v>
      </c>
      <c r="D81" s="129"/>
      <c r="E81" s="150">
        <f>E82</f>
        <v>237500000</v>
      </c>
      <c r="F81" s="150">
        <f t="shared" ref="F81:G81" si="33">F82</f>
        <v>102467951</v>
      </c>
      <c r="G81" s="150">
        <f t="shared" si="33"/>
        <v>68468976</v>
      </c>
    </row>
    <row r="82" spans="1:9" s="33" customFormat="1" ht="53.25" customHeight="1" x14ac:dyDescent="0.2">
      <c r="A82" s="287"/>
      <c r="B82" s="98"/>
      <c r="C82" s="74">
        <v>3602</v>
      </c>
      <c r="D82" s="295" t="s">
        <v>434</v>
      </c>
      <c r="E82" s="300">
        <f>SUM('SGTO POAI -SEPTIEMBRE-2021'!BP84:BP87)</f>
        <v>237500000</v>
      </c>
      <c r="F82" s="300">
        <f>SUM('SGTO POAI -SEPTIEMBRE-2021'!BQ84:BQ87)</f>
        <v>102467951</v>
      </c>
      <c r="G82" s="300">
        <f>SUM('SGTO POAI -SEPTIEMBRE-2021'!BR84:BR87)</f>
        <v>68468976</v>
      </c>
    </row>
    <row r="83" spans="1:9" s="7" customFormat="1" x14ac:dyDescent="0.2">
      <c r="A83" s="126"/>
      <c r="B83" s="126"/>
      <c r="C83" s="126"/>
      <c r="D83" s="127"/>
      <c r="E83" s="268"/>
      <c r="F83" s="268"/>
      <c r="G83" s="268"/>
      <c r="H83" s="14"/>
      <c r="I83" s="14"/>
    </row>
    <row r="84" spans="1:9" ht="24" customHeight="1" x14ac:dyDescent="0.2">
      <c r="A84" s="30" t="s">
        <v>450</v>
      </c>
      <c r="B84" s="31"/>
      <c r="C84" s="31"/>
      <c r="D84" s="32"/>
      <c r="E84" s="266">
        <f>E85+E96</f>
        <v>3854290501.6300001</v>
      </c>
      <c r="F84" s="266">
        <f t="shared" ref="F84:G84" si="34">F85+F96</f>
        <v>1737599819</v>
      </c>
      <c r="G84" s="266">
        <f t="shared" si="34"/>
        <v>1295940288</v>
      </c>
    </row>
    <row r="85" spans="1:9" ht="24" customHeight="1" x14ac:dyDescent="0.2">
      <c r="A85" s="105">
        <v>2</v>
      </c>
      <c r="B85" s="51" t="s">
        <v>400</v>
      </c>
      <c r="C85" s="51"/>
      <c r="D85" s="51"/>
      <c r="E85" s="151">
        <f>E86+E94</f>
        <v>2216659112.6300001</v>
      </c>
      <c r="F85" s="151">
        <f t="shared" ref="F85:G85" si="35">F86+F94</f>
        <v>1212451154</v>
      </c>
      <c r="G85" s="151">
        <f t="shared" si="35"/>
        <v>989923654</v>
      </c>
      <c r="H85" s="18"/>
    </row>
    <row r="86" spans="1:9" ht="24" customHeight="1" x14ac:dyDescent="0.2">
      <c r="A86" s="277"/>
      <c r="B86" s="283">
        <v>17</v>
      </c>
      <c r="C86" s="52" t="s">
        <v>451</v>
      </c>
      <c r="D86" s="125"/>
      <c r="E86" s="150">
        <f>SUM(E87:E93)</f>
        <v>2180659112.6300001</v>
      </c>
      <c r="F86" s="150">
        <f t="shared" ref="F86:G86" si="36">SUM(F87:F93)</f>
        <v>1178256154</v>
      </c>
      <c r="G86" s="150">
        <f t="shared" si="36"/>
        <v>964383654</v>
      </c>
    </row>
    <row r="87" spans="1:9" ht="57.75" customHeight="1" x14ac:dyDescent="0.2">
      <c r="A87" s="310"/>
      <c r="B87" s="320"/>
      <c r="C87" s="98">
        <v>1702</v>
      </c>
      <c r="D87" s="295" t="s">
        <v>452</v>
      </c>
      <c r="E87" s="300">
        <f>SUM('SGTO POAI -SEPTIEMBRE-2021'!BP88:BP98)</f>
        <v>1574659112.6300001</v>
      </c>
      <c r="F87" s="300">
        <f>SUM('SGTO POAI -SEPTIEMBRE-2021'!BQ88:BQ98)</f>
        <v>700482500</v>
      </c>
      <c r="G87" s="300">
        <f>SUM('SGTO POAI -SEPTIEMBRE-2021'!BR88:BR98)</f>
        <v>550120000</v>
      </c>
      <c r="H87" s="18"/>
    </row>
    <row r="88" spans="1:9" ht="54" customHeight="1" x14ac:dyDescent="0.2">
      <c r="A88" s="310"/>
      <c r="B88" s="312"/>
      <c r="C88" s="98">
        <v>1703</v>
      </c>
      <c r="D88" s="295" t="s">
        <v>500</v>
      </c>
      <c r="E88" s="300">
        <f>SUM('SGTO POAI -SEPTIEMBRE-2021'!BP99)</f>
        <v>325000000</v>
      </c>
      <c r="F88" s="300">
        <f>SUM('SGTO POAI -SEPTIEMBRE-2021'!BQ99)</f>
        <v>324995000</v>
      </c>
      <c r="G88" s="300">
        <f>SUM('SGTO POAI -SEPTIEMBRE-2021'!BR99)</f>
        <v>316350000</v>
      </c>
      <c r="H88" s="18"/>
      <c r="I88" s="1"/>
    </row>
    <row r="89" spans="1:9" ht="62.25" customHeight="1" x14ac:dyDescent="0.2">
      <c r="A89" s="310"/>
      <c r="B89" s="312"/>
      <c r="C89" s="98">
        <v>1704</v>
      </c>
      <c r="D89" s="295" t="s">
        <v>507</v>
      </c>
      <c r="E89" s="300">
        <f>SUM('SGTO POAI -SEPTIEMBRE-2021'!BP100:BP101)</f>
        <v>70000000</v>
      </c>
      <c r="F89" s="300">
        <f>SUM('SGTO POAI -SEPTIEMBRE-2021'!BQ100:BQ101)</f>
        <v>53580000</v>
      </c>
      <c r="G89" s="300">
        <f>SUM('SGTO POAI -SEPTIEMBRE-2021'!BR100:BR101)</f>
        <v>44925000</v>
      </c>
      <c r="H89" s="18"/>
      <c r="I89" s="1"/>
    </row>
    <row r="90" spans="1:9" ht="42" customHeight="1" x14ac:dyDescent="0.2">
      <c r="A90" s="310"/>
      <c r="B90" s="312"/>
      <c r="C90" s="98">
        <v>1706</v>
      </c>
      <c r="D90" s="295" t="s">
        <v>516</v>
      </c>
      <c r="E90" s="300">
        <f>'SGTO POAI -SEPTIEMBRE-2021'!BP102</f>
        <v>20000000</v>
      </c>
      <c r="F90" s="300">
        <f>'SGTO POAI -SEPTIEMBRE-2021'!BQ102</f>
        <v>20000000</v>
      </c>
      <c r="G90" s="300">
        <f>'SGTO POAI -SEPTIEMBRE-2021'!BR102</f>
        <v>0</v>
      </c>
      <c r="H90" s="18"/>
      <c r="I90" s="1"/>
    </row>
    <row r="91" spans="1:9" ht="57" customHeight="1" x14ac:dyDescent="0.2">
      <c r="A91" s="310"/>
      <c r="B91" s="312"/>
      <c r="C91" s="98">
        <v>1707</v>
      </c>
      <c r="D91" s="295" t="s">
        <v>523</v>
      </c>
      <c r="E91" s="300">
        <f>'SGTO POAI -SEPTIEMBRE-2021'!BP103</f>
        <v>43000000</v>
      </c>
      <c r="F91" s="300">
        <f>'SGTO POAI -SEPTIEMBRE-2021'!BQ103</f>
        <v>26210000</v>
      </c>
      <c r="G91" s="300">
        <f>'SGTO POAI -SEPTIEMBRE-2021'!BR103</f>
        <v>2885000</v>
      </c>
      <c r="H91" s="18"/>
      <c r="I91" s="1"/>
    </row>
    <row r="92" spans="1:9" ht="60.75" customHeight="1" x14ac:dyDescent="0.2">
      <c r="A92" s="310"/>
      <c r="B92" s="312"/>
      <c r="C92" s="98">
        <v>1708</v>
      </c>
      <c r="D92" s="295" t="s">
        <v>530</v>
      </c>
      <c r="E92" s="300">
        <f>SUM('SGTO POAI -SEPTIEMBRE-2021'!BP104:BP105)</f>
        <v>40000000</v>
      </c>
      <c r="F92" s="300">
        <f>SUM('SGTO POAI -SEPTIEMBRE-2021'!BQ104:BQ105)</f>
        <v>17555000</v>
      </c>
      <c r="G92" s="300">
        <f>SUM('SGTO POAI -SEPTIEMBRE-2021'!BR104:BR105)</f>
        <v>14670000</v>
      </c>
      <c r="H92" s="18"/>
    </row>
    <row r="93" spans="1:9" ht="42" customHeight="1" x14ac:dyDescent="0.2">
      <c r="A93" s="310"/>
      <c r="B93" s="316"/>
      <c r="C93" s="98">
        <v>1709</v>
      </c>
      <c r="D93" s="295" t="s">
        <v>539</v>
      </c>
      <c r="E93" s="300">
        <f>SUM('SGTO POAI -SEPTIEMBRE-2021'!BP106:BP108)</f>
        <v>108000000</v>
      </c>
      <c r="F93" s="300">
        <f>SUM('SGTO POAI -SEPTIEMBRE-2021'!BQ106:BQ108)</f>
        <v>35433654</v>
      </c>
      <c r="G93" s="300">
        <f>SUM('SGTO POAI -SEPTIEMBRE-2021'!BR106:BR108)</f>
        <v>35433654</v>
      </c>
      <c r="H93" s="18"/>
    </row>
    <row r="94" spans="1:9" ht="24" customHeight="1" x14ac:dyDescent="0.2">
      <c r="A94" s="278"/>
      <c r="B94" s="284">
        <v>35</v>
      </c>
      <c r="C94" s="52" t="s">
        <v>401</v>
      </c>
      <c r="D94" s="125"/>
      <c r="E94" s="150">
        <f>E95</f>
        <v>36000000</v>
      </c>
      <c r="F94" s="150">
        <f t="shared" ref="F94:G94" si="37">F95</f>
        <v>34195000</v>
      </c>
      <c r="G94" s="150">
        <f t="shared" si="37"/>
        <v>25540000</v>
      </c>
    </row>
    <row r="95" spans="1:9" ht="73.5" customHeight="1" x14ac:dyDescent="0.2">
      <c r="A95" s="302"/>
      <c r="B95" s="309"/>
      <c r="C95" s="58">
        <v>3502</v>
      </c>
      <c r="D95" s="295" t="s">
        <v>402</v>
      </c>
      <c r="E95" s="300">
        <f>SUM('SGTO POAI -SEPTIEMBRE-2021'!BP109:BP110)</f>
        <v>36000000</v>
      </c>
      <c r="F95" s="300">
        <f>SUM('SGTO POAI -SEPTIEMBRE-2021'!BQ109:BQ110)</f>
        <v>34195000</v>
      </c>
      <c r="G95" s="300">
        <f>SUM('SGTO POAI -SEPTIEMBRE-2021'!BR109:BR110)</f>
        <v>25540000</v>
      </c>
      <c r="H95" s="18"/>
    </row>
    <row r="96" spans="1:9" ht="24" customHeight="1" x14ac:dyDescent="0.2">
      <c r="A96" s="286">
        <v>3</v>
      </c>
      <c r="B96" s="51" t="s">
        <v>186</v>
      </c>
      <c r="C96" s="51"/>
      <c r="D96" s="51"/>
      <c r="E96" s="151">
        <f>E97</f>
        <v>1637631389</v>
      </c>
      <c r="F96" s="151">
        <f t="shared" ref="F96:G96" si="38">F97</f>
        <v>525148665</v>
      </c>
      <c r="G96" s="151">
        <f t="shared" si="38"/>
        <v>306016634</v>
      </c>
      <c r="H96" s="18"/>
    </row>
    <row r="97" spans="1:9" ht="24" customHeight="1" x14ac:dyDescent="0.2">
      <c r="A97" s="277"/>
      <c r="B97" s="283">
        <v>32</v>
      </c>
      <c r="C97" s="52" t="s">
        <v>207</v>
      </c>
      <c r="D97" s="125"/>
      <c r="E97" s="150">
        <f>SUM(E98:E102)</f>
        <v>1637631389</v>
      </c>
      <c r="F97" s="150">
        <f t="shared" ref="F97:G97" si="39">SUM(F98:F102)</f>
        <v>525148665</v>
      </c>
      <c r="G97" s="150">
        <f t="shared" si="39"/>
        <v>306016634</v>
      </c>
    </row>
    <row r="98" spans="1:9" s="33" customFormat="1" ht="52.5" customHeight="1" x14ac:dyDescent="0.2">
      <c r="A98" s="317"/>
      <c r="B98" s="318"/>
      <c r="C98" s="98" t="s">
        <v>557</v>
      </c>
      <c r="D98" s="295" t="s">
        <v>558</v>
      </c>
      <c r="E98" s="300">
        <f>SUM('SGTO POAI -SEPTIEMBRE-2021'!BP111:BP112)</f>
        <v>82000000</v>
      </c>
      <c r="F98" s="300">
        <f>SUM('SGTO POAI -SEPTIEMBRE-2021'!BQ111:BQ112)</f>
        <v>24147833</v>
      </c>
      <c r="G98" s="300">
        <f>SUM('SGTO POAI -SEPTIEMBRE-2021'!BR111:BR112)</f>
        <v>19197833</v>
      </c>
      <c r="H98" s="19"/>
    </row>
    <row r="99" spans="1:9" s="33" customFormat="1" ht="52.5" customHeight="1" x14ac:dyDescent="0.2">
      <c r="A99" s="317"/>
      <c r="B99" s="306"/>
      <c r="C99" s="98">
        <v>3202</v>
      </c>
      <c r="D99" s="295" t="s">
        <v>568</v>
      </c>
      <c r="E99" s="300">
        <f>SUM('SGTO POAI -SEPTIEMBRE-2021'!BP113:BP118)</f>
        <v>1235631389</v>
      </c>
      <c r="F99" s="300">
        <f>SUM('SGTO POAI -SEPTIEMBRE-2021'!BQ113:BQ118)</f>
        <v>452705832</v>
      </c>
      <c r="G99" s="300">
        <f>SUM('SGTO POAI -SEPTIEMBRE-2021'!BR113:BR118)</f>
        <v>255478801</v>
      </c>
      <c r="H99" s="19"/>
    </row>
    <row r="100" spans="1:9" s="33" customFormat="1" ht="52.5" customHeight="1" x14ac:dyDescent="0.2">
      <c r="A100" s="317"/>
      <c r="B100" s="306"/>
      <c r="C100" s="98" t="s">
        <v>598</v>
      </c>
      <c r="D100" s="295" t="s">
        <v>599</v>
      </c>
      <c r="E100" s="300">
        <f>SUM('SGTO POAI -SEPTIEMBRE-2021'!BP119)</f>
        <v>120000000</v>
      </c>
      <c r="F100" s="300">
        <f>SUM('SGTO POAI -SEPTIEMBRE-2021'!BQ119)</f>
        <v>43295000</v>
      </c>
      <c r="G100" s="300">
        <f>SUM('SGTO POAI -SEPTIEMBRE-2021'!BR119)</f>
        <v>31340000</v>
      </c>
      <c r="H100" s="19"/>
    </row>
    <row r="101" spans="1:9" s="33" customFormat="1" ht="52.5" customHeight="1" x14ac:dyDescent="0.2">
      <c r="A101" s="317"/>
      <c r="B101" s="306"/>
      <c r="C101" s="98">
        <v>3205</v>
      </c>
      <c r="D101" s="295" t="s">
        <v>208</v>
      </c>
      <c r="E101" s="300">
        <f>SUM('SGTO POAI -SEPTIEMBRE-2021'!BP120:BP122)</f>
        <v>82000000</v>
      </c>
      <c r="F101" s="300">
        <f>SUM('SGTO POAI -SEPTIEMBRE-2021'!BQ120:BQ122)</f>
        <v>0</v>
      </c>
      <c r="G101" s="300">
        <f>SUM('SGTO POAI -SEPTIEMBRE-2021'!BR120:BR122)</f>
        <v>0</v>
      </c>
      <c r="H101" s="19"/>
    </row>
    <row r="102" spans="1:9" s="33" customFormat="1" ht="52.5" customHeight="1" x14ac:dyDescent="0.2">
      <c r="A102" s="319"/>
      <c r="B102" s="287"/>
      <c r="C102" s="98" t="s">
        <v>617</v>
      </c>
      <c r="D102" s="295" t="s">
        <v>618</v>
      </c>
      <c r="E102" s="300">
        <f>SUM('SGTO POAI -SEPTIEMBRE-2021'!BP123:BP125)</f>
        <v>118000000</v>
      </c>
      <c r="F102" s="300">
        <f>SUM('SGTO POAI -SEPTIEMBRE-2021'!BQ123:BQ125)</f>
        <v>5000000</v>
      </c>
      <c r="G102" s="300">
        <f>SUM('SGTO POAI -SEPTIEMBRE-2021'!BR123:BR125)</f>
        <v>0</v>
      </c>
      <c r="H102" s="19"/>
    </row>
    <row r="103" spans="1:9" s="7" customFormat="1" x14ac:dyDescent="0.2">
      <c r="A103" s="126"/>
      <c r="B103" s="126"/>
      <c r="C103" s="126"/>
      <c r="D103" s="127"/>
      <c r="E103" s="268"/>
      <c r="F103" s="268"/>
      <c r="G103" s="268"/>
      <c r="H103" s="14"/>
      <c r="I103" s="14"/>
    </row>
    <row r="104" spans="1:9" ht="24" customHeight="1" x14ac:dyDescent="0.2">
      <c r="A104" s="30" t="s">
        <v>633</v>
      </c>
      <c r="B104" s="31"/>
      <c r="C104" s="31"/>
      <c r="D104" s="32"/>
      <c r="E104" s="266">
        <f>E105</f>
        <v>1177000000</v>
      </c>
      <c r="F104" s="266">
        <f t="shared" ref="F104:G105" si="40">F105</f>
        <v>913410622.99000013</v>
      </c>
      <c r="G104" s="266">
        <f t="shared" si="40"/>
        <v>637349833</v>
      </c>
    </row>
    <row r="105" spans="1:9" ht="24" customHeight="1" x14ac:dyDescent="0.2">
      <c r="A105" s="105">
        <v>4</v>
      </c>
      <c r="B105" s="51" t="s">
        <v>37</v>
      </c>
      <c r="C105" s="51"/>
      <c r="D105" s="51"/>
      <c r="E105" s="151">
        <f>E106</f>
        <v>1177000000</v>
      </c>
      <c r="F105" s="151">
        <f t="shared" si="40"/>
        <v>913410622.99000013</v>
      </c>
      <c r="G105" s="151">
        <f t="shared" si="40"/>
        <v>637349833</v>
      </c>
    </row>
    <row r="106" spans="1:9" ht="24" customHeight="1" x14ac:dyDescent="0.2">
      <c r="A106" s="277"/>
      <c r="B106" s="283">
        <v>45</v>
      </c>
      <c r="C106" s="52" t="s">
        <v>38</v>
      </c>
      <c r="D106" s="125"/>
      <c r="E106" s="150">
        <f>SUM(E107:E108)</f>
        <v>1177000000</v>
      </c>
      <c r="F106" s="150">
        <f t="shared" ref="F106:G106" si="41">SUM(F107:F108)</f>
        <v>913410622.99000013</v>
      </c>
      <c r="G106" s="150">
        <f t="shared" si="41"/>
        <v>637349833</v>
      </c>
    </row>
    <row r="107" spans="1:9" s="321" customFormat="1" ht="74.25" customHeight="1" x14ac:dyDescent="0.25">
      <c r="A107" s="317"/>
      <c r="B107" s="318"/>
      <c r="C107" s="98">
        <v>4599</v>
      </c>
      <c r="D107" s="295" t="s">
        <v>634</v>
      </c>
      <c r="E107" s="300">
        <f>SUM('SGTO POAI -SEPTIEMBRE-2021'!BP126:BP127)</f>
        <v>1032000000</v>
      </c>
      <c r="F107" s="300">
        <f>SUM('SGTO POAI -SEPTIEMBRE-2021'!BQ126:BQ127)</f>
        <v>785852289.66000009</v>
      </c>
      <c r="G107" s="300">
        <f>SUM('SGTO POAI -SEPTIEMBRE-2021'!BR126:BR127)</f>
        <v>559869833</v>
      </c>
    </row>
    <row r="108" spans="1:9" s="33" customFormat="1" ht="54.75" customHeight="1" x14ac:dyDescent="0.2">
      <c r="A108" s="319"/>
      <c r="B108" s="287"/>
      <c r="C108" s="98">
        <v>4502</v>
      </c>
      <c r="D108" s="295" t="s">
        <v>60</v>
      </c>
      <c r="E108" s="195">
        <f>'SGTO POAI -SEPTIEMBRE-2021'!BP128</f>
        <v>145000000</v>
      </c>
      <c r="F108" s="195">
        <f>'SGTO POAI -SEPTIEMBRE-2021'!BQ128</f>
        <v>127558333.33</v>
      </c>
      <c r="G108" s="195">
        <f>'SGTO POAI -SEPTIEMBRE-2021'!BR128</f>
        <v>77480000</v>
      </c>
    </row>
    <row r="109" spans="1:9" s="7" customFormat="1" x14ac:dyDescent="0.2">
      <c r="A109" s="126"/>
      <c r="B109" s="126"/>
      <c r="C109" s="126"/>
      <c r="D109" s="127"/>
      <c r="E109" s="268"/>
      <c r="F109" s="268"/>
      <c r="G109" s="268"/>
      <c r="H109" s="14"/>
      <c r="I109" s="14"/>
    </row>
    <row r="110" spans="1:9" ht="24" customHeight="1" x14ac:dyDescent="0.2">
      <c r="A110" s="30" t="s">
        <v>651</v>
      </c>
      <c r="B110" s="31"/>
      <c r="C110" s="31"/>
      <c r="D110" s="32"/>
      <c r="E110" s="266">
        <f>E111+E115</f>
        <v>195488624347.70004</v>
      </c>
      <c r="F110" s="266">
        <f t="shared" ref="F110:G110" si="42">F111+F115</f>
        <v>130208094904.87</v>
      </c>
      <c r="G110" s="266">
        <f t="shared" si="42"/>
        <v>126818376564.37</v>
      </c>
      <c r="H110" s="1"/>
      <c r="I110" s="1"/>
    </row>
    <row r="111" spans="1:9" ht="24" customHeight="1" x14ac:dyDescent="0.2">
      <c r="A111" s="105">
        <v>1</v>
      </c>
      <c r="B111" s="51" t="s">
        <v>136</v>
      </c>
      <c r="C111" s="51"/>
      <c r="D111" s="51"/>
      <c r="E111" s="151">
        <f>E112</f>
        <v>195481124347.70004</v>
      </c>
      <c r="F111" s="151">
        <f t="shared" ref="F111:G111" si="43">F112</f>
        <v>130208094904.87</v>
      </c>
      <c r="G111" s="151">
        <f t="shared" si="43"/>
        <v>126818376564.37</v>
      </c>
      <c r="H111" s="1"/>
      <c r="I111" s="1"/>
    </row>
    <row r="112" spans="1:9" ht="24" customHeight="1" x14ac:dyDescent="0.2">
      <c r="A112" s="277"/>
      <c r="B112" s="283">
        <v>22</v>
      </c>
      <c r="C112" s="54" t="s">
        <v>156</v>
      </c>
      <c r="D112" s="125"/>
      <c r="E112" s="150">
        <f>SUM(E113:E114)</f>
        <v>195481124347.70004</v>
      </c>
      <c r="F112" s="150">
        <f t="shared" ref="F112:G112" si="44">SUM(F113:F114)</f>
        <v>130208094904.87</v>
      </c>
      <c r="G112" s="150">
        <f t="shared" si="44"/>
        <v>126818376564.37</v>
      </c>
    </row>
    <row r="113" spans="1:9" s="33" customFormat="1" ht="55.5" customHeight="1" x14ac:dyDescent="0.2">
      <c r="A113" s="306"/>
      <c r="B113" s="307"/>
      <c r="C113" s="299">
        <v>2201</v>
      </c>
      <c r="D113" s="295" t="s">
        <v>277</v>
      </c>
      <c r="E113" s="195">
        <f>SUM('SGTO POAI -SEPTIEMBRE-2021'!BP129:BP162)</f>
        <v>195076907078.70004</v>
      </c>
      <c r="F113" s="195">
        <f>SUM('SGTO POAI -SEPTIEMBRE-2021'!BQ129:BQ162)</f>
        <v>130104584092.87</v>
      </c>
      <c r="G113" s="195">
        <f>SUM('SGTO POAI -SEPTIEMBRE-2021'!BR129:BR162)</f>
        <v>126765164376.37</v>
      </c>
    </row>
    <row r="114" spans="1:9" s="33" customFormat="1" ht="55.5" customHeight="1" x14ac:dyDescent="0.2">
      <c r="A114" s="287"/>
      <c r="B114" s="308"/>
      <c r="C114" s="98">
        <v>2202</v>
      </c>
      <c r="D114" s="295" t="s">
        <v>1487</v>
      </c>
      <c r="E114" s="300">
        <f>SUM('SGTO POAI -SEPTIEMBRE-2021'!BP163)</f>
        <v>404217269</v>
      </c>
      <c r="F114" s="300">
        <f>SUM('SGTO POAI -SEPTIEMBRE-2021'!BQ163)</f>
        <v>103510812</v>
      </c>
      <c r="G114" s="300">
        <f>SUM('SGTO POAI -SEPTIEMBRE-2021'!BR163)</f>
        <v>53212188</v>
      </c>
    </row>
    <row r="115" spans="1:9" ht="24" customHeight="1" x14ac:dyDescent="0.2">
      <c r="A115" s="286">
        <v>2</v>
      </c>
      <c r="B115" s="289" t="s">
        <v>400</v>
      </c>
      <c r="C115" s="51"/>
      <c r="D115" s="51"/>
      <c r="E115" s="151">
        <f>E116</f>
        <v>7500000</v>
      </c>
      <c r="F115" s="151">
        <f t="shared" ref="F115:G116" si="45">F116</f>
        <v>0</v>
      </c>
      <c r="G115" s="151">
        <f t="shared" si="45"/>
        <v>0</v>
      </c>
      <c r="H115" s="18"/>
    </row>
    <row r="116" spans="1:9" ht="24" customHeight="1" x14ac:dyDescent="0.2">
      <c r="A116" s="277"/>
      <c r="B116" s="142">
        <v>39</v>
      </c>
      <c r="C116" s="52" t="s">
        <v>1488</v>
      </c>
      <c r="D116" s="52"/>
      <c r="E116" s="150">
        <f>E117</f>
        <v>7500000</v>
      </c>
      <c r="F116" s="150">
        <f t="shared" si="45"/>
        <v>0</v>
      </c>
      <c r="G116" s="150">
        <f t="shared" si="45"/>
        <v>0</v>
      </c>
    </row>
    <row r="117" spans="1:9" s="33" customFormat="1" ht="39.75" customHeight="1" x14ac:dyDescent="0.2">
      <c r="A117" s="287"/>
      <c r="B117" s="98"/>
      <c r="C117" s="58">
        <v>3904</v>
      </c>
      <c r="D117" s="295" t="s">
        <v>759</v>
      </c>
      <c r="E117" s="300">
        <f>'SGTO POAI -SEPTIEMBRE-2021'!BP164</f>
        <v>7500000</v>
      </c>
      <c r="F117" s="300">
        <f>'SGTO POAI -SEPTIEMBRE-2021'!BQ164</f>
        <v>0</v>
      </c>
      <c r="G117" s="300">
        <f>'SGTO POAI -SEPTIEMBRE-2021'!BR164</f>
        <v>0</v>
      </c>
    </row>
    <row r="118" spans="1:9" s="7" customFormat="1" x14ac:dyDescent="0.2">
      <c r="A118" s="126"/>
      <c r="B118" s="126"/>
      <c r="C118" s="126"/>
      <c r="D118" s="127"/>
      <c r="E118" s="268"/>
      <c r="F118" s="268"/>
      <c r="G118" s="268"/>
      <c r="H118" s="14"/>
      <c r="I118" s="14"/>
    </row>
    <row r="119" spans="1:9" s="7" customFormat="1" ht="24" customHeight="1" x14ac:dyDescent="0.2">
      <c r="A119" s="30" t="s">
        <v>767</v>
      </c>
      <c r="B119" s="31"/>
      <c r="C119" s="31"/>
      <c r="D119" s="32"/>
      <c r="E119" s="266">
        <f>E120+E129+E134</f>
        <v>6188861113.0100002</v>
      </c>
      <c r="F119" s="266">
        <f t="shared" ref="F119:G119" si="46">F120+F129+F134</f>
        <v>3490031909.25</v>
      </c>
      <c r="G119" s="266">
        <f t="shared" si="46"/>
        <v>2981879120.7600002</v>
      </c>
      <c r="H119" s="14"/>
      <c r="I119" s="14"/>
    </row>
    <row r="120" spans="1:9" s="7" customFormat="1" ht="24" customHeight="1" x14ac:dyDescent="0.2">
      <c r="A120" s="105">
        <v>1</v>
      </c>
      <c r="B120" s="51" t="s">
        <v>136</v>
      </c>
      <c r="C120" s="51"/>
      <c r="D120" s="51"/>
      <c r="E120" s="151">
        <f>E121+E123+E125</f>
        <v>5670571610.0100002</v>
      </c>
      <c r="F120" s="151">
        <f t="shared" ref="F120:G120" si="47">F121+F123+F125</f>
        <v>3126317574.25</v>
      </c>
      <c r="G120" s="151">
        <f t="shared" si="47"/>
        <v>2757649120.7600002</v>
      </c>
      <c r="H120" s="14"/>
      <c r="I120" s="14"/>
    </row>
    <row r="121" spans="1:9" ht="24" customHeight="1" x14ac:dyDescent="0.2">
      <c r="A121" s="277"/>
      <c r="B121" s="142">
        <v>19</v>
      </c>
      <c r="C121" s="52" t="s">
        <v>147</v>
      </c>
      <c r="D121" s="125"/>
      <c r="E121" s="150">
        <f>E122</f>
        <v>170000000</v>
      </c>
      <c r="F121" s="150">
        <f t="shared" ref="F121:G121" si="48">F122</f>
        <v>148763550</v>
      </c>
      <c r="G121" s="150">
        <f t="shared" si="48"/>
        <v>97280667</v>
      </c>
    </row>
    <row r="122" spans="1:9" s="37" customFormat="1" ht="51" customHeight="1" x14ac:dyDescent="0.2">
      <c r="A122" s="306"/>
      <c r="B122" s="98"/>
      <c r="C122" s="58">
        <v>1905</v>
      </c>
      <c r="D122" s="61" t="s">
        <v>768</v>
      </c>
      <c r="E122" s="300">
        <f>SUM('SGTO POAI -SEPTIEMBRE-2021'!BP165:BP166)</f>
        <v>170000000</v>
      </c>
      <c r="F122" s="300">
        <f>SUM('SGTO POAI -SEPTIEMBRE-2021'!BQ165:BQ166)</f>
        <v>148763550</v>
      </c>
      <c r="G122" s="300">
        <f>SUM('SGTO POAI -SEPTIEMBRE-2021'!BR165:BR166)</f>
        <v>97280667</v>
      </c>
    </row>
    <row r="123" spans="1:9" ht="24" customHeight="1" x14ac:dyDescent="0.2">
      <c r="A123" s="278"/>
      <c r="B123" s="142">
        <v>33</v>
      </c>
      <c r="C123" s="128" t="s">
        <v>166</v>
      </c>
      <c r="D123" s="129"/>
      <c r="E123" s="150">
        <f>E124</f>
        <v>14250000</v>
      </c>
      <c r="F123" s="150">
        <f t="shared" ref="F123:G123" si="49">F124</f>
        <v>12985000</v>
      </c>
      <c r="G123" s="150">
        <f t="shared" si="49"/>
        <v>9275000</v>
      </c>
    </row>
    <row r="124" spans="1:9" s="37" customFormat="1" ht="51.75" customHeight="1" x14ac:dyDescent="0.2">
      <c r="A124" s="306"/>
      <c r="B124" s="98"/>
      <c r="C124" s="58">
        <v>3301</v>
      </c>
      <c r="D124" s="295" t="s">
        <v>167</v>
      </c>
      <c r="E124" s="300">
        <f>'SGTO POAI -SEPTIEMBRE-2021'!BP167</f>
        <v>14250000</v>
      </c>
      <c r="F124" s="300">
        <f>'SGTO POAI -SEPTIEMBRE-2021'!BQ167</f>
        <v>12985000</v>
      </c>
      <c r="G124" s="300">
        <f>'SGTO POAI -SEPTIEMBRE-2021'!BR167</f>
        <v>9275000</v>
      </c>
    </row>
    <row r="125" spans="1:9" ht="24" customHeight="1" x14ac:dyDescent="0.2">
      <c r="A125" s="278"/>
      <c r="B125" s="283">
        <v>41</v>
      </c>
      <c r="C125" s="52" t="s">
        <v>784</v>
      </c>
      <c r="D125" s="125"/>
      <c r="E125" s="150">
        <f>SUM(E126:E128)</f>
        <v>5486321610.0100002</v>
      </c>
      <c r="F125" s="150">
        <f t="shared" ref="F125:G125" si="50">SUM(F126:F128)</f>
        <v>2964569024.25</v>
      </c>
      <c r="G125" s="150">
        <f t="shared" si="50"/>
        <v>2651093453.7600002</v>
      </c>
    </row>
    <row r="126" spans="1:9" s="37" customFormat="1" ht="53.25" customHeight="1" x14ac:dyDescent="0.2">
      <c r="A126" s="317"/>
      <c r="B126" s="318"/>
      <c r="C126" s="98">
        <v>4102</v>
      </c>
      <c r="D126" s="295" t="s">
        <v>785</v>
      </c>
      <c r="E126" s="300">
        <f>SUM('SGTO POAI -SEPTIEMBRE-2021'!BP168:BP177)</f>
        <v>1014562889</v>
      </c>
      <c r="F126" s="300">
        <f>SUM('SGTO POAI -SEPTIEMBRE-2021'!BQ168:BQ177)</f>
        <v>444972344</v>
      </c>
      <c r="G126" s="300">
        <f>SUM('SGTO POAI -SEPTIEMBRE-2021'!BR168:BR177)</f>
        <v>235470733</v>
      </c>
    </row>
    <row r="127" spans="1:9" s="37" customFormat="1" ht="48.75" customHeight="1" x14ac:dyDescent="0.2">
      <c r="A127" s="317"/>
      <c r="B127" s="306"/>
      <c r="C127" s="98">
        <v>4103</v>
      </c>
      <c r="D127" s="295" t="s">
        <v>302</v>
      </c>
      <c r="E127" s="300">
        <f>SUM('SGTO POAI -SEPTIEMBRE-2021'!BP178:BP184)</f>
        <v>233793714</v>
      </c>
      <c r="F127" s="300">
        <f>SUM('SGTO POAI -SEPTIEMBRE-2021'!BQ178:BQ184)</f>
        <v>132586612</v>
      </c>
      <c r="G127" s="300">
        <f>SUM('SGTO POAI -SEPTIEMBRE-2021'!BR178:BR184)</f>
        <v>55448387.509999998</v>
      </c>
    </row>
    <row r="128" spans="1:9" s="37" customFormat="1" ht="51.75" customHeight="1" x14ac:dyDescent="0.2">
      <c r="A128" s="319"/>
      <c r="B128" s="287"/>
      <c r="C128" s="98">
        <v>4104</v>
      </c>
      <c r="D128" s="295" t="s">
        <v>893</v>
      </c>
      <c r="E128" s="300">
        <f>SUM('SGTO POAI -SEPTIEMBRE-2021'!BP185:BP189)</f>
        <v>4237965007.0100002</v>
      </c>
      <c r="F128" s="300">
        <f>SUM('SGTO POAI -SEPTIEMBRE-2021'!BQ185:BQ189)</f>
        <v>2387010068.25</v>
      </c>
      <c r="G128" s="300">
        <f>SUM('SGTO POAI -SEPTIEMBRE-2021'!BR185:BR189)</f>
        <v>2360174333.25</v>
      </c>
    </row>
    <row r="129" spans="1:9" s="7" customFormat="1" ht="24" customHeight="1" x14ac:dyDescent="0.2">
      <c r="A129" s="286">
        <v>2</v>
      </c>
      <c r="B129" s="289" t="s">
        <v>400</v>
      </c>
      <c r="C129" s="51"/>
      <c r="D129" s="51"/>
      <c r="E129" s="151">
        <f>E130+E132</f>
        <v>56195000</v>
      </c>
      <c r="F129" s="151">
        <f t="shared" ref="F129:G129" si="51">F130+F132</f>
        <v>47095000</v>
      </c>
      <c r="G129" s="151">
        <f t="shared" si="51"/>
        <v>26210000</v>
      </c>
      <c r="H129" s="14"/>
      <c r="I129" s="14"/>
    </row>
    <row r="130" spans="1:9" ht="24" customHeight="1" x14ac:dyDescent="0.2">
      <c r="A130" s="277"/>
      <c r="B130" s="142">
        <v>17</v>
      </c>
      <c r="C130" s="52" t="s">
        <v>451</v>
      </c>
      <c r="D130" s="125"/>
      <c r="E130" s="150">
        <f>E131</f>
        <v>18000000</v>
      </c>
      <c r="F130" s="150">
        <f t="shared" ref="F130:G130" si="52">F131</f>
        <v>18000000</v>
      </c>
      <c r="G130" s="150">
        <f t="shared" si="52"/>
        <v>11540000</v>
      </c>
    </row>
    <row r="131" spans="1:9" s="37" customFormat="1" ht="51.75" customHeight="1" x14ac:dyDescent="0.2">
      <c r="A131" s="306"/>
      <c r="B131" s="98"/>
      <c r="C131" s="58">
        <v>1702</v>
      </c>
      <c r="D131" s="295" t="s">
        <v>452</v>
      </c>
      <c r="E131" s="300">
        <f>SUM('SGTO POAI -SEPTIEMBRE-2021'!BP190)</f>
        <v>18000000</v>
      </c>
      <c r="F131" s="300">
        <f>SUM('SGTO POAI -SEPTIEMBRE-2021'!BQ190)</f>
        <v>18000000</v>
      </c>
      <c r="G131" s="300">
        <f>SUM('SGTO POAI -SEPTIEMBRE-2021'!BR190)</f>
        <v>11540000</v>
      </c>
    </row>
    <row r="132" spans="1:9" ht="25.5" customHeight="1" x14ac:dyDescent="0.2">
      <c r="A132" s="278"/>
      <c r="B132" s="142">
        <v>36</v>
      </c>
      <c r="C132" s="128" t="s">
        <v>433</v>
      </c>
      <c r="D132" s="129"/>
      <c r="E132" s="150">
        <f>E133</f>
        <v>38195000</v>
      </c>
      <c r="F132" s="150">
        <f t="shared" ref="F132:G132" si="53">F133</f>
        <v>29095000</v>
      </c>
      <c r="G132" s="150">
        <f t="shared" si="53"/>
        <v>14670000</v>
      </c>
    </row>
    <row r="133" spans="1:9" s="37" customFormat="1" ht="51" customHeight="1" x14ac:dyDescent="0.2">
      <c r="A133" s="287"/>
      <c r="B133" s="98"/>
      <c r="C133" s="58">
        <v>3604</v>
      </c>
      <c r="D133" s="295" t="s">
        <v>932</v>
      </c>
      <c r="E133" s="300">
        <f>'SGTO POAI -SEPTIEMBRE-2021'!BP191</f>
        <v>38195000</v>
      </c>
      <c r="F133" s="300">
        <f>'SGTO POAI -SEPTIEMBRE-2021'!BQ191</f>
        <v>29095000</v>
      </c>
      <c r="G133" s="300">
        <f>'SGTO POAI -SEPTIEMBRE-2021'!BR191</f>
        <v>14670000</v>
      </c>
    </row>
    <row r="134" spans="1:9" s="7" customFormat="1" ht="24" customHeight="1" x14ac:dyDescent="0.2">
      <c r="A134" s="286">
        <v>4</v>
      </c>
      <c r="B134" s="51" t="s">
        <v>37</v>
      </c>
      <c r="C134" s="51"/>
      <c r="D134" s="51"/>
      <c r="E134" s="151">
        <f>E135</f>
        <v>462094503</v>
      </c>
      <c r="F134" s="151">
        <f t="shared" ref="F134:G134" si="54">F135</f>
        <v>316619335</v>
      </c>
      <c r="G134" s="151">
        <f t="shared" si="54"/>
        <v>198020000</v>
      </c>
      <c r="H134" s="14"/>
      <c r="I134" s="14"/>
    </row>
    <row r="135" spans="1:9" ht="24" customHeight="1" x14ac:dyDescent="0.2">
      <c r="A135" s="277"/>
      <c r="B135" s="283">
        <v>45</v>
      </c>
      <c r="C135" s="136" t="s">
        <v>938</v>
      </c>
      <c r="D135" s="137"/>
      <c r="E135" s="269">
        <f>SUM(E136:E137)</f>
        <v>462094503</v>
      </c>
      <c r="F135" s="269">
        <f t="shared" ref="F135:G135" si="55">SUM(F136:F137)</f>
        <v>316619335</v>
      </c>
      <c r="G135" s="269">
        <f t="shared" si="55"/>
        <v>198020000</v>
      </c>
    </row>
    <row r="136" spans="1:9" ht="50.25" customHeight="1" x14ac:dyDescent="0.2">
      <c r="A136" s="306"/>
      <c r="B136" s="322"/>
      <c r="C136" s="323">
        <v>4502</v>
      </c>
      <c r="D136" s="324" t="s">
        <v>60</v>
      </c>
      <c r="E136" s="325">
        <f>SUM('SGTO POAI -SEPTIEMBRE-2021'!BP192:BP196)</f>
        <v>251000000</v>
      </c>
      <c r="F136" s="325">
        <f>SUM('SGTO POAI -SEPTIEMBRE-2021'!BQ192:BQ196)</f>
        <v>228343313</v>
      </c>
      <c r="G136" s="325">
        <f>SUM('SGTO POAI -SEPTIEMBRE-2021'!BR192:BR196)</f>
        <v>156110000</v>
      </c>
    </row>
    <row r="137" spans="1:9" ht="76.5" customHeight="1" x14ac:dyDescent="0.2">
      <c r="A137" s="287"/>
      <c r="B137" s="322"/>
      <c r="C137" s="323">
        <v>4599</v>
      </c>
      <c r="D137" s="326" t="s">
        <v>634</v>
      </c>
      <c r="E137" s="325">
        <f>SUM('SGTO POAI -SEPTIEMBRE-2021'!BP197:BP199)</f>
        <v>211094503</v>
      </c>
      <c r="F137" s="325">
        <f>SUM('SGTO POAI -SEPTIEMBRE-2021'!BQ197:BQ199)</f>
        <v>88276022</v>
      </c>
      <c r="G137" s="325">
        <f>SUM('SGTO POAI -SEPTIEMBRE-2021'!BR197:BR199)</f>
        <v>41910000</v>
      </c>
    </row>
    <row r="138" spans="1:9" s="7" customFormat="1" x14ac:dyDescent="0.2">
      <c r="A138" s="126"/>
      <c r="B138" s="126"/>
      <c r="C138" s="126"/>
      <c r="D138" s="127"/>
      <c r="E138" s="268"/>
      <c r="F138" s="268"/>
      <c r="G138" s="268"/>
      <c r="H138" s="14"/>
      <c r="I138" s="14"/>
    </row>
    <row r="139" spans="1:9" ht="24" customHeight="1" x14ac:dyDescent="0.2">
      <c r="A139" s="30" t="s">
        <v>986</v>
      </c>
      <c r="B139" s="31"/>
      <c r="C139" s="31"/>
      <c r="D139" s="32"/>
      <c r="E139" s="266">
        <f>E140</f>
        <v>58530598681.800003</v>
      </c>
      <c r="F139" s="266">
        <f t="shared" ref="F139:G140" si="56">F140</f>
        <v>47631688135.25</v>
      </c>
      <c r="G139" s="266">
        <f t="shared" si="56"/>
        <v>38673383851.229996</v>
      </c>
    </row>
    <row r="140" spans="1:9" ht="24" customHeight="1" x14ac:dyDescent="0.2">
      <c r="A140" s="105">
        <v>1</v>
      </c>
      <c r="B140" s="51" t="s">
        <v>136</v>
      </c>
      <c r="C140" s="53"/>
      <c r="D140" s="51"/>
      <c r="E140" s="151">
        <f>E141</f>
        <v>58530598681.800003</v>
      </c>
      <c r="F140" s="151">
        <f t="shared" si="56"/>
        <v>47631688135.25</v>
      </c>
      <c r="G140" s="151">
        <f t="shared" si="56"/>
        <v>38673383851.229996</v>
      </c>
    </row>
    <row r="141" spans="1:9" ht="24" customHeight="1" x14ac:dyDescent="0.2">
      <c r="A141" s="277"/>
      <c r="B141" s="283">
        <v>19</v>
      </c>
      <c r="C141" s="52" t="s">
        <v>147</v>
      </c>
      <c r="D141" s="125"/>
      <c r="E141" s="150">
        <f>SUM(E142:E144)</f>
        <v>58530598681.800003</v>
      </c>
      <c r="F141" s="150">
        <f t="shared" ref="F141:G141" si="57">SUM(F142:F144)</f>
        <v>47631688135.25</v>
      </c>
      <c r="G141" s="150">
        <f t="shared" si="57"/>
        <v>38673383851.229996</v>
      </c>
    </row>
    <row r="142" spans="1:9" s="33" customFormat="1" ht="35.25" customHeight="1" x14ac:dyDescent="0.2">
      <c r="A142" s="306"/>
      <c r="B142" s="307"/>
      <c r="C142" s="98">
        <v>1903</v>
      </c>
      <c r="D142" s="295" t="s">
        <v>987</v>
      </c>
      <c r="E142" s="300">
        <f>SUM('SGTO POAI -SEPTIEMBRE-2021'!BP200:BP221)</f>
        <v>3182666735.21</v>
      </c>
      <c r="F142" s="300">
        <f>SUM('SGTO POAI -SEPTIEMBRE-2021'!BQ200:BQ221)</f>
        <v>1823663737.3299999</v>
      </c>
      <c r="G142" s="300">
        <f>SUM('SGTO POAI -SEPTIEMBRE-2021'!BR200:BR221)</f>
        <v>1430107256.3299999</v>
      </c>
    </row>
    <row r="143" spans="1:9" s="33" customFormat="1" ht="31.5" customHeight="1" x14ac:dyDescent="0.2">
      <c r="A143" s="306"/>
      <c r="B143" s="313"/>
      <c r="C143" s="98">
        <v>1905</v>
      </c>
      <c r="D143" s="295" t="s">
        <v>768</v>
      </c>
      <c r="E143" s="300">
        <f>SUM('SGTO POAI -SEPTIEMBRE-2021'!BP222:BP250)</f>
        <v>6444120405.7600002</v>
      </c>
      <c r="F143" s="300">
        <f>SUM('SGTO POAI -SEPTIEMBRE-2021'!BQ222:BQ250)</f>
        <v>3846915416</v>
      </c>
      <c r="G143" s="300">
        <f>SUM('SGTO POAI -SEPTIEMBRE-2021'!BR222:BR250)</f>
        <v>2401377216</v>
      </c>
    </row>
    <row r="144" spans="1:9" s="33" customFormat="1" ht="57.75" customHeight="1" x14ac:dyDescent="0.2">
      <c r="A144" s="287"/>
      <c r="B144" s="308"/>
      <c r="C144" s="98">
        <v>1906</v>
      </c>
      <c r="D144" s="295" t="s">
        <v>148</v>
      </c>
      <c r="E144" s="300">
        <f>SUM('SGTO POAI -SEPTIEMBRE-2021'!BP251:BP260)</f>
        <v>48903811540.830002</v>
      </c>
      <c r="F144" s="300">
        <f>SUM('SGTO POAI -SEPTIEMBRE-2021'!BQ251:BQ260)</f>
        <v>41961108981.919998</v>
      </c>
      <c r="G144" s="300">
        <f>SUM('SGTO POAI -SEPTIEMBRE-2021'!BR251:BR260)</f>
        <v>34841899378.899994</v>
      </c>
    </row>
    <row r="145" spans="1:9" s="7" customFormat="1" x14ac:dyDescent="0.2">
      <c r="A145" s="126"/>
      <c r="B145" s="126"/>
      <c r="C145" s="126"/>
      <c r="D145" s="127"/>
      <c r="E145" s="268"/>
      <c r="F145" s="268"/>
      <c r="G145" s="268"/>
      <c r="H145" s="14"/>
      <c r="I145" s="14"/>
    </row>
    <row r="146" spans="1:9" s="6" customFormat="1" ht="24" customHeight="1" x14ac:dyDescent="0.25">
      <c r="A146" s="30" t="s">
        <v>1201</v>
      </c>
      <c r="B146" s="31"/>
      <c r="C146" s="31"/>
      <c r="D146" s="32"/>
      <c r="E146" s="266">
        <f>E147+E151+E155</f>
        <v>1196000000</v>
      </c>
      <c r="F146" s="266">
        <f t="shared" ref="F146:G146" si="58">F147+F151+F155</f>
        <v>665187500</v>
      </c>
      <c r="G146" s="266">
        <f t="shared" si="58"/>
        <v>366524167</v>
      </c>
      <c r="H146" s="5"/>
      <c r="I146" s="5"/>
    </row>
    <row r="147" spans="1:9" s="6" customFormat="1" ht="24" customHeight="1" x14ac:dyDescent="0.25">
      <c r="A147" s="105">
        <v>1</v>
      </c>
      <c r="B147" s="51" t="s">
        <v>136</v>
      </c>
      <c r="C147" s="51"/>
      <c r="D147" s="51"/>
      <c r="E147" s="151">
        <f>E148</f>
        <v>820000000</v>
      </c>
      <c r="F147" s="151">
        <f t="shared" ref="F147:G147" si="59">F148</f>
        <v>369828667</v>
      </c>
      <c r="G147" s="151">
        <f t="shared" si="59"/>
        <v>221105334</v>
      </c>
      <c r="H147" s="5"/>
      <c r="I147" s="5"/>
    </row>
    <row r="148" spans="1:9" ht="24" customHeight="1" x14ac:dyDescent="0.2">
      <c r="A148" s="277"/>
      <c r="B148" s="283">
        <v>23</v>
      </c>
      <c r="C148" s="52" t="s">
        <v>1202</v>
      </c>
      <c r="D148" s="125"/>
      <c r="E148" s="150">
        <f>SUM(E149:E150)</f>
        <v>820000000</v>
      </c>
      <c r="F148" s="150">
        <f t="shared" ref="F148:G148" si="60">SUM(F149:F150)</f>
        <v>369828667</v>
      </c>
      <c r="G148" s="150">
        <f t="shared" si="60"/>
        <v>221105334</v>
      </c>
    </row>
    <row r="149" spans="1:9" s="321" customFormat="1" ht="75.75" customHeight="1" x14ac:dyDescent="0.25">
      <c r="A149" s="306"/>
      <c r="B149" s="307"/>
      <c r="C149" s="299">
        <v>2301</v>
      </c>
      <c r="D149" s="295" t="s">
        <v>1203</v>
      </c>
      <c r="E149" s="300">
        <f>SUM('SGTO POAI -SEPTIEMBRE-2021'!BP261:BP269)</f>
        <v>674000000</v>
      </c>
      <c r="F149" s="300">
        <f>SUM('SGTO POAI -SEPTIEMBRE-2021'!BQ261:BQ269)</f>
        <v>276633333</v>
      </c>
      <c r="G149" s="300">
        <f>SUM('SGTO POAI -SEPTIEMBRE-2021'!BR261:BR269)</f>
        <v>136465000</v>
      </c>
    </row>
    <row r="150" spans="1:9" s="321" customFormat="1" ht="76.5" customHeight="1" x14ac:dyDescent="0.25">
      <c r="A150" s="287"/>
      <c r="B150" s="308"/>
      <c r="C150" s="299">
        <v>2302</v>
      </c>
      <c r="D150" s="295" t="s">
        <v>1492</v>
      </c>
      <c r="E150" s="300">
        <f>SUM('SGTO POAI -SEPTIEMBRE-2021'!BP270:BP274)</f>
        <v>146000000</v>
      </c>
      <c r="F150" s="300">
        <f>SUM('SGTO POAI -SEPTIEMBRE-2021'!BQ270:BQ274)</f>
        <v>93195334</v>
      </c>
      <c r="G150" s="300">
        <f>SUM('SGTO POAI -SEPTIEMBRE-2021'!BR270:BR274)</f>
        <v>84640334</v>
      </c>
    </row>
    <row r="151" spans="1:9" s="6" customFormat="1" ht="24" customHeight="1" x14ac:dyDescent="0.25">
      <c r="A151" s="286">
        <v>2</v>
      </c>
      <c r="B151" s="289" t="s">
        <v>400</v>
      </c>
      <c r="C151" s="51"/>
      <c r="D151" s="51"/>
      <c r="E151" s="151">
        <f>E152</f>
        <v>78000000</v>
      </c>
      <c r="F151" s="151">
        <f t="shared" ref="F151:G151" si="61">F152</f>
        <v>49778833</v>
      </c>
      <c r="G151" s="151">
        <f t="shared" si="61"/>
        <v>25868833</v>
      </c>
      <c r="H151" s="5"/>
      <c r="I151" s="5"/>
    </row>
    <row r="152" spans="1:9" ht="24" customHeight="1" x14ac:dyDescent="0.2">
      <c r="A152" s="277"/>
      <c r="B152" s="283">
        <v>39</v>
      </c>
      <c r="C152" s="136" t="s">
        <v>1488</v>
      </c>
      <c r="D152" s="125"/>
      <c r="E152" s="150">
        <f>SUM(E153:E154)</f>
        <v>78000000</v>
      </c>
      <c r="F152" s="150">
        <f t="shared" ref="F152:G152" si="62">SUM(F153:F154)</f>
        <v>49778833</v>
      </c>
      <c r="G152" s="150">
        <f t="shared" si="62"/>
        <v>25868833</v>
      </c>
    </row>
    <row r="153" spans="1:9" s="321" customFormat="1" ht="44.25" customHeight="1" x14ac:dyDescent="0.25">
      <c r="A153" s="306"/>
      <c r="B153" s="102"/>
      <c r="C153" s="327" t="s">
        <v>1243</v>
      </c>
      <c r="D153" s="328" t="s">
        <v>1244</v>
      </c>
      <c r="E153" s="300">
        <f>SUM('SGTO POAI -SEPTIEMBRE-2021'!BP275:BP277)</f>
        <v>60000000</v>
      </c>
      <c r="F153" s="300">
        <f>SUM('SGTO POAI -SEPTIEMBRE-2021'!BQ275:BQ277)</f>
        <v>43178833</v>
      </c>
      <c r="G153" s="300">
        <f>SUM('SGTO POAI -SEPTIEMBRE-2021'!BR275:BR277)</f>
        <v>25868833</v>
      </c>
    </row>
    <row r="154" spans="1:9" s="321" customFormat="1" ht="44.25" customHeight="1" x14ac:dyDescent="0.25">
      <c r="A154" s="287"/>
      <c r="B154" s="102"/>
      <c r="C154" s="327">
        <v>3904</v>
      </c>
      <c r="D154" s="328" t="s">
        <v>759</v>
      </c>
      <c r="E154" s="300">
        <f>'SGTO POAI -SEPTIEMBRE-2021'!BP278</f>
        <v>18000000</v>
      </c>
      <c r="F154" s="300">
        <f>'SGTO POAI -SEPTIEMBRE-2021'!BQ278</f>
        <v>6600000</v>
      </c>
      <c r="G154" s="300">
        <f>'SGTO POAI -SEPTIEMBRE-2021'!BR278</f>
        <v>0</v>
      </c>
    </row>
    <row r="155" spans="1:9" s="6" customFormat="1" ht="24" customHeight="1" x14ac:dyDescent="0.25">
      <c r="A155" s="286">
        <v>4</v>
      </c>
      <c r="B155" s="289" t="s">
        <v>37</v>
      </c>
      <c r="C155" s="289"/>
      <c r="D155" s="51"/>
      <c r="E155" s="151">
        <f>E156</f>
        <v>298000000</v>
      </c>
      <c r="F155" s="151">
        <f t="shared" ref="F155:G156" si="63">F156</f>
        <v>245580000</v>
      </c>
      <c r="G155" s="151">
        <f t="shared" si="63"/>
        <v>119550000</v>
      </c>
      <c r="H155" s="5"/>
      <c r="I155" s="5"/>
    </row>
    <row r="156" spans="1:9" ht="24" customHeight="1" x14ac:dyDescent="0.2">
      <c r="A156" s="277"/>
      <c r="B156" s="142">
        <v>23</v>
      </c>
      <c r="C156" s="52" t="s">
        <v>1202</v>
      </c>
      <c r="D156" s="52"/>
      <c r="E156" s="150">
        <f>E157</f>
        <v>298000000</v>
      </c>
      <c r="F156" s="150">
        <f t="shared" si="63"/>
        <v>245580000</v>
      </c>
      <c r="G156" s="150">
        <f t="shared" si="63"/>
        <v>119550000</v>
      </c>
    </row>
    <row r="157" spans="1:9" s="321" customFormat="1" ht="99.75" customHeight="1" x14ac:dyDescent="0.25">
      <c r="A157" s="287"/>
      <c r="B157" s="98"/>
      <c r="C157" s="74">
        <v>2302</v>
      </c>
      <c r="D157" s="295" t="s">
        <v>1492</v>
      </c>
      <c r="E157" s="300">
        <f>SUM('SGTO POAI -SEPTIEMBRE-2021'!BP279:BP284)</f>
        <v>298000000</v>
      </c>
      <c r="F157" s="300">
        <f>SUM('SGTO POAI -SEPTIEMBRE-2021'!BQ279:BQ284)</f>
        <v>245580000</v>
      </c>
      <c r="G157" s="300">
        <f>SUM('SGTO POAI -SEPTIEMBRE-2021'!BR279:BR284)</f>
        <v>119550000</v>
      </c>
    </row>
    <row r="158" spans="1:9" s="7" customFormat="1" ht="18.75" customHeight="1" x14ac:dyDescent="0.2">
      <c r="A158" s="126"/>
      <c r="B158" s="126"/>
      <c r="C158" s="126"/>
      <c r="D158" s="127"/>
      <c r="E158" s="268"/>
      <c r="F158" s="268"/>
      <c r="G158" s="268"/>
      <c r="H158" s="14"/>
      <c r="I158" s="14"/>
    </row>
    <row r="159" spans="1:9" s="22" customFormat="1" ht="30" customHeight="1" x14ac:dyDescent="0.25">
      <c r="A159" s="138" t="s">
        <v>1276</v>
      </c>
      <c r="B159" s="139"/>
      <c r="C159" s="138"/>
      <c r="D159" s="140"/>
      <c r="E159" s="270">
        <f>E7+E13+E19+E24+E49+E71+E77+E84+E104+E110+E119+E139+E146</f>
        <v>300874324699.38007</v>
      </c>
      <c r="F159" s="270">
        <f t="shared" ref="F159:G159" si="64">F7+F13+F19+F24+F49+F71+F77+F84+F104+F110+F119+F139+F146</f>
        <v>199543937171.60001</v>
      </c>
      <c r="G159" s="270">
        <f t="shared" si="64"/>
        <v>178726340061.37</v>
      </c>
      <c r="H159" s="21"/>
      <c r="I159" s="21"/>
    </row>
    <row r="160" spans="1:9" s="7" customFormat="1" ht="29.25" customHeight="1" x14ac:dyDescent="0.2">
      <c r="A160" s="126"/>
      <c r="B160" s="126"/>
      <c r="C160" s="126"/>
      <c r="D160" s="127"/>
      <c r="E160" s="268"/>
      <c r="F160" s="268"/>
      <c r="G160" s="268"/>
      <c r="H160" s="14"/>
      <c r="I160" s="14"/>
    </row>
    <row r="161" spans="1:9" ht="24" customHeight="1" x14ac:dyDescent="0.2">
      <c r="A161" s="30" t="s">
        <v>1277</v>
      </c>
      <c r="B161" s="31"/>
      <c r="C161" s="31"/>
      <c r="D161" s="32"/>
      <c r="E161" s="266">
        <f>E162</f>
        <v>13105059806.029999</v>
      </c>
      <c r="F161" s="266">
        <f t="shared" ref="F161:G162" si="65">F162</f>
        <v>3806286205.8599997</v>
      </c>
      <c r="G161" s="266">
        <f t="shared" si="65"/>
        <v>2740223144.8599997</v>
      </c>
    </row>
    <row r="162" spans="1:9" ht="24" customHeight="1" x14ac:dyDescent="0.2">
      <c r="A162" s="105">
        <v>1</v>
      </c>
      <c r="B162" s="51" t="s">
        <v>136</v>
      </c>
      <c r="C162" s="51"/>
      <c r="D162" s="51"/>
      <c r="E162" s="151">
        <f>E163</f>
        <v>13105059806.029999</v>
      </c>
      <c r="F162" s="151">
        <f t="shared" si="65"/>
        <v>3806286205.8599997</v>
      </c>
      <c r="G162" s="151">
        <f t="shared" si="65"/>
        <v>2740223144.8599997</v>
      </c>
    </row>
    <row r="163" spans="1:9" ht="24" customHeight="1" x14ac:dyDescent="0.2">
      <c r="A163" s="277"/>
      <c r="B163" s="283">
        <v>43</v>
      </c>
      <c r="C163" s="52" t="s">
        <v>176</v>
      </c>
      <c r="D163" s="125"/>
      <c r="E163" s="150">
        <f>SUM(E164:E165)</f>
        <v>13105059806.029999</v>
      </c>
      <c r="F163" s="150">
        <f t="shared" ref="F163:G163" si="66">SUM(F164:F165)</f>
        <v>3806286205.8599997</v>
      </c>
      <c r="G163" s="150">
        <f t="shared" si="66"/>
        <v>2740223144.8599997</v>
      </c>
    </row>
    <row r="164" spans="1:9" s="33" customFormat="1" ht="76.5" customHeight="1" x14ac:dyDescent="0.2">
      <c r="A164" s="317"/>
      <c r="B164" s="318"/>
      <c r="C164" s="98">
        <v>4301</v>
      </c>
      <c r="D164" s="329" t="s">
        <v>177</v>
      </c>
      <c r="E164" s="300">
        <f>SUM('SGTO POAI -SEPTIEMBRE-2021'!BP285:BP288)</f>
        <v>5326871683.9799995</v>
      </c>
      <c r="F164" s="300">
        <f>SUM('SGTO POAI -SEPTIEMBRE-2021'!BQ285:BQ288)</f>
        <v>1835911299.6800001</v>
      </c>
      <c r="G164" s="300">
        <f>SUM('SGTO POAI -SEPTIEMBRE-2021'!BR285:BR288)</f>
        <v>1440934905.8599999</v>
      </c>
    </row>
    <row r="165" spans="1:9" s="33" customFormat="1" ht="37.5" customHeight="1" x14ac:dyDescent="0.2">
      <c r="A165" s="319"/>
      <c r="B165" s="287"/>
      <c r="C165" s="98">
        <v>4302</v>
      </c>
      <c r="D165" s="329" t="s">
        <v>1291</v>
      </c>
      <c r="E165" s="300">
        <f>SUM('SGTO POAI -SEPTIEMBRE-2021'!BP289:BP290)</f>
        <v>7778188122.0500002</v>
      </c>
      <c r="F165" s="300">
        <f>SUM('SGTO POAI -SEPTIEMBRE-2021'!BQ289:BQ290)</f>
        <v>1970374906.1799998</v>
      </c>
      <c r="G165" s="300">
        <f>SUM('SGTO POAI -SEPTIEMBRE-2021'!BR289:BR290)</f>
        <v>1299288239</v>
      </c>
    </row>
    <row r="166" spans="1:9" s="7" customFormat="1" ht="18.75" customHeight="1" x14ac:dyDescent="0.2">
      <c r="A166" s="126"/>
      <c r="B166" s="126"/>
      <c r="C166" s="126"/>
      <c r="D166" s="127"/>
      <c r="E166" s="268"/>
      <c r="F166" s="268"/>
      <c r="G166" s="268"/>
      <c r="H166" s="14"/>
      <c r="I166" s="14"/>
    </row>
    <row r="167" spans="1:9" s="7" customFormat="1" ht="24" customHeight="1" x14ac:dyDescent="0.2">
      <c r="A167" s="30" t="s">
        <v>1303</v>
      </c>
      <c r="B167" s="31"/>
      <c r="C167" s="31"/>
      <c r="D167" s="32"/>
      <c r="E167" s="266">
        <f>E168+E173</f>
        <v>2195124680.0799999</v>
      </c>
      <c r="F167" s="266">
        <f t="shared" ref="F167:G167" si="67">F168+F173</f>
        <v>940694483.35205007</v>
      </c>
      <c r="G167" s="266">
        <f t="shared" si="67"/>
        <v>483545815.74599999</v>
      </c>
      <c r="H167" s="14"/>
      <c r="I167" s="14"/>
    </row>
    <row r="168" spans="1:9" s="7" customFormat="1" ht="24" customHeight="1" x14ac:dyDescent="0.2">
      <c r="A168" s="105">
        <v>1</v>
      </c>
      <c r="B168" s="51" t="s">
        <v>136</v>
      </c>
      <c r="C168" s="51"/>
      <c r="D168" s="51"/>
      <c r="E168" s="151">
        <f>E169+E171</f>
        <v>637311286.8499999</v>
      </c>
      <c r="F168" s="151">
        <f t="shared" ref="F168:G168" si="68">F169+F171</f>
        <v>125312138.8459999</v>
      </c>
      <c r="G168" s="151">
        <f t="shared" si="68"/>
        <v>21574999.899999999</v>
      </c>
      <c r="H168" s="14"/>
      <c r="I168" s="14"/>
    </row>
    <row r="169" spans="1:9" ht="24" customHeight="1" x14ac:dyDescent="0.2">
      <c r="A169" s="277"/>
      <c r="B169" s="290">
        <v>43</v>
      </c>
      <c r="C169" s="91" t="s">
        <v>176</v>
      </c>
      <c r="D169" s="125"/>
      <c r="E169" s="150">
        <f>E170</f>
        <v>308302422.89999998</v>
      </c>
      <c r="F169" s="150">
        <f t="shared" ref="F169:G169" si="69">F170</f>
        <v>83625087.285999894</v>
      </c>
      <c r="G169" s="150">
        <f t="shared" si="69"/>
        <v>6574999.8999999985</v>
      </c>
    </row>
    <row r="170" spans="1:9" s="37" customFormat="1" ht="76.5" customHeight="1" x14ac:dyDescent="0.2">
      <c r="A170" s="330"/>
      <c r="B170" s="299"/>
      <c r="C170" s="58">
        <v>4301</v>
      </c>
      <c r="D170" s="295" t="s">
        <v>177</v>
      </c>
      <c r="E170" s="300">
        <f>'SGTO POAI -SEPTIEMBRE-2021'!BP291</f>
        <v>308302422.89999998</v>
      </c>
      <c r="F170" s="300">
        <f>'SGTO POAI -SEPTIEMBRE-2021'!BQ291</f>
        <v>83625087.285999894</v>
      </c>
      <c r="G170" s="300">
        <f>'SGTO POAI -SEPTIEMBRE-2021'!BR291</f>
        <v>6574999.8999999985</v>
      </c>
    </row>
    <row r="171" spans="1:9" ht="24" customHeight="1" x14ac:dyDescent="0.2">
      <c r="A171" s="278"/>
      <c r="B171" s="290">
        <v>22</v>
      </c>
      <c r="C171" s="142" t="s">
        <v>156</v>
      </c>
      <c r="D171" s="125"/>
      <c r="E171" s="150">
        <f>E172</f>
        <v>329008863.94999999</v>
      </c>
      <c r="F171" s="150">
        <f t="shared" ref="F171:G171" si="70">F172</f>
        <v>41687051.560000002</v>
      </c>
      <c r="G171" s="150">
        <f t="shared" si="70"/>
        <v>15000000</v>
      </c>
    </row>
    <row r="172" spans="1:9" s="37" customFormat="1" ht="53.25" customHeight="1" x14ac:dyDescent="0.2">
      <c r="A172" s="331"/>
      <c r="B172" s="299"/>
      <c r="C172" s="58">
        <v>2201</v>
      </c>
      <c r="D172" s="295" t="s">
        <v>277</v>
      </c>
      <c r="E172" s="300">
        <f>'SGTO POAI -SEPTIEMBRE-2021'!BP292</f>
        <v>329008863.94999999</v>
      </c>
      <c r="F172" s="300">
        <f>'SGTO POAI -SEPTIEMBRE-2021'!BQ292</f>
        <v>41687051.560000002</v>
      </c>
      <c r="G172" s="300">
        <f>'SGTO POAI -SEPTIEMBRE-2021'!BR292</f>
        <v>15000000</v>
      </c>
    </row>
    <row r="173" spans="1:9" s="7" customFormat="1" ht="24" customHeight="1" x14ac:dyDescent="0.2">
      <c r="A173" s="286">
        <v>3</v>
      </c>
      <c r="B173" s="51" t="s">
        <v>186</v>
      </c>
      <c r="C173" s="51"/>
      <c r="D173" s="51"/>
      <c r="E173" s="151">
        <f>E174+E176</f>
        <v>1557813393.23</v>
      </c>
      <c r="F173" s="151">
        <f t="shared" ref="F173:G173" si="71">F174+F176</f>
        <v>815382344.50605011</v>
      </c>
      <c r="G173" s="151">
        <f t="shared" si="71"/>
        <v>461970815.84600002</v>
      </c>
      <c r="H173" s="14"/>
      <c r="I173" s="14"/>
    </row>
    <row r="174" spans="1:9" ht="24" customHeight="1" x14ac:dyDescent="0.2">
      <c r="A174" s="277"/>
      <c r="B174" s="290">
        <v>24</v>
      </c>
      <c r="C174" s="142" t="s">
        <v>187</v>
      </c>
      <c r="D174" s="129"/>
      <c r="E174" s="150">
        <f>E175</f>
        <v>348896731.19999999</v>
      </c>
      <c r="F174" s="150">
        <f t="shared" ref="F174:G174" si="72">F175</f>
        <v>118726877.62840003</v>
      </c>
      <c r="G174" s="150">
        <f t="shared" si="72"/>
        <v>99450239.376000002</v>
      </c>
    </row>
    <row r="175" spans="1:9" s="7" customFormat="1" ht="42" customHeight="1" x14ac:dyDescent="0.2">
      <c r="A175" s="332"/>
      <c r="B175" s="333"/>
      <c r="C175" s="58">
        <v>2402</v>
      </c>
      <c r="D175" s="294" t="s">
        <v>188</v>
      </c>
      <c r="E175" s="334">
        <f>'SGTO POAI -SEPTIEMBRE-2021'!BP293</f>
        <v>348896731.19999999</v>
      </c>
      <c r="F175" s="334">
        <f>'SGTO POAI -SEPTIEMBRE-2021'!BQ293</f>
        <v>118726877.62840003</v>
      </c>
      <c r="G175" s="334">
        <f>'SGTO POAI -SEPTIEMBRE-2021'!BR293</f>
        <v>99450239.376000002</v>
      </c>
      <c r="H175" s="14"/>
      <c r="I175" s="14"/>
    </row>
    <row r="176" spans="1:9" ht="24" customHeight="1" x14ac:dyDescent="0.2">
      <c r="A176" s="278"/>
      <c r="B176" s="290">
        <v>40</v>
      </c>
      <c r="C176" s="91" t="s">
        <v>221</v>
      </c>
      <c r="D176" s="129"/>
      <c r="E176" s="150">
        <f>E177</f>
        <v>1208916662.03</v>
      </c>
      <c r="F176" s="150">
        <f t="shared" ref="F176:G176" si="73">F177</f>
        <v>696655466.87765002</v>
      </c>
      <c r="G176" s="150">
        <f t="shared" si="73"/>
        <v>362520576.47000003</v>
      </c>
    </row>
    <row r="177" spans="1:9" s="7" customFormat="1" ht="44.25" customHeight="1" x14ac:dyDescent="0.2">
      <c r="A177" s="335"/>
      <c r="B177" s="333"/>
      <c r="C177" s="58">
        <v>4001</v>
      </c>
      <c r="D177" s="336" t="s">
        <v>222</v>
      </c>
      <c r="E177" s="334">
        <f>SUM('SGTO POAI -SEPTIEMBRE-2021'!BP294:BP300)</f>
        <v>1208916662.03</v>
      </c>
      <c r="F177" s="334">
        <f>SUM('SGTO POAI -SEPTIEMBRE-2021'!BQ294:BQ300)</f>
        <v>696655466.87765002</v>
      </c>
      <c r="G177" s="334">
        <f>SUM('SGTO POAI -SEPTIEMBRE-2021'!BR294:BR300)</f>
        <v>362520576.47000003</v>
      </c>
      <c r="H177" s="14"/>
      <c r="I177" s="14"/>
    </row>
    <row r="178" spans="1:9" s="7" customFormat="1" ht="18.75" customHeight="1" x14ac:dyDescent="0.2">
      <c r="A178" s="126"/>
      <c r="B178" s="126"/>
      <c r="C178" s="126"/>
      <c r="D178" s="127"/>
      <c r="E178" s="268"/>
      <c r="F178" s="268"/>
      <c r="G178" s="268"/>
      <c r="H178" s="14"/>
      <c r="I178" s="14"/>
    </row>
    <row r="179" spans="1:9" ht="24" customHeight="1" x14ac:dyDescent="0.2">
      <c r="A179" s="30" t="s">
        <v>1337</v>
      </c>
      <c r="B179" s="31"/>
      <c r="C179" s="31"/>
      <c r="D179" s="32"/>
      <c r="E179" s="266">
        <f>E180</f>
        <v>110210000</v>
      </c>
      <c r="F179" s="266">
        <f t="shared" ref="F179:G181" si="74">F180</f>
        <v>87445000</v>
      </c>
      <c r="G179" s="266">
        <f t="shared" si="74"/>
        <v>68700000</v>
      </c>
    </row>
    <row r="180" spans="1:9" ht="24" customHeight="1" x14ac:dyDescent="0.2">
      <c r="A180" s="105">
        <v>3</v>
      </c>
      <c r="B180" s="51" t="s">
        <v>186</v>
      </c>
      <c r="C180" s="51"/>
      <c r="D180" s="51"/>
      <c r="E180" s="151">
        <f>E181</f>
        <v>110210000</v>
      </c>
      <c r="F180" s="151">
        <f t="shared" si="74"/>
        <v>87445000</v>
      </c>
      <c r="G180" s="151">
        <f t="shared" si="74"/>
        <v>68700000</v>
      </c>
    </row>
    <row r="181" spans="1:9" ht="24" customHeight="1" x14ac:dyDescent="0.2">
      <c r="A181" s="277"/>
      <c r="B181" s="142">
        <v>24</v>
      </c>
      <c r="C181" s="143" t="s">
        <v>187</v>
      </c>
      <c r="D181" s="129"/>
      <c r="E181" s="150">
        <f>E182</f>
        <v>110210000</v>
      </c>
      <c r="F181" s="150">
        <f t="shared" si="74"/>
        <v>87445000</v>
      </c>
      <c r="G181" s="150">
        <f t="shared" si="74"/>
        <v>68700000</v>
      </c>
    </row>
    <row r="182" spans="1:9" s="33" customFormat="1" ht="54" customHeight="1" x14ac:dyDescent="0.2">
      <c r="A182" s="287"/>
      <c r="B182" s="98"/>
      <c r="C182" s="58">
        <v>2409</v>
      </c>
      <c r="D182" s="295" t="s">
        <v>1338</v>
      </c>
      <c r="E182" s="300">
        <f>SUM('SGTO POAI -SEPTIEMBRE-2021'!BP301:BP304)</f>
        <v>110210000</v>
      </c>
      <c r="F182" s="300">
        <f>SUM('SGTO POAI -SEPTIEMBRE-2021'!BQ301:BQ304)</f>
        <v>87445000</v>
      </c>
      <c r="G182" s="300">
        <f>SUM('SGTO POAI -SEPTIEMBRE-2021'!BR301:BR304)</f>
        <v>68700000</v>
      </c>
    </row>
    <row r="183" spans="1:9" s="39" customFormat="1" ht="23.25" customHeight="1" x14ac:dyDescent="0.2">
      <c r="A183" s="9"/>
      <c r="B183" s="9"/>
      <c r="C183" s="9"/>
      <c r="D183" s="10"/>
      <c r="E183" s="271"/>
      <c r="F183" s="271"/>
      <c r="G183" s="271"/>
      <c r="H183" s="14"/>
      <c r="I183" s="14"/>
    </row>
    <row r="184" spans="1:9" s="28" customFormat="1" ht="30" customHeight="1" x14ac:dyDescent="0.25">
      <c r="A184" s="138" t="s">
        <v>1355</v>
      </c>
      <c r="B184" s="138"/>
      <c r="C184" s="138"/>
      <c r="D184" s="138"/>
      <c r="E184" s="272">
        <f>E179+E167+E161</f>
        <v>15410394486.109999</v>
      </c>
      <c r="F184" s="272">
        <f t="shared" ref="F184:G184" si="75">F179+F167+F161</f>
        <v>4834425689.2120495</v>
      </c>
      <c r="G184" s="272">
        <f t="shared" si="75"/>
        <v>3292468960.6059999</v>
      </c>
    </row>
    <row r="185" spans="1:9" s="28" customFormat="1" ht="16.5" thickBot="1" x14ac:dyDescent="0.3">
      <c r="A185" s="26"/>
      <c r="B185" s="26"/>
      <c r="C185" s="26"/>
      <c r="D185" s="27"/>
      <c r="E185" s="273"/>
      <c r="F185" s="273"/>
      <c r="G185" s="273"/>
    </row>
    <row r="186" spans="1:9" s="28" customFormat="1" ht="30" customHeight="1" thickBot="1" x14ac:dyDescent="0.3">
      <c r="A186" s="81" t="s">
        <v>1356</v>
      </c>
      <c r="B186" s="82"/>
      <c r="C186" s="82"/>
      <c r="D186" s="83"/>
      <c r="E186" s="274">
        <f>E159+E184</f>
        <v>316284719185.49005</v>
      </c>
      <c r="F186" s="274">
        <f t="shared" ref="F186:G186" si="76">F159+F184</f>
        <v>204378362860.81204</v>
      </c>
      <c r="G186" s="274">
        <f t="shared" si="76"/>
        <v>182018809021.97598</v>
      </c>
    </row>
    <row r="188" spans="1:9" ht="28.5" customHeight="1" x14ac:dyDescent="0.2"/>
  </sheetData>
  <sheetProtection algorithmName="SHA-512" hashValue="cUihNGncOkfE9tR2OfrmK4ibzcmagvPaafXRElTxOPNPx+0+Hr0RPsVc5U4W4wpNEEJngDp36cbuCWmo+ce/UQ==" saltValue="zGphk4/XXHE/GQQQVpN9QA==" spinCount="100000" sheet="1" objects="1" scenarios="1"/>
  <mergeCells count="3">
    <mergeCell ref="C5:D5"/>
    <mergeCell ref="E5:G5"/>
    <mergeCell ref="A1:G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I215"/>
  <sheetViews>
    <sheetView showGridLines="0" zoomScale="60" zoomScaleNormal="60" workbookViewId="0">
      <selection activeCell="C4" sqref="C4:BQ4"/>
    </sheetView>
  </sheetViews>
  <sheetFormatPr baseColWidth="10" defaultColWidth="11.42578125" defaultRowHeight="15" x14ac:dyDescent="0.2"/>
  <cols>
    <col min="1" max="1" width="15.85546875" style="1" customWidth="1"/>
    <col min="2" max="2" width="18.5703125" style="9" customWidth="1"/>
    <col min="3" max="3" width="13.85546875" style="9" customWidth="1"/>
    <col min="4" max="4" width="15" style="9" customWidth="1"/>
    <col min="5" max="5" width="70.7109375" style="10" customWidth="1"/>
    <col min="6" max="6" width="35.85546875" style="10" customWidth="1"/>
    <col min="7" max="7" width="35.140625" style="16" customWidth="1"/>
    <col min="8" max="8" width="33.5703125" style="2" customWidth="1"/>
    <col min="9" max="9" width="36.28515625" style="2" customWidth="1"/>
    <col min="10" max="10" width="32.140625" style="2" customWidth="1"/>
    <col min="11" max="11" width="33.140625" style="2" customWidth="1"/>
    <col min="12" max="12" width="31.5703125" style="40" customWidth="1"/>
    <col min="13" max="13" width="35.5703125" style="1" customWidth="1"/>
    <col min="14" max="14" width="32.5703125" style="1" customWidth="1"/>
    <col min="15" max="15" width="30.7109375" style="1" customWidth="1"/>
    <col min="16" max="18" width="29.5703125" style="1" customWidth="1"/>
    <col min="19" max="21" width="31.7109375" style="1" customWidth="1"/>
    <col min="22" max="24" width="32.28515625" style="1" customWidth="1"/>
    <col min="25" max="27" width="30.140625" style="1" customWidth="1"/>
    <col min="28" max="30" width="33.7109375" style="1" customWidth="1"/>
    <col min="31" max="16384" width="11.42578125" style="1"/>
  </cols>
  <sheetData>
    <row r="1" spans="1:14" ht="42" customHeight="1" x14ac:dyDescent="0.2">
      <c r="A1" s="560" t="s">
        <v>1678</v>
      </c>
      <c r="B1" s="561"/>
      <c r="C1" s="561"/>
      <c r="D1" s="561"/>
      <c r="E1" s="561"/>
      <c r="F1" s="561"/>
      <c r="G1" s="561"/>
      <c r="H1" s="561"/>
      <c r="I1" s="561"/>
      <c r="J1" s="561"/>
      <c r="K1" s="561"/>
      <c r="L1" s="561"/>
      <c r="M1" s="561"/>
      <c r="N1" s="561"/>
    </row>
    <row r="2" spans="1:14" ht="27.75" customHeight="1" x14ac:dyDescent="0.2">
      <c r="A2" s="561"/>
      <c r="B2" s="561"/>
      <c r="C2" s="561"/>
      <c r="D2" s="561"/>
      <c r="E2" s="561"/>
      <c r="F2" s="561"/>
      <c r="G2" s="561"/>
      <c r="H2" s="561"/>
      <c r="I2" s="561"/>
      <c r="J2" s="561"/>
      <c r="K2" s="561"/>
      <c r="L2" s="561"/>
      <c r="M2" s="561"/>
      <c r="N2" s="561"/>
    </row>
    <row r="3" spans="1:14" ht="27.75" customHeight="1" x14ac:dyDescent="0.2">
      <c r="A3" s="561"/>
      <c r="B3" s="561"/>
      <c r="C3" s="561"/>
      <c r="D3" s="561"/>
      <c r="E3" s="561"/>
      <c r="F3" s="561"/>
      <c r="G3" s="561"/>
      <c r="H3" s="561"/>
      <c r="I3" s="561"/>
      <c r="J3" s="561"/>
      <c r="K3" s="561"/>
      <c r="L3" s="561"/>
      <c r="M3" s="561"/>
      <c r="N3" s="561"/>
    </row>
    <row r="4" spans="1:14" ht="24.75" customHeight="1" x14ac:dyDescent="0.2">
      <c r="B4" s="23"/>
      <c r="C4" s="24"/>
      <c r="D4" s="24"/>
      <c r="E4" s="24"/>
      <c r="F4" s="24"/>
    </row>
    <row r="5" spans="1:14" s="4" customFormat="1" ht="24" customHeight="1" x14ac:dyDescent="0.25">
      <c r="A5" s="558" t="s">
        <v>4</v>
      </c>
      <c r="B5" s="551" t="s">
        <v>5</v>
      </c>
      <c r="C5" s="551" t="s">
        <v>6</v>
      </c>
      <c r="D5" s="551" t="s">
        <v>1359</v>
      </c>
      <c r="E5" s="552" t="s">
        <v>7</v>
      </c>
      <c r="F5" s="541" t="s">
        <v>1360</v>
      </c>
      <c r="G5" s="541"/>
      <c r="H5" s="541"/>
      <c r="I5" s="3"/>
      <c r="J5" s="3"/>
      <c r="K5" s="3"/>
      <c r="L5" s="41"/>
    </row>
    <row r="6" spans="1:14" s="4" customFormat="1" ht="24" customHeight="1" x14ac:dyDescent="0.25">
      <c r="A6" s="559"/>
      <c r="B6" s="551"/>
      <c r="C6" s="551"/>
      <c r="D6" s="551"/>
      <c r="E6" s="552"/>
      <c r="F6" s="162" t="s">
        <v>1649</v>
      </c>
      <c r="G6" s="162" t="s">
        <v>1495</v>
      </c>
      <c r="H6" s="162" t="s">
        <v>1496</v>
      </c>
      <c r="I6" s="3"/>
      <c r="J6" s="3"/>
      <c r="K6" s="3"/>
      <c r="L6" s="41"/>
    </row>
    <row r="7" spans="1:14" s="6" customFormat="1" ht="24" customHeight="1" x14ac:dyDescent="0.25">
      <c r="A7" s="29" t="s">
        <v>36</v>
      </c>
      <c r="B7" s="35"/>
      <c r="C7" s="35"/>
      <c r="D7" s="35"/>
      <c r="E7" s="36"/>
      <c r="F7" s="267">
        <f>F8</f>
        <v>476000000</v>
      </c>
      <c r="G7" s="267">
        <f t="shared" ref="G7:H8" si="0">G8</f>
        <v>161799675</v>
      </c>
      <c r="H7" s="267">
        <f t="shared" si="0"/>
        <v>81107166.329999998</v>
      </c>
      <c r="I7" s="5"/>
      <c r="J7" s="5"/>
      <c r="K7" s="5"/>
      <c r="L7" s="42"/>
    </row>
    <row r="8" spans="1:14" s="6" customFormat="1" ht="24" customHeight="1" x14ac:dyDescent="0.25">
      <c r="A8" s="62"/>
      <c r="B8" s="63">
        <v>4</v>
      </c>
      <c r="C8" s="51" t="s">
        <v>37</v>
      </c>
      <c r="D8" s="51"/>
      <c r="E8" s="51"/>
      <c r="F8" s="151">
        <f>F9</f>
        <v>476000000</v>
      </c>
      <c r="G8" s="151">
        <f t="shared" si="0"/>
        <v>161799675</v>
      </c>
      <c r="H8" s="151">
        <f t="shared" si="0"/>
        <v>81107166.329999998</v>
      </c>
      <c r="I8" s="5"/>
      <c r="J8" s="5"/>
      <c r="K8" s="5"/>
      <c r="L8" s="42"/>
    </row>
    <row r="9" spans="1:14" s="6" customFormat="1" ht="24" customHeight="1" x14ac:dyDescent="0.25">
      <c r="A9" s="62"/>
      <c r="B9" s="59"/>
      <c r="C9" s="54">
        <v>45</v>
      </c>
      <c r="D9" s="52" t="s">
        <v>38</v>
      </c>
      <c r="E9" s="125"/>
      <c r="F9" s="150">
        <f>SUM(F10:F11)</f>
        <v>476000000</v>
      </c>
      <c r="G9" s="150">
        <f t="shared" ref="G9:H9" si="1">SUM(G10:G11)</f>
        <v>161799675</v>
      </c>
      <c r="H9" s="150">
        <f t="shared" si="1"/>
        <v>81107166.329999998</v>
      </c>
      <c r="I9" s="5"/>
      <c r="J9" s="5"/>
      <c r="K9" s="5"/>
      <c r="L9" s="42"/>
    </row>
    <row r="10" spans="1:14" ht="52.5" customHeight="1" x14ac:dyDescent="0.2">
      <c r="A10" s="65"/>
      <c r="B10" s="293"/>
      <c r="C10" s="293"/>
      <c r="D10" s="74">
        <v>4599</v>
      </c>
      <c r="E10" s="295" t="s">
        <v>39</v>
      </c>
      <c r="F10" s="300">
        <f>SUM('SGTO POAI -SEPTIEMBRE-2021'!BP8:BP10)</f>
        <v>393535000</v>
      </c>
      <c r="G10" s="300">
        <f>SUM('SGTO POAI -SEPTIEMBRE-2021'!BQ8:BQ10)</f>
        <v>125737508</v>
      </c>
      <c r="H10" s="300">
        <f>SUM('SGTO POAI -SEPTIEMBRE-2021'!BR8:BR10)</f>
        <v>56200000</v>
      </c>
    </row>
    <row r="11" spans="1:14" ht="59.25" customHeight="1" x14ac:dyDescent="0.2">
      <c r="A11" s="65"/>
      <c r="B11" s="293"/>
      <c r="C11" s="293"/>
      <c r="D11" s="74">
        <v>4502</v>
      </c>
      <c r="E11" s="295" t="s">
        <v>60</v>
      </c>
      <c r="F11" s="195">
        <f>'SGTO POAI -SEPTIEMBRE-2021'!BP11</f>
        <v>82465000</v>
      </c>
      <c r="G11" s="195">
        <f>'SGTO POAI -SEPTIEMBRE-2021'!BQ11</f>
        <v>36062167</v>
      </c>
      <c r="H11" s="195">
        <f>'SGTO POAI -SEPTIEMBRE-2021'!BR11</f>
        <v>24907166.329999998</v>
      </c>
    </row>
    <row r="12" spans="1:14" ht="18" customHeight="1" x14ac:dyDescent="0.2">
      <c r="A12" s="45"/>
      <c r="B12" s="126"/>
      <c r="C12" s="126"/>
      <c r="D12" s="126"/>
      <c r="E12" s="56"/>
      <c r="F12" s="127"/>
    </row>
    <row r="13" spans="1:14" s="4" customFormat="1" ht="24" customHeight="1" x14ac:dyDescent="0.25">
      <c r="A13" s="558" t="s">
        <v>4</v>
      </c>
      <c r="B13" s="551" t="s">
        <v>5</v>
      </c>
      <c r="C13" s="551" t="s">
        <v>6</v>
      </c>
      <c r="D13" s="551" t="s">
        <v>1359</v>
      </c>
      <c r="E13" s="552" t="s">
        <v>7</v>
      </c>
      <c r="F13" s="541" t="s">
        <v>1360</v>
      </c>
      <c r="G13" s="541"/>
      <c r="H13" s="541"/>
      <c r="I13" s="3"/>
      <c r="J13" s="3"/>
      <c r="K13" s="3"/>
      <c r="L13" s="41"/>
    </row>
    <row r="14" spans="1:14" s="4" customFormat="1" ht="24" customHeight="1" x14ac:dyDescent="0.25">
      <c r="A14" s="559"/>
      <c r="B14" s="551"/>
      <c r="C14" s="551"/>
      <c r="D14" s="551"/>
      <c r="E14" s="552"/>
      <c r="F14" s="160" t="s">
        <v>1649</v>
      </c>
      <c r="G14" s="160" t="s">
        <v>1495</v>
      </c>
      <c r="H14" s="160" t="s">
        <v>1496</v>
      </c>
      <c r="I14" s="3"/>
      <c r="J14" s="3"/>
      <c r="K14" s="3"/>
      <c r="L14" s="41"/>
    </row>
    <row r="15" spans="1:14" s="6" customFormat="1" ht="24" customHeight="1" x14ac:dyDescent="0.25">
      <c r="A15" s="30" t="s">
        <v>69</v>
      </c>
      <c r="B15" s="31"/>
      <c r="C15" s="31"/>
      <c r="D15" s="31"/>
      <c r="E15" s="55"/>
      <c r="F15" s="267">
        <f>F16</f>
        <v>986333529</v>
      </c>
      <c r="G15" s="267">
        <f t="shared" ref="G15:H16" si="2">G16</f>
        <v>687842685</v>
      </c>
      <c r="H15" s="267">
        <f t="shared" si="2"/>
        <v>424005000</v>
      </c>
      <c r="I15" s="5"/>
      <c r="J15" s="5"/>
      <c r="K15" s="5"/>
      <c r="L15" s="42"/>
    </row>
    <row r="16" spans="1:14" ht="24" customHeight="1" x14ac:dyDescent="0.2">
      <c r="A16" s="65"/>
      <c r="B16" s="63">
        <v>4</v>
      </c>
      <c r="C16" s="51" t="s">
        <v>37</v>
      </c>
      <c r="D16" s="51"/>
      <c r="E16" s="132"/>
      <c r="F16" s="151">
        <f>F17</f>
        <v>986333529</v>
      </c>
      <c r="G16" s="151">
        <f t="shared" si="2"/>
        <v>687842685</v>
      </c>
      <c r="H16" s="151">
        <f t="shared" si="2"/>
        <v>424005000</v>
      </c>
    </row>
    <row r="17" spans="1:24" ht="24" customHeight="1" x14ac:dyDescent="0.2">
      <c r="A17" s="65"/>
      <c r="B17" s="59"/>
      <c r="C17" s="54">
        <v>45</v>
      </c>
      <c r="D17" s="52" t="s">
        <v>38</v>
      </c>
      <c r="E17" s="125"/>
      <c r="F17" s="150">
        <f>SUM(F18:F19)</f>
        <v>986333529</v>
      </c>
      <c r="G17" s="150">
        <f t="shared" ref="G17:H17" si="3">SUM(G18:G19)</f>
        <v>687842685</v>
      </c>
      <c r="H17" s="150">
        <f t="shared" si="3"/>
        <v>424005000</v>
      </c>
    </row>
    <row r="18" spans="1:24" s="33" customFormat="1" ht="58.5" customHeight="1" x14ac:dyDescent="0.2">
      <c r="A18" s="72"/>
      <c r="B18" s="58"/>
      <c r="C18" s="58"/>
      <c r="D18" s="74">
        <v>4502</v>
      </c>
      <c r="E18" s="295" t="s">
        <v>60</v>
      </c>
      <c r="F18" s="300">
        <f>SUM('SGTO POAI -SEPTIEMBRE-2021'!BP12:BP13)</f>
        <v>178333529</v>
      </c>
      <c r="G18" s="300">
        <f>SUM('SGTO POAI -SEPTIEMBRE-2021'!BQ12:BQ13)</f>
        <v>53655000</v>
      </c>
      <c r="H18" s="300">
        <f>SUM('SGTO POAI -SEPTIEMBRE-2021'!BR12:BR13)</f>
        <v>8655000</v>
      </c>
      <c r="L18" s="43"/>
    </row>
    <row r="19" spans="1:24" s="33" customFormat="1" ht="60.75" customHeight="1" x14ac:dyDescent="0.2">
      <c r="A19" s="72"/>
      <c r="B19" s="58"/>
      <c r="C19" s="58"/>
      <c r="D19" s="74">
        <v>4599</v>
      </c>
      <c r="E19" s="295" t="s">
        <v>39</v>
      </c>
      <c r="F19" s="300">
        <f>SUM('SGTO POAI -SEPTIEMBRE-2021'!BP14:BP23)</f>
        <v>808000000</v>
      </c>
      <c r="G19" s="300">
        <f>SUM('SGTO POAI -SEPTIEMBRE-2021'!BQ14:BQ23)</f>
        <v>634187685</v>
      </c>
      <c r="H19" s="300">
        <f>SUM('SGTO POAI -SEPTIEMBRE-2021'!BR14:BR23)</f>
        <v>415350000</v>
      </c>
      <c r="L19" s="43"/>
    </row>
    <row r="20" spans="1:24" ht="18" customHeight="1" x14ac:dyDescent="0.2">
      <c r="A20" s="45"/>
      <c r="B20" s="126"/>
      <c r="C20" s="126"/>
      <c r="D20" s="126"/>
      <c r="E20" s="56"/>
      <c r="F20" s="127"/>
    </row>
    <row r="21" spans="1:24" ht="24" customHeight="1" x14ac:dyDescent="0.2">
      <c r="A21" s="551" t="s">
        <v>4</v>
      </c>
      <c r="B21" s="551" t="s">
        <v>5</v>
      </c>
      <c r="C21" s="551" t="s">
        <v>6</v>
      </c>
      <c r="D21" s="551" t="s">
        <v>1359</v>
      </c>
      <c r="E21" s="552" t="s">
        <v>7</v>
      </c>
      <c r="F21" s="556" t="s">
        <v>1360</v>
      </c>
      <c r="G21" s="554"/>
      <c r="H21" s="555"/>
      <c r="I21" s="553" t="s">
        <v>1361</v>
      </c>
      <c r="J21" s="554"/>
      <c r="K21" s="554"/>
      <c r="L21" s="541" t="s">
        <v>12</v>
      </c>
      <c r="M21" s="541"/>
      <c r="N21" s="541"/>
    </row>
    <row r="22" spans="1:24" ht="24" customHeight="1" x14ac:dyDescent="0.2">
      <c r="A22" s="551"/>
      <c r="B22" s="551"/>
      <c r="C22" s="551"/>
      <c r="D22" s="551"/>
      <c r="E22" s="552"/>
      <c r="F22" s="160" t="s">
        <v>1649</v>
      </c>
      <c r="G22" s="160" t="s">
        <v>1495</v>
      </c>
      <c r="H22" s="160" t="s">
        <v>1496</v>
      </c>
      <c r="I22" s="160" t="s">
        <v>1649</v>
      </c>
      <c r="J22" s="160" t="s">
        <v>1495</v>
      </c>
      <c r="K22" s="160" t="s">
        <v>1496</v>
      </c>
      <c r="L22" s="160" t="s">
        <v>1649</v>
      </c>
      <c r="M22" s="160" t="s">
        <v>1495</v>
      </c>
      <c r="N22" s="160" t="s">
        <v>1496</v>
      </c>
    </row>
    <row r="23" spans="1:24" ht="24" customHeight="1" x14ac:dyDescent="0.2">
      <c r="A23" s="34" t="s">
        <v>1358</v>
      </c>
      <c r="B23" s="35"/>
      <c r="C23" s="35"/>
      <c r="D23" s="35"/>
      <c r="E23" s="57"/>
      <c r="F23" s="267">
        <f t="shared" ref="F23:N25" si="4">F24</f>
        <v>2423395879</v>
      </c>
      <c r="G23" s="267">
        <f t="shared" si="4"/>
        <v>1797442414</v>
      </c>
      <c r="H23" s="267">
        <f t="shared" si="4"/>
        <v>967370625</v>
      </c>
      <c r="I23" s="267">
        <f t="shared" si="4"/>
        <v>504229463.84000003</v>
      </c>
      <c r="J23" s="267">
        <f t="shared" si="4"/>
        <v>286363088</v>
      </c>
      <c r="K23" s="267">
        <f t="shared" si="4"/>
        <v>197256922.09</v>
      </c>
      <c r="L23" s="267">
        <f t="shared" si="4"/>
        <v>2927625342.8400002</v>
      </c>
      <c r="M23" s="267">
        <f t="shared" si="4"/>
        <v>2083805502</v>
      </c>
      <c r="N23" s="267">
        <f t="shared" si="4"/>
        <v>1164627547.0899999</v>
      </c>
      <c r="O23" s="2"/>
      <c r="P23" s="40"/>
    </row>
    <row r="24" spans="1:24" ht="24" customHeight="1" x14ac:dyDescent="0.2">
      <c r="A24" s="65"/>
      <c r="B24" s="63">
        <v>4</v>
      </c>
      <c r="C24" s="51" t="s">
        <v>37</v>
      </c>
      <c r="D24" s="51"/>
      <c r="E24" s="132"/>
      <c r="F24" s="151">
        <f>F25</f>
        <v>2423395879</v>
      </c>
      <c r="G24" s="151">
        <f t="shared" si="4"/>
        <v>1797442414</v>
      </c>
      <c r="H24" s="151">
        <f t="shared" si="4"/>
        <v>967370625</v>
      </c>
      <c r="I24" s="151">
        <f t="shared" si="4"/>
        <v>504229463.84000003</v>
      </c>
      <c r="J24" s="151">
        <f t="shared" si="4"/>
        <v>286363088</v>
      </c>
      <c r="K24" s="151">
        <f t="shared" si="4"/>
        <v>197256922.09</v>
      </c>
      <c r="L24" s="151">
        <f t="shared" si="4"/>
        <v>2927625342.8400002</v>
      </c>
      <c r="M24" s="151">
        <f t="shared" si="4"/>
        <v>2083805502</v>
      </c>
      <c r="N24" s="151">
        <f t="shared" si="4"/>
        <v>1164627547.0899999</v>
      </c>
      <c r="O24" s="2"/>
      <c r="P24" s="40"/>
    </row>
    <row r="25" spans="1:24" ht="24" customHeight="1" x14ac:dyDescent="0.2">
      <c r="A25" s="65"/>
      <c r="B25" s="59"/>
      <c r="C25" s="54">
        <v>45</v>
      </c>
      <c r="D25" s="52" t="s">
        <v>38</v>
      </c>
      <c r="E25" s="125"/>
      <c r="F25" s="150">
        <f>F26</f>
        <v>2423395879</v>
      </c>
      <c r="G25" s="150">
        <f t="shared" si="4"/>
        <v>1797442414</v>
      </c>
      <c r="H25" s="150">
        <f t="shared" si="4"/>
        <v>967370625</v>
      </c>
      <c r="I25" s="150">
        <f>I26</f>
        <v>504229463.84000003</v>
      </c>
      <c r="J25" s="150">
        <f t="shared" si="4"/>
        <v>286363088</v>
      </c>
      <c r="K25" s="150">
        <f t="shared" si="4"/>
        <v>197256922.09</v>
      </c>
      <c r="L25" s="150">
        <f t="shared" si="4"/>
        <v>2927625342.8400002</v>
      </c>
      <c r="M25" s="150">
        <f t="shared" si="4"/>
        <v>2083805502</v>
      </c>
      <c r="N25" s="150">
        <f t="shared" si="4"/>
        <v>1164627547.0899999</v>
      </c>
      <c r="O25" s="2"/>
      <c r="P25" s="40"/>
    </row>
    <row r="26" spans="1:24" ht="54.75" customHeight="1" x14ac:dyDescent="0.2">
      <c r="A26" s="65"/>
      <c r="B26" s="293"/>
      <c r="C26" s="293"/>
      <c r="D26" s="74">
        <v>4599</v>
      </c>
      <c r="E26" s="295" t="s">
        <v>39</v>
      </c>
      <c r="F26" s="300">
        <f>SUM('SGTO POAI -SEPTIEMBRE-2021'!BD24:BD25)</f>
        <v>2423395879</v>
      </c>
      <c r="G26" s="300">
        <f>SUM('SGTO POAI -SEPTIEMBRE-2021'!BE24:BE25)</f>
        <v>1797442414</v>
      </c>
      <c r="H26" s="300">
        <f>SUM('SGTO POAI -SEPTIEMBRE-2021'!BF24:BF25)</f>
        <v>967370625</v>
      </c>
      <c r="I26" s="300">
        <f>'SGTO POAI -SEPTIEMBRE-2021'!BJ24</f>
        <v>504229463.84000003</v>
      </c>
      <c r="J26" s="300">
        <f>'SGTO POAI -SEPTIEMBRE-2021'!BK24</f>
        <v>286363088</v>
      </c>
      <c r="K26" s="300">
        <f>'SGTO POAI -SEPTIEMBRE-2021'!BL24</f>
        <v>197256922.09</v>
      </c>
      <c r="L26" s="300">
        <f>F26+I26</f>
        <v>2927625342.8400002</v>
      </c>
      <c r="M26" s="300">
        <f t="shared" ref="M26:N26" si="5">G26+J26</f>
        <v>2083805502</v>
      </c>
      <c r="N26" s="300">
        <f t="shared" si="5"/>
        <v>1164627547.0899999</v>
      </c>
      <c r="O26" s="2"/>
      <c r="P26" s="40"/>
    </row>
    <row r="27" spans="1:24" s="7" customFormat="1" x14ac:dyDescent="0.2">
      <c r="A27" s="45"/>
      <c r="B27" s="126"/>
      <c r="C27" s="126"/>
      <c r="D27" s="126"/>
      <c r="E27" s="146"/>
      <c r="F27" s="127"/>
      <c r="G27" s="38"/>
      <c r="H27" s="14"/>
      <c r="I27" s="14"/>
      <c r="J27" s="14"/>
      <c r="K27" s="14"/>
      <c r="L27" s="44"/>
    </row>
    <row r="28" spans="1:24" s="7" customFormat="1" ht="24" customHeight="1" x14ac:dyDescent="0.2">
      <c r="A28" s="551" t="s">
        <v>4</v>
      </c>
      <c r="B28" s="551" t="s">
        <v>5</v>
      </c>
      <c r="C28" s="551" t="s">
        <v>6</v>
      </c>
      <c r="D28" s="551" t="s">
        <v>1359</v>
      </c>
      <c r="E28" s="552" t="s">
        <v>7</v>
      </c>
      <c r="F28" s="549" t="s">
        <v>1505</v>
      </c>
      <c r="G28" s="549"/>
      <c r="H28" s="550"/>
      <c r="I28" s="548" t="s">
        <v>1503</v>
      </c>
      <c r="J28" s="549"/>
      <c r="K28" s="550"/>
      <c r="L28" s="548" t="s">
        <v>1362</v>
      </c>
      <c r="M28" s="549"/>
      <c r="N28" s="549"/>
      <c r="O28" s="541" t="s">
        <v>1363</v>
      </c>
      <c r="P28" s="541"/>
      <c r="Q28" s="541"/>
      <c r="R28" s="541" t="s">
        <v>1508</v>
      </c>
      <c r="S28" s="541"/>
      <c r="T28" s="541"/>
      <c r="U28" s="541" t="s">
        <v>12</v>
      </c>
      <c r="V28" s="541"/>
      <c r="W28" s="541"/>
      <c r="X28" s="44"/>
    </row>
    <row r="29" spans="1:24" s="7" customFormat="1" ht="24" customHeight="1" x14ac:dyDescent="0.2">
      <c r="A29" s="551"/>
      <c r="B29" s="551"/>
      <c r="C29" s="551"/>
      <c r="D29" s="551"/>
      <c r="E29" s="552"/>
      <c r="F29" s="159" t="s">
        <v>1649</v>
      </c>
      <c r="G29" s="160" t="s">
        <v>1495</v>
      </c>
      <c r="H29" s="160" t="s">
        <v>1496</v>
      </c>
      <c r="I29" s="160" t="s">
        <v>1649</v>
      </c>
      <c r="J29" s="160" t="s">
        <v>1495</v>
      </c>
      <c r="K29" s="160" t="s">
        <v>1496</v>
      </c>
      <c r="L29" s="160" t="s">
        <v>1649</v>
      </c>
      <c r="M29" s="160" t="s">
        <v>1495</v>
      </c>
      <c r="N29" s="160" t="s">
        <v>1496</v>
      </c>
      <c r="O29" s="160" t="s">
        <v>1649</v>
      </c>
      <c r="P29" s="160" t="s">
        <v>1495</v>
      </c>
      <c r="Q29" s="160" t="s">
        <v>1496</v>
      </c>
      <c r="R29" s="296" t="s">
        <v>1649</v>
      </c>
      <c r="S29" s="296" t="s">
        <v>1495</v>
      </c>
      <c r="T29" s="296" t="s">
        <v>1496</v>
      </c>
      <c r="U29" s="160" t="s">
        <v>1649</v>
      </c>
      <c r="V29" s="160" t="s">
        <v>1495</v>
      </c>
      <c r="W29" s="160" t="s">
        <v>1496</v>
      </c>
      <c r="X29" s="44"/>
    </row>
    <row r="30" spans="1:24" ht="24" customHeight="1" x14ac:dyDescent="0.2">
      <c r="A30" s="34" t="s">
        <v>135</v>
      </c>
      <c r="B30" s="35"/>
      <c r="C30" s="35"/>
      <c r="D30" s="35"/>
      <c r="E30" s="57"/>
      <c r="F30" s="267">
        <f>F31+F42+F50</f>
        <v>5674040294.460001</v>
      </c>
      <c r="G30" s="267">
        <f t="shared" ref="G30:H30" si="6">G31+G42+G50</f>
        <v>974662967.24000001</v>
      </c>
      <c r="H30" s="267">
        <f t="shared" si="6"/>
        <v>502696200</v>
      </c>
      <c r="I30" s="267">
        <f>I31+I42+I50</f>
        <v>56108067</v>
      </c>
      <c r="J30" s="267">
        <f t="shared" ref="J30:K30" si="7">J31+J42+J50</f>
        <v>56108067</v>
      </c>
      <c r="K30" s="267">
        <f t="shared" si="7"/>
        <v>37529205.509999998</v>
      </c>
      <c r="L30" s="267">
        <f>L31+L42+L50</f>
        <v>2895159641.6800003</v>
      </c>
      <c r="M30" s="267">
        <f t="shared" ref="M30:N30" si="8">M31+M42+M50</f>
        <v>2876730086</v>
      </c>
      <c r="N30" s="267">
        <f t="shared" si="8"/>
        <v>2162951384</v>
      </c>
      <c r="O30" s="267">
        <f>O31+O42+O50</f>
        <v>3360846631</v>
      </c>
      <c r="P30" s="267">
        <f t="shared" ref="P30:Q30" si="9">P31+P42+P50</f>
        <v>660495564.13999999</v>
      </c>
      <c r="Q30" s="267">
        <f t="shared" si="9"/>
        <v>410961604.67999995</v>
      </c>
      <c r="R30" s="267">
        <f t="shared" ref="R30" si="10">R31+R42+R50</f>
        <v>4000000000</v>
      </c>
      <c r="S30" s="267">
        <f t="shared" ref="S30" si="11">S31+S42+S50</f>
        <v>41700000</v>
      </c>
      <c r="T30" s="267">
        <f t="shared" ref="T30" si="12">T31+T42+T50</f>
        <v>11400000</v>
      </c>
      <c r="U30" s="267">
        <f>U31+U42+U50</f>
        <v>15986154634.140001</v>
      </c>
      <c r="V30" s="267">
        <f t="shared" ref="V30:W30" si="13">V31+V42+V50</f>
        <v>4609696684.3800001</v>
      </c>
      <c r="W30" s="267">
        <f t="shared" si="13"/>
        <v>3125538394.1900001</v>
      </c>
      <c r="X30" s="40"/>
    </row>
    <row r="31" spans="1:24" ht="24" customHeight="1" x14ac:dyDescent="0.2">
      <c r="A31" s="65"/>
      <c r="B31" s="63">
        <v>1</v>
      </c>
      <c r="C31" s="51" t="s">
        <v>136</v>
      </c>
      <c r="D31" s="51"/>
      <c r="E31" s="132"/>
      <c r="F31" s="151">
        <f>F32+F34+F36+F38+F40</f>
        <v>4969040294.3600006</v>
      </c>
      <c r="G31" s="151">
        <f t="shared" ref="G31:H31" si="14">G32+G34+G36+G38+G40</f>
        <v>813101716.24000001</v>
      </c>
      <c r="H31" s="151">
        <f t="shared" si="14"/>
        <v>502696200</v>
      </c>
      <c r="I31" s="151"/>
      <c r="J31" s="151"/>
      <c r="K31" s="151"/>
      <c r="L31" s="151">
        <f>L32+L34+L36+L38+L40</f>
        <v>0</v>
      </c>
      <c r="M31" s="151">
        <f t="shared" ref="M31:N31" si="15">M32+M34+M36+M38+M40</f>
        <v>0</v>
      </c>
      <c r="N31" s="151">
        <f t="shared" si="15"/>
        <v>0</v>
      </c>
      <c r="O31" s="151">
        <f>O32+O34+O36+O38+O40</f>
        <v>211496979</v>
      </c>
      <c r="P31" s="151">
        <f t="shared" ref="P31:Q31" si="16">P32+P34+P36+P38+P40</f>
        <v>16832000</v>
      </c>
      <c r="Q31" s="151">
        <f t="shared" si="16"/>
        <v>15732000</v>
      </c>
      <c r="R31" s="151">
        <f t="shared" ref="R31" si="17">R32+R34+R36+R38+R40</f>
        <v>0</v>
      </c>
      <c r="S31" s="151">
        <f t="shared" ref="S31" si="18">S32+S34+S36+S38+S40</f>
        <v>0</v>
      </c>
      <c r="T31" s="151">
        <f t="shared" ref="T31" si="19">T32+T34+T36+T38+T40</f>
        <v>0</v>
      </c>
      <c r="U31" s="151">
        <f>U32+U34+U36+U38+U40</f>
        <v>5180537273.3600006</v>
      </c>
      <c r="V31" s="151">
        <f t="shared" ref="V31:W31" si="20">V32+V34+V36+V38+V40</f>
        <v>829933716.24000001</v>
      </c>
      <c r="W31" s="151">
        <f t="shared" si="20"/>
        <v>518428200</v>
      </c>
      <c r="X31" s="40"/>
    </row>
    <row r="32" spans="1:24" ht="24" customHeight="1" x14ac:dyDescent="0.2">
      <c r="A32" s="65"/>
      <c r="B32" s="59"/>
      <c r="C32" s="54">
        <v>12</v>
      </c>
      <c r="D32" s="52" t="s">
        <v>137</v>
      </c>
      <c r="E32" s="52"/>
      <c r="F32" s="364">
        <f>F33</f>
        <v>0</v>
      </c>
      <c r="G32" s="364">
        <f t="shared" ref="G32:H32" si="21">G33</f>
        <v>0</v>
      </c>
      <c r="H32" s="364">
        <f t="shared" si="21"/>
        <v>0</v>
      </c>
      <c r="I32" s="364"/>
      <c r="J32" s="364"/>
      <c r="K32" s="364"/>
      <c r="L32" s="364">
        <f>L33</f>
        <v>0</v>
      </c>
      <c r="M32" s="364">
        <f t="shared" ref="M32:N32" si="22">M33</f>
        <v>0</v>
      </c>
      <c r="N32" s="364">
        <f t="shared" si="22"/>
        <v>0</v>
      </c>
      <c r="O32" s="364">
        <f>O33</f>
        <v>24750000</v>
      </c>
      <c r="P32" s="364">
        <f t="shared" ref="P32:Q32" si="23">P33</f>
        <v>3932000</v>
      </c>
      <c r="Q32" s="364">
        <f t="shared" si="23"/>
        <v>3932000</v>
      </c>
      <c r="R32" s="364">
        <f t="shared" ref="R32" si="24">R33</f>
        <v>0</v>
      </c>
      <c r="S32" s="364">
        <f t="shared" ref="S32" si="25">S33</f>
        <v>0</v>
      </c>
      <c r="T32" s="364">
        <f t="shared" ref="T32" si="26">T33</f>
        <v>0</v>
      </c>
      <c r="U32" s="364">
        <f>U33</f>
        <v>24750000</v>
      </c>
      <c r="V32" s="364">
        <f t="shared" ref="V32:W32" si="27">V33</f>
        <v>3932000</v>
      </c>
      <c r="W32" s="364">
        <f t="shared" si="27"/>
        <v>3932000</v>
      </c>
      <c r="X32" s="40"/>
    </row>
    <row r="33" spans="1:24" ht="44.25" customHeight="1" x14ac:dyDescent="0.2">
      <c r="A33" s="65"/>
      <c r="B33" s="293"/>
      <c r="C33" s="293"/>
      <c r="D33" s="58">
        <v>1202</v>
      </c>
      <c r="E33" s="295" t="s">
        <v>138</v>
      </c>
      <c r="F33" s="300"/>
      <c r="G33" s="300"/>
      <c r="H33" s="300"/>
      <c r="I33" s="300"/>
      <c r="J33" s="300"/>
      <c r="K33" s="300"/>
      <c r="L33" s="300"/>
      <c r="M33" s="300"/>
      <c r="N33" s="300"/>
      <c r="O33" s="300">
        <f>'SGTO POAI -SEPTIEMBRE-2021'!BD26</f>
        <v>24750000</v>
      </c>
      <c r="P33" s="300">
        <f>'SGTO POAI -SEPTIEMBRE-2021'!BE26</f>
        <v>3932000</v>
      </c>
      <c r="Q33" s="300">
        <f>'SGTO POAI -SEPTIEMBRE-2021'!BF26</f>
        <v>3932000</v>
      </c>
      <c r="R33" s="300"/>
      <c r="S33" s="300"/>
      <c r="T33" s="300"/>
      <c r="U33" s="300">
        <f>F33+L33+O33+I33</f>
        <v>24750000</v>
      </c>
      <c r="V33" s="300">
        <f t="shared" ref="V33:W33" si="28">G33+M33+P33+J33</f>
        <v>3932000</v>
      </c>
      <c r="W33" s="300">
        <f t="shared" si="28"/>
        <v>3932000</v>
      </c>
      <c r="X33" s="40"/>
    </row>
    <row r="34" spans="1:24" ht="24" customHeight="1" x14ac:dyDescent="0.2">
      <c r="A34" s="65"/>
      <c r="B34" s="59"/>
      <c r="C34" s="54">
        <v>19</v>
      </c>
      <c r="D34" s="52" t="s">
        <v>147</v>
      </c>
      <c r="E34" s="125"/>
      <c r="F34" s="150">
        <f>F35</f>
        <v>0</v>
      </c>
      <c r="G34" s="150">
        <f t="shared" ref="G34:H34" si="29">G35</f>
        <v>0</v>
      </c>
      <c r="H34" s="150">
        <f t="shared" si="29"/>
        <v>0</v>
      </c>
      <c r="I34" s="150"/>
      <c r="J34" s="150"/>
      <c r="K34" s="150"/>
      <c r="L34" s="150">
        <f>L35</f>
        <v>0</v>
      </c>
      <c r="M34" s="150">
        <f t="shared" ref="M34:N34" si="30">M35</f>
        <v>0</v>
      </c>
      <c r="N34" s="150">
        <f t="shared" si="30"/>
        <v>0</v>
      </c>
      <c r="O34" s="150">
        <f>O35</f>
        <v>96746979</v>
      </c>
      <c r="P34" s="150">
        <f t="shared" ref="P34:Q34" si="31">P35</f>
        <v>3100000</v>
      </c>
      <c r="Q34" s="150">
        <f t="shared" si="31"/>
        <v>2100000</v>
      </c>
      <c r="R34" s="150"/>
      <c r="S34" s="150"/>
      <c r="T34" s="150"/>
      <c r="U34" s="150">
        <f>U35</f>
        <v>96746979</v>
      </c>
      <c r="V34" s="150">
        <f t="shared" ref="V34:W34" si="32">V35</f>
        <v>3100000</v>
      </c>
      <c r="W34" s="150">
        <f t="shared" si="32"/>
        <v>2100000</v>
      </c>
      <c r="X34" s="40"/>
    </row>
    <row r="35" spans="1:24" ht="42.75" customHeight="1" x14ac:dyDescent="0.2">
      <c r="A35" s="65"/>
      <c r="B35" s="293"/>
      <c r="C35" s="293"/>
      <c r="D35" s="58">
        <v>1906</v>
      </c>
      <c r="E35" s="295" t="s">
        <v>148</v>
      </c>
      <c r="F35" s="300"/>
      <c r="G35" s="300"/>
      <c r="H35" s="300"/>
      <c r="I35" s="300"/>
      <c r="J35" s="300"/>
      <c r="K35" s="300"/>
      <c r="L35" s="300"/>
      <c r="M35" s="300"/>
      <c r="N35" s="300"/>
      <c r="O35" s="300">
        <f>'SGTO POAI -SEPTIEMBRE-2021'!BD27</f>
        <v>96746979</v>
      </c>
      <c r="P35" s="300">
        <f>'SGTO POAI -SEPTIEMBRE-2021'!BE27</f>
        <v>3100000</v>
      </c>
      <c r="Q35" s="300">
        <f>'SGTO POAI -SEPTIEMBRE-2021'!BF27</f>
        <v>2100000</v>
      </c>
      <c r="R35" s="300"/>
      <c r="S35" s="300"/>
      <c r="T35" s="300"/>
      <c r="U35" s="300">
        <f>F35+L35+O35+I35</f>
        <v>96746979</v>
      </c>
      <c r="V35" s="300">
        <f t="shared" ref="V35:W35" si="33">G35+M35+P35+J35</f>
        <v>3100000</v>
      </c>
      <c r="W35" s="300">
        <f t="shared" si="33"/>
        <v>2100000</v>
      </c>
      <c r="X35" s="40"/>
    </row>
    <row r="36" spans="1:24" ht="24" customHeight="1" x14ac:dyDescent="0.2">
      <c r="A36" s="65"/>
      <c r="B36" s="59"/>
      <c r="C36" s="54">
        <v>22</v>
      </c>
      <c r="D36" s="52" t="s">
        <v>156</v>
      </c>
      <c r="E36" s="129"/>
      <c r="F36" s="365">
        <f>F37</f>
        <v>2083257220</v>
      </c>
      <c r="G36" s="365">
        <f t="shared" ref="G36:H36" si="34">G37</f>
        <v>260026500</v>
      </c>
      <c r="H36" s="365">
        <f t="shared" si="34"/>
        <v>239901500</v>
      </c>
      <c r="I36" s="365"/>
      <c r="J36" s="365"/>
      <c r="K36" s="365"/>
      <c r="L36" s="365">
        <f>L37</f>
        <v>0</v>
      </c>
      <c r="M36" s="365">
        <f t="shared" ref="M36:N36" si="35">M37</f>
        <v>0</v>
      </c>
      <c r="N36" s="365">
        <f t="shared" si="35"/>
        <v>0</v>
      </c>
      <c r="O36" s="365">
        <f>O37</f>
        <v>0</v>
      </c>
      <c r="P36" s="365">
        <f t="shared" ref="P36:Q36" si="36">P37</f>
        <v>0</v>
      </c>
      <c r="Q36" s="365">
        <f t="shared" si="36"/>
        <v>0</v>
      </c>
      <c r="R36" s="365"/>
      <c r="S36" s="365"/>
      <c r="T36" s="365"/>
      <c r="U36" s="365">
        <f>U37</f>
        <v>2083257220</v>
      </c>
      <c r="V36" s="365">
        <f t="shared" ref="V36:W36" si="37">V37</f>
        <v>260026500</v>
      </c>
      <c r="W36" s="365">
        <f t="shared" si="37"/>
        <v>239901500</v>
      </c>
      <c r="X36" s="40"/>
    </row>
    <row r="37" spans="1:24" ht="52.5" customHeight="1" x14ac:dyDescent="0.2">
      <c r="A37" s="65"/>
      <c r="B37" s="293"/>
      <c r="C37" s="293"/>
      <c r="D37" s="58">
        <v>2201</v>
      </c>
      <c r="E37" s="295" t="s">
        <v>157</v>
      </c>
      <c r="F37" s="300">
        <f>'SGTO POAI -SEPTIEMBRE-2021'!Z28</f>
        <v>2083257220</v>
      </c>
      <c r="G37" s="300">
        <f>'SGTO POAI -SEPTIEMBRE-2021'!AA28</f>
        <v>260026500</v>
      </c>
      <c r="H37" s="300">
        <f>'SGTO POAI -SEPTIEMBRE-2021'!AB28</f>
        <v>239901500</v>
      </c>
      <c r="I37" s="300"/>
      <c r="J37" s="300"/>
      <c r="K37" s="300"/>
      <c r="L37" s="300"/>
      <c r="M37" s="300"/>
      <c r="N37" s="300"/>
      <c r="O37" s="300"/>
      <c r="P37" s="300"/>
      <c r="Q37" s="300"/>
      <c r="R37" s="300"/>
      <c r="S37" s="300"/>
      <c r="T37" s="300"/>
      <c r="U37" s="300">
        <f>F37+L37+O37+I37</f>
        <v>2083257220</v>
      </c>
      <c r="V37" s="300">
        <f t="shared" ref="V37:W37" si="38">G37+M37+P37+J37</f>
        <v>260026500</v>
      </c>
      <c r="W37" s="300">
        <f t="shared" si="38"/>
        <v>239901500</v>
      </c>
      <c r="X37" s="40"/>
    </row>
    <row r="38" spans="1:24" ht="24" customHeight="1" x14ac:dyDescent="0.2">
      <c r="A38" s="65"/>
      <c r="B38" s="59"/>
      <c r="C38" s="54">
        <v>33</v>
      </c>
      <c r="D38" s="128" t="s">
        <v>166</v>
      </c>
      <c r="E38" s="129"/>
      <c r="F38" s="365">
        <f>SUM(F39)</f>
        <v>0</v>
      </c>
      <c r="G38" s="365">
        <f t="shared" ref="G38:H38" si="39">SUM(G39)</f>
        <v>0</v>
      </c>
      <c r="H38" s="365">
        <f t="shared" si="39"/>
        <v>0</v>
      </c>
      <c r="I38" s="365"/>
      <c r="J38" s="365"/>
      <c r="K38" s="365"/>
      <c r="L38" s="365">
        <f>SUM(L39)</f>
        <v>0</v>
      </c>
      <c r="M38" s="365">
        <f t="shared" ref="M38:N38" si="40">SUM(M39)</f>
        <v>0</v>
      </c>
      <c r="N38" s="365">
        <f t="shared" si="40"/>
        <v>0</v>
      </c>
      <c r="O38" s="365">
        <f>SUM(O39)</f>
        <v>90000000</v>
      </c>
      <c r="P38" s="365">
        <f t="shared" ref="P38:Q38" si="41">SUM(P39)</f>
        <v>9800000</v>
      </c>
      <c r="Q38" s="365">
        <f t="shared" si="41"/>
        <v>9700000</v>
      </c>
      <c r="R38" s="365"/>
      <c r="S38" s="365"/>
      <c r="T38" s="365"/>
      <c r="U38" s="365">
        <f>SUM(U39)</f>
        <v>90000000</v>
      </c>
      <c r="V38" s="365">
        <f t="shared" ref="V38:W38" si="42">SUM(V39)</f>
        <v>9800000</v>
      </c>
      <c r="W38" s="365">
        <f t="shared" si="42"/>
        <v>9700000</v>
      </c>
      <c r="X38" s="40"/>
    </row>
    <row r="39" spans="1:24" ht="48" customHeight="1" x14ac:dyDescent="0.2">
      <c r="A39" s="65"/>
      <c r="B39" s="293"/>
      <c r="C39" s="293"/>
      <c r="D39" s="58">
        <v>3301</v>
      </c>
      <c r="E39" s="295" t="s">
        <v>167</v>
      </c>
      <c r="F39" s="300"/>
      <c r="G39" s="300"/>
      <c r="H39" s="300"/>
      <c r="I39" s="300"/>
      <c r="J39" s="300"/>
      <c r="K39" s="300"/>
      <c r="L39" s="300"/>
      <c r="M39" s="300"/>
      <c r="N39" s="300"/>
      <c r="O39" s="300">
        <f>'SGTO POAI -SEPTIEMBRE-2021'!BD29</f>
        <v>90000000</v>
      </c>
      <c r="P39" s="300">
        <f>'SGTO POAI -SEPTIEMBRE-2021'!BE29</f>
        <v>9800000</v>
      </c>
      <c r="Q39" s="300">
        <f>'SGTO POAI -SEPTIEMBRE-2021'!BF29</f>
        <v>9700000</v>
      </c>
      <c r="R39" s="300"/>
      <c r="S39" s="300"/>
      <c r="T39" s="300"/>
      <c r="U39" s="300">
        <f>F39+L39+O39+I39</f>
        <v>90000000</v>
      </c>
      <c r="V39" s="300">
        <f t="shared" ref="V39:W39" si="43">G39+M39+P39+J39</f>
        <v>9800000</v>
      </c>
      <c r="W39" s="300">
        <f t="shared" si="43"/>
        <v>9700000</v>
      </c>
      <c r="X39" s="40"/>
    </row>
    <row r="40" spans="1:24" ht="24" customHeight="1" x14ac:dyDescent="0.2">
      <c r="A40" s="65"/>
      <c r="B40" s="59"/>
      <c r="C40" s="54">
        <v>43</v>
      </c>
      <c r="D40" s="52" t="s">
        <v>176</v>
      </c>
      <c r="E40" s="64"/>
      <c r="F40" s="364">
        <f>SUM(F41)</f>
        <v>2885783074.3600001</v>
      </c>
      <c r="G40" s="364">
        <f t="shared" ref="G40:H40" si="44">SUM(G41)</f>
        <v>553075216.24000001</v>
      </c>
      <c r="H40" s="364">
        <f t="shared" si="44"/>
        <v>262794700</v>
      </c>
      <c r="I40" s="364"/>
      <c r="J40" s="364"/>
      <c r="K40" s="364"/>
      <c r="L40" s="364">
        <f>SUM(L41)</f>
        <v>0</v>
      </c>
      <c r="M40" s="364">
        <f t="shared" ref="M40:N40" si="45">SUM(M41)</f>
        <v>0</v>
      </c>
      <c r="N40" s="364">
        <f t="shared" si="45"/>
        <v>0</v>
      </c>
      <c r="O40" s="364">
        <f>SUM(O41)</f>
        <v>0</v>
      </c>
      <c r="P40" s="364">
        <f t="shared" ref="P40:Q40" si="46">SUM(P41)</f>
        <v>0</v>
      </c>
      <c r="Q40" s="364">
        <f t="shared" si="46"/>
        <v>0</v>
      </c>
      <c r="R40" s="364"/>
      <c r="S40" s="364"/>
      <c r="T40" s="364"/>
      <c r="U40" s="364">
        <f>SUM(U41)</f>
        <v>2885783074.3600001</v>
      </c>
      <c r="V40" s="364">
        <f t="shared" ref="V40:W40" si="47">SUM(V41)</f>
        <v>553075216.24000001</v>
      </c>
      <c r="W40" s="364">
        <f t="shared" si="47"/>
        <v>262794700</v>
      </c>
      <c r="X40" s="40"/>
    </row>
    <row r="41" spans="1:24" ht="69.75" customHeight="1" x14ac:dyDescent="0.2">
      <c r="A41" s="65"/>
      <c r="B41" s="293"/>
      <c r="C41" s="293"/>
      <c r="D41" s="58">
        <v>4301</v>
      </c>
      <c r="E41" s="295" t="s">
        <v>177</v>
      </c>
      <c r="F41" s="300">
        <f>'SGTO POAI -SEPTIEMBRE-2021'!Z30</f>
        <v>2885783074.3600001</v>
      </c>
      <c r="G41" s="300">
        <f>'SGTO POAI -SEPTIEMBRE-2021'!AA30</f>
        <v>553075216.24000001</v>
      </c>
      <c r="H41" s="300">
        <f>'SGTO POAI -SEPTIEMBRE-2021'!AB30</f>
        <v>262794700</v>
      </c>
      <c r="I41" s="300"/>
      <c r="J41" s="300"/>
      <c r="K41" s="300"/>
      <c r="L41" s="300"/>
      <c r="M41" s="300"/>
      <c r="N41" s="300"/>
      <c r="O41" s="300"/>
      <c r="P41" s="300"/>
      <c r="Q41" s="300"/>
      <c r="R41" s="300"/>
      <c r="S41" s="300"/>
      <c r="T41" s="300"/>
      <c r="U41" s="300">
        <f>F41+L41+O41+I41</f>
        <v>2885783074.3600001</v>
      </c>
      <c r="V41" s="300">
        <f t="shared" ref="V41:W41" si="48">G41+M41+P41+J41</f>
        <v>553075216.24000001</v>
      </c>
      <c r="W41" s="300">
        <f t="shared" si="48"/>
        <v>262794700</v>
      </c>
      <c r="X41" s="45"/>
    </row>
    <row r="42" spans="1:24" ht="24" customHeight="1" x14ac:dyDescent="0.2">
      <c r="A42" s="65"/>
      <c r="B42" s="63">
        <v>3</v>
      </c>
      <c r="C42" s="51" t="s">
        <v>186</v>
      </c>
      <c r="D42" s="51"/>
      <c r="E42" s="132"/>
      <c r="F42" s="151">
        <f>F43+F45+F47</f>
        <v>705000000.10000002</v>
      </c>
      <c r="G42" s="151">
        <f t="shared" ref="G42:H42" si="49">G43+G45+G47</f>
        <v>161561251</v>
      </c>
      <c r="H42" s="151">
        <f t="shared" si="49"/>
        <v>0</v>
      </c>
      <c r="I42" s="151">
        <f t="shared" ref="I42:O42" si="50">I43+I45+I47</f>
        <v>56108067</v>
      </c>
      <c r="J42" s="151">
        <f t="shared" ref="J42" si="51">J43+J45+J47</f>
        <v>56108067</v>
      </c>
      <c r="K42" s="151">
        <f t="shared" ref="K42" si="52">K43+K45+K47</f>
        <v>37529205.509999998</v>
      </c>
      <c r="L42" s="151">
        <f t="shared" si="50"/>
        <v>2895159641.6800003</v>
      </c>
      <c r="M42" s="151">
        <f t="shared" ref="M42" si="53">M43+M45+M47</f>
        <v>2876730086</v>
      </c>
      <c r="N42" s="151">
        <f t="shared" ref="N42" si="54">N43+N45+N47</f>
        <v>2162951384</v>
      </c>
      <c r="O42" s="151">
        <f t="shared" si="50"/>
        <v>3010689004</v>
      </c>
      <c r="P42" s="151">
        <f t="shared" ref="P42:Q42" si="55">P43+P45+P47</f>
        <v>610888409.47000003</v>
      </c>
      <c r="Q42" s="151">
        <f t="shared" si="55"/>
        <v>393961604.67999995</v>
      </c>
      <c r="R42" s="151">
        <f t="shared" ref="R42" si="56">R43+R45+R47</f>
        <v>4000000000</v>
      </c>
      <c r="S42" s="151">
        <f t="shared" ref="S42:U42" si="57">S43+S45+S47</f>
        <v>41700000</v>
      </c>
      <c r="T42" s="151">
        <f t="shared" si="57"/>
        <v>11400000</v>
      </c>
      <c r="U42" s="151">
        <f t="shared" si="57"/>
        <v>10666956712.780001</v>
      </c>
      <c r="V42" s="151">
        <f t="shared" ref="V42:W42" si="58">V43+V45+V47</f>
        <v>3746987813.4700003</v>
      </c>
      <c r="W42" s="151">
        <f t="shared" si="58"/>
        <v>2605842194.1900001</v>
      </c>
      <c r="X42" s="45"/>
    </row>
    <row r="43" spans="1:24" ht="24" customHeight="1" x14ac:dyDescent="0.2">
      <c r="A43" s="65"/>
      <c r="B43" s="59"/>
      <c r="C43" s="130">
        <v>24</v>
      </c>
      <c r="D43" s="52" t="s">
        <v>187</v>
      </c>
      <c r="E43" s="125"/>
      <c r="F43" s="150">
        <f>F44</f>
        <v>0</v>
      </c>
      <c r="G43" s="150">
        <f t="shared" ref="G43:H43" si="59">G44</f>
        <v>0</v>
      </c>
      <c r="H43" s="150">
        <f t="shared" si="59"/>
        <v>0</v>
      </c>
      <c r="I43" s="150"/>
      <c r="J43" s="150"/>
      <c r="K43" s="150"/>
      <c r="L43" s="150">
        <f>L44</f>
        <v>0</v>
      </c>
      <c r="M43" s="150">
        <f t="shared" ref="M43:N43" si="60">M44</f>
        <v>0</v>
      </c>
      <c r="N43" s="150">
        <f t="shared" si="60"/>
        <v>0</v>
      </c>
      <c r="O43" s="150">
        <f>O44</f>
        <v>783689004</v>
      </c>
      <c r="P43" s="150">
        <f t="shared" ref="P43:Q43" si="61">P44</f>
        <v>286561201</v>
      </c>
      <c r="Q43" s="150">
        <f t="shared" si="61"/>
        <v>233345182.34999999</v>
      </c>
      <c r="R43" s="150">
        <f t="shared" ref="R43:W43" si="62">R44</f>
        <v>4000000000</v>
      </c>
      <c r="S43" s="150">
        <f t="shared" si="62"/>
        <v>41700000</v>
      </c>
      <c r="T43" s="150">
        <f t="shared" si="62"/>
        <v>11400000</v>
      </c>
      <c r="U43" s="150">
        <f t="shared" si="62"/>
        <v>4783689004</v>
      </c>
      <c r="V43" s="150">
        <f t="shared" si="62"/>
        <v>328261201</v>
      </c>
      <c r="W43" s="150">
        <f t="shared" si="62"/>
        <v>244745182.34999999</v>
      </c>
      <c r="X43" s="45"/>
    </row>
    <row r="44" spans="1:24" ht="48" customHeight="1" x14ac:dyDescent="0.2">
      <c r="A44" s="65"/>
      <c r="B44" s="293"/>
      <c r="C44" s="293"/>
      <c r="D44" s="58">
        <v>2402</v>
      </c>
      <c r="E44" s="295" t="s">
        <v>188</v>
      </c>
      <c r="F44" s="300"/>
      <c r="G44" s="300"/>
      <c r="H44" s="300"/>
      <c r="I44" s="300"/>
      <c r="J44" s="300"/>
      <c r="K44" s="300"/>
      <c r="L44" s="300"/>
      <c r="M44" s="300"/>
      <c r="N44" s="300"/>
      <c r="O44" s="300">
        <f>SUM('SGTO POAI -SEPTIEMBRE-2021'!BD31:BD33)</f>
        <v>783689004</v>
      </c>
      <c r="P44" s="300">
        <f>SUM('SGTO POAI -SEPTIEMBRE-2021'!BE31:BE33)</f>
        <v>286561201</v>
      </c>
      <c r="Q44" s="300">
        <f>SUM('SGTO POAI -SEPTIEMBRE-2021'!BF31:BF33)</f>
        <v>233345182.34999999</v>
      </c>
      <c r="R44" s="300">
        <f>SUM('SGTO POAI -SEPTIEMBRE-2021'!BJ31:BJ33)</f>
        <v>4000000000</v>
      </c>
      <c r="S44" s="300">
        <f>SUM('SGTO POAI -SEPTIEMBRE-2021'!BK31:BK33)</f>
        <v>41700000</v>
      </c>
      <c r="T44" s="300">
        <f>SUM('SGTO POAI -SEPTIEMBRE-2021'!BL31:BL33)</f>
        <v>11400000</v>
      </c>
      <c r="U44" s="300">
        <f>O44+R44</f>
        <v>4783689004</v>
      </c>
      <c r="V44" s="300">
        <f t="shared" ref="V44:W44" si="63">P44+S44</f>
        <v>328261201</v>
      </c>
      <c r="W44" s="300">
        <f t="shared" si="63"/>
        <v>244745182.34999999</v>
      </c>
      <c r="X44" s="45"/>
    </row>
    <row r="45" spans="1:24" ht="24" customHeight="1" x14ac:dyDescent="0.2">
      <c r="A45" s="65"/>
      <c r="B45" s="59"/>
      <c r="C45" s="54">
        <v>32</v>
      </c>
      <c r="D45" s="52" t="s">
        <v>207</v>
      </c>
      <c r="E45" s="64"/>
      <c r="F45" s="364">
        <f>F46</f>
        <v>0</v>
      </c>
      <c r="G45" s="364">
        <f t="shared" ref="G45:H45" si="64">G46</f>
        <v>0</v>
      </c>
      <c r="H45" s="364">
        <f t="shared" si="64"/>
        <v>0</v>
      </c>
      <c r="I45" s="364">
        <f>I46</f>
        <v>56108067</v>
      </c>
      <c r="J45" s="364">
        <f t="shared" ref="J45:K45" si="65">J46</f>
        <v>56108067</v>
      </c>
      <c r="K45" s="364">
        <f t="shared" si="65"/>
        <v>37529205.509999998</v>
      </c>
      <c r="L45" s="364">
        <f>L46</f>
        <v>0</v>
      </c>
      <c r="M45" s="364">
        <f t="shared" ref="M45:N45" si="66">M46</f>
        <v>0</v>
      </c>
      <c r="N45" s="364">
        <f t="shared" si="66"/>
        <v>0</v>
      </c>
      <c r="O45" s="364">
        <f>O46</f>
        <v>2207000000</v>
      </c>
      <c r="P45" s="364">
        <f t="shared" ref="P45:Q45" si="67">P46</f>
        <v>324327208.47000003</v>
      </c>
      <c r="Q45" s="364">
        <f t="shared" si="67"/>
        <v>160616422.32999998</v>
      </c>
      <c r="R45" s="364"/>
      <c r="S45" s="364"/>
      <c r="T45" s="364"/>
      <c r="U45" s="364">
        <f>U46</f>
        <v>2263108067</v>
      </c>
      <c r="V45" s="364">
        <f t="shared" ref="V45:W45" si="68">V46</f>
        <v>380435275.47000003</v>
      </c>
      <c r="W45" s="364">
        <f t="shared" si="68"/>
        <v>198145627.83999997</v>
      </c>
      <c r="X45" s="45"/>
    </row>
    <row r="46" spans="1:24" ht="41.25" customHeight="1" x14ac:dyDescent="0.2">
      <c r="A46" s="65"/>
      <c r="B46" s="293"/>
      <c r="C46" s="293"/>
      <c r="D46" s="58">
        <v>3205</v>
      </c>
      <c r="E46" s="295" t="s">
        <v>208</v>
      </c>
      <c r="F46" s="300"/>
      <c r="G46" s="300"/>
      <c r="H46" s="300"/>
      <c r="I46" s="300">
        <f>SUM('SGTO POAI -SEPTIEMBRE-2021'!AF34:AF35)</f>
        <v>56108067</v>
      </c>
      <c r="J46" s="300">
        <f>SUM('SGTO POAI -SEPTIEMBRE-2021'!AG34:AG35)</f>
        <v>56108067</v>
      </c>
      <c r="K46" s="300">
        <f>SUM('SGTO POAI -SEPTIEMBRE-2021'!AH34:AH35)</f>
        <v>37529205.509999998</v>
      </c>
      <c r="L46" s="300"/>
      <c r="M46" s="300"/>
      <c r="N46" s="300"/>
      <c r="O46" s="300">
        <f>SUM('SGTO POAI -SEPTIEMBRE-2021'!BD34:BD35)</f>
        <v>2207000000</v>
      </c>
      <c r="P46" s="300">
        <f>SUM('SGTO POAI -SEPTIEMBRE-2021'!BE34:BE35)</f>
        <v>324327208.47000003</v>
      </c>
      <c r="Q46" s="300">
        <f>SUM('SGTO POAI -SEPTIEMBRE-2021'!BF34:BF35)</f>
        <v>160616422.32999998</v>
      </c>
      <c r="R46" s="300"/>
      <c r="S46" s="300"/>
      <c r="T46" s="300"/>
      <c r="U46" s="300">
        <f>F46+L46+O46+I46</f>
        <v>2263108067</v>
      </c>
      <c r="V46" s="300">
        <f t="shared" ref="V46:W46" si="69">G46+M46+P46+J46</f>
        <v>380435275.47000003</v>
      </c>
      <c r="W46" s="300">
        <f t="shared" si="69"/>
        <v>198145627.83999997</v>
      </c>
      <c r="X46" s="45"/>
    </row>
    <row r="47" spans="1:24" ht="24" customHeight="1" x14ac:dyDescent="0.2">
      <c r="A47" s="65"/>
      <c r="B47" s="59"/>
      <c r="C47" s="54">
        <v>40</v>
      </c>
      <c r="D47" s="52" t="s">
        <v>221</v>
      </c>
      <c r="E47" s="64"/>
      <c r="F47" s="364">
        <f>SUM(F48:F49)</f>
        <v>705000000.10000002</v>
      </c>
      <c r="G47" s="364">
        <f t="shared" ref="G47:H47" si="70">SUM(G48:G49)</f>
        <v>161561251</v>
      </c>
      <c r="H47" s="364">
        <f t="shared" si="70"/>
        <v>0</v>
      </c>
      <c r="I47" s="364"/>
      <c r="J47" s="364"/>
      <c r="K47" s="364"/>
      <c r="L47" s="364">
        <f>SUM(L48:L49)</f>
        <v>2895159641.6800003</v>
      </c>
      <c r="M47" s="364">
        <f t="shared" ref="M47:N47" si="71">SUM(M48:M49)</f>
        <v>2876730086</v>
      </c>
      <c r="N47" s="364">
        <f t="shared" si="71"/>
        <v>2162951384</v>
      </c>
      <c r="O47" s="364">
        <f>SUM(O48:O49)</f>
        <v>20000000</v>
      </c>
      <c r="P47" s="364">
        <f t="shared" ref="P47:Q47" si="72">SUM(P48:P49)</f>
        <v>0</v>
      </c>
      <c r="Q47" s="364">
        <f t="shared" si="72"/>
        <v>0</v>
      </c>
      <c r="R47" s="364"/>
      <c r="S47" s="364"/>
      <c r="T47" s="364"/>
      <c r="U47" s="364">
        <f>SUM(U48:U49)</f>
        <v>3620159641.7800002</v>
      </c>
      <c r="V47" s="364">
        <f t="shared" ref="V47:W47" si="73">SUM(V48:V49)</f>
        <v>3038291337</v>
      </c>
      <c r="W47" s="364">
        <f t="shared" si="73"/>
        <v>2162951384</v>
      </c>
      <c r="X47" s="45"/>
    </row>
    <row r="48" spans="1:24" ht="42" customHeight="1" x14ac:dyDescent="0.2">
      <c r="A48" s="65"/>
      <c r="B48" s="293"/>
      <c r="C48" s="293"/>
      <c r="D48" s="58">
        <v>4001</v>
      </c>
      <c r="E48" s="295" t="s">
        <v>222</v>
      </c>
      <c r="F48" s="300">
        <f>'SGTO POAI -SEPTIEMBRE-2021'!Z36</f>
        <v>100000000.09999999</v>
      </c>
      <c r="G48" s="300">
        <f>'SGTO POAI -SEPTIEMBRE-2021'!AA36</f>
        <v>0</v>
      </c>
      <c r="H48" s="300">
        <f>'SGTO POAI -SEPTIEMBRE-2021'!AB36</f>
        <v>0</v>
      </c>
      <c r="I48" s="300"/>
      <c r="J48" s="300"/>
      <c r="K48" s="300"/>
      <c r="L48" s="300"/>
      <c r="M48" s="300"/>
      <c r="N48" s="300"/>
      <c r="O48" s="300">
        <f>'SGTO POAI -SEPTIEMBRE-2021'!BD36</f>
        <v>20000000</v>
      </c>
      <c r="P48" s="300">
        <f>'SGTO POAI -SEPTIEMBRE-2021'!BE36</f>
        <v>0</v>
      </c>
      <c r="Q48" s="300">
        <f>'SGTO POAI -SEPTIEMBRE-2021'!BF36</f>
        <v>0</v>
      </c>
      <c r="R48" s="300"/>
      <c r="S48" s="300"/>
      <c r="T48" s="300"/>
      <c r="U48" s="300">
        <f t="shared" ref="U48:U49" si="74">F48+L48+O48+I48</f>
        <v>120000000.09999999</v>
      </c>
      <c r="V48" s="300">
        <f t="shared" ref="V48:V49" si="75">G48+M48+P48+J48</f>
        <v>0</v>
      </c>
      <c r="W48" s="300">
        <f t="shared" ref="W48:W49" si="76">H48+N48+Q48+K48</f>
        <v>0</v>
      </c>
      <c r="X48" s="45"/>
    </row>
    <row r="49" spans="1:24" ht="51.75" customHeight="1" x14ac:dyDescent="0.2">
      <c r="A49" s="65"/>
      <c r="B49" s="293"/>
      <c r="C49" s="293"/>
      <c r="D49" s="58">
        <v>4003</v>
      </c>
      <c r="E49" s="295" t="s">
        <v>230</v>
      </c>
      <c r="F49" s="300">
        <f>SUM('SGTO POAI -SEPTIEMBRE-2021'!Z37:Z42)</f>
        <v>605000000</v>
      </c>
      <c r="G49" s="300">
        <f>SUM('SGTO POAI -SEPTIEMBRE-2021'!AA37:AA42)</f>
        <v>161561251</v>
      </c>
      <c r="H49" s="300">
        <f>SUM('SGTO POAI -SEPTIEMBRE-2021'!AB37:AB42)</f>
        <v>0</v>
      </c>
      <c r="I49" s="300"/>
      <c r="J49" s="300"/>
      <c r="K49" s="300"/>
      <c r="L49" s="300">
        <f>SUM('SGTO POAI -SEPTIEMBRE-2021'!BA37:BA42)</f>
        <v>2895159641.6800003</v>
      </c>
      <c r="M49" s="300">
        <f>SUM('SGTO POAI -SEPTIEMBRE-2021'!BB37:BB42)</f>
        <v>2876730086</v>
      </c>
      <c r="N49" s="300">
        <f>SUM('SGTO POAI -SEPTIEMBRE-2021'!BC37:BC42)</f>
        <v>2162951384</v>
      </c>
      <c r="O49" s="300">
        <f>SUM('SGTO POAI -SEPTIEMBRE-2021'!BD37:BD42)</f>
        <v>0</v>
      </c>
      <c r="P49" s="300">
        <f>SUM('SGTO POAI -SEPTIEMBRE-2021'!BE37:BE42)</f>
        <v>0</v>
      </c>
      <c r="Q49" s="300">
        <f>SUM('SGTO POAI -SEPTIEMBRE-2021'!BF37:BF42)</f>
        <v>0</v>
      </c>
      <c r="R49" s="300"/>
      <c r="S49" s="300"/>
      <c r="T49" s="300"/>
      <c r="U49" s="300">
        <f t="shared" si="74"/>
        <v>3500159641.6800003</v>
      </c>
      <c r="V49" s="300">
        <f t="shared" si="75"/>
        <v>3038291337</v>
      </c>
      <c r="W49" s="300">
        <f t="shared" si="76"/>
        <v>2162951384</v>
      </c>
      <c r="X49" s="45"/>
    </row>
    <row r="50" spans="1:24" ht="24" customHeight="1" x14ac:dyDescent="0.2">
      <c r="A50" s="65"/>
      <c r="B50" s="63">
        <v>4</v>
      </c>
      <c r="C50" s="51" t="s">
        <v>37</v>
      </c>
      <c r="D50" s="51"/>
      <c r="E50" s="132"/>
      <c r="F50" s="151">
        <f>F51</f>
        <v>0</v>
      </c>
      <c r="G50" s="151">
        <f t="shared" ref="G50:H50" si="77">G51</f>
        <v>0</v>
      </c>
      <c r="H50" s="151">
        <f t="shared" si="77"/>
        <v>0</v>
      </c>
      <c r="I50" s="151"/>
      <c r="J50" s="151"/>
      <c r="K50" s="151"/>
      <c r="L50" s="151">
        <f>L51</f>
        <v>0</v>
      </c>
      <c r="M50" s="151">
        <f t="shared" ref="M50:N50" si="78">M51</f>
        <v>0</v>
      </c>
      <c r="N50" s="151">
        <f t="shared" si="78"/>
        <v>0</v>
      </c>
      <c r="O50" s="151">
        <f>O51</f>
        <v>138660648</v>
      </c>
      <c r="P50" s="151">
        <f t="shared" ref="P50:Q50" si="79">P51</f>
        <v>32775154.670000002</v>
      </c>
      <c r="Q50" s="151">
        <f t="shared" si="79"/>
        <v>1268000</v>
      </c>
      <c r="R50" s="151"/>
      <c r="S50" s="151"/>
      <c r="T50" s="151"/>
      <c r="U50" s="151">
        <f>U51</f>
        <v>138660648</v>
      </c>
      <c r="V50" s="151">
        <f t="shared" ref="V50:W50" si="80">V51</f>
        <v>32775154.670000002</v>
      </c>
      <c r="W50" s="151">
        <f t="shared" si="80"/>
        <v>1268000</v>
      </c>
      <c r="X50" s="45"/>
    </row>
    <row r="51" spans="1:24" ht="24" customHeight="1" x14ac:dyDescent="0.2">
      <c r="A51" s="65"/>
      <c r="B51" s="73"/>
      <c r="C51" s="54">
        <v>45</v>
      </c>
      <c r="D51" s="52" t="s">
        <v>38</v>
      </c>
      <c r="E51" s="125"/>
      <c r="F51" s="150">
        <f>SUM(F52:F53)</f>
        <v>0</v>
      </c>
      <c r="G51" s="150">
        <f t="shared" ref="G51:H51" si="81">SUM(G52:G53)</f>
        <v>0</v>
      </c>
      <c r="H51" s="150">
        <f t="shared" si="81"/>
        <v>0</v>
      </c>
      <c r="I51" s="150"/>
      <c r="J51" s="150"/>
      <c r="K51" s="150"/>
      <c r="L51" s="150">
        <f>SUM(L52:L53)</f>
        <v>0</v>
      </c>
      <c r="M51" s="150">
        <f t="shared" ref="M51:N51" si="82">SUM(M52:M53)</f>
        <v>0</v>
      </c>
      <c r="N51" s="150">
        <f t="shared" si="82"/>
        <v>0</v>
      </c>
      <c r="O51" s="150">
        <f>SUM(O52:O53)</f>
        <v>138660648</v>
      </c>
      <c r="P51" s="150">
        <f t="shared" ref="P51:Q51" si="83">SUM(P52:P53)</f>
        <v>32775154.670000002</v>
      </c>
      <c r="Q51" s="150">
        <f t="shared" si="83"/>
        <v>1268000</v>
      </c>
      <c r="R51" s="150"/>
      <c r="S51" s="150"/>
      <c r="T51" s="150"/>
      <c r="U51" s="150">
        <f>SUM(U52:U53)</f>
        <v>138660648</v>
      </c>
      <c r="V51" s="150">
        <f t="shared" ref="V51:W51" si="84">SUM(V52:V53)</f>
        <v>32775154.670000002</v>
      </c>
      <c r="W51" s="150">
        <f t="shared" si="84"/>
        <v>1268000</v>
      </c>
      <c r="X51" s="45"/>
    </row>
    <row r="52" spans="1:24" ht="69" customHeight="1" x14ac:dyDescent="0.2">
      <c r="A52" s="65"/>
      <c r="B52" s="293"/>
      <c r="C52" s="293"/>
      <c r="D52" s="58">
        <v>4599</v>
      </c>
      <c r="E52" s="295" t="s">
        <v>39</v>
      </c>
      <c r="F52" s="300"/>
      <c r="G52" s="300"/>
      <c r="H52" s="300"/>
      <c r="I52" s="300"/>
      <c r="J52" s="300"/>
      <c r="K52" s="300"/>
      <c r="L52" s="300"/>
      <c r="M52" s="300"/>
      <c r="N52" s="300"/>
      <c r="O52" s="300">
        <f>'SGTO POAI -SEPTIEMBRE-2021'!BD43</f>
        <v>100660648</v>
      </c>
      <c r="P52" s="300">
        <f>'SGTO POAI -SEPTIEMBRE-2021'!BE43</f>
        <v>1268000</v>
      </c>
      <c r="Q52" s="300">
        <f>'SGTO POAI -SEPTIEMBRE-2021'!BF43</f>
        <v>1268000</v>
      </c>
      <c r="R52" s="300"/>
      <c r="S52" s="300"/>
      <c r="T52" s="300"/>
      <c r="U52" s="300">
        <f t="shared" ref="U52:U53" si="85">F52+L52+O52+I52</f>
        <v>100660648</v>
      </c>
      <c r="V52" s="300">
        <f t="shared" ref="V52:V53" si="86">G52+M52+P52+J52</f>
        <v>1268000</v>
      </c>
      <c r="W52" s="300">
        <f t="shared" ref="W52:W53" si="87">H52+N52+Q52+K52</f>
        <v>1268000</v>
      </c>
      <c r="X52" s="45"/>
    </row>
    <row r="53" spans="1:24" ht="51.75" customHeight="1" x14ac:dyDescent="0.2">
      <c r="A53" s="65"/>
      <c r="B53" s="293"/>
      <c r="C53" s="293"/>
      <c r="D53" s="58">
        <v>4502</v>
      </c>
      <c r="E53" s="295" t="s">
        <v>60</v>
      </c>
      <c r="F53" s="300"/>
      <c r="G53" s="300"/>
      <c r="H53" s="300"/>
      <c r="I53" s="300"/>
      <c r="J53" s="300"/>
      <c r="K53" s="300"/>
      <c r="L53" s="300"/>
      <c r="M53" s="300"/>
      <c r="N53" s="300"/>
      <c r="O53" s="300">
        <f>'SGTO POAI -SEPTIEMBRE-2021'!BD44</f>
        <v>38000000</v>
      </c>
      <c r="P53" s="300">
        <f>'SGTO POAI -SEPTIEMBRE-2021'!BE44</f>
        <v>31507154.670000002</v>
      </c>
      <c r="Q53" s="300">
        <f>'SGTO POAI -SEPTIEMBRE-2021'!BF44</f>
        <v>0</v>
      </c>
      <c r="R53" s="300"/>
      <c r="S53" s="300"/>
      <c r="T53" s="300"/>
      <c r="U53" s="300">
        <f t="shared" si="85"/>
        <v>38000000</v>
      </c>
      <c r="V53" s="300">
        <f t="shared" si="86"/>
        <v>31507154.670000002</v>
      </c>
      <c r="W53" s="300">
        <f t="shared" si="87"/>
        <v>0</v>
      </c>
      <c r="X53" s="40"/>
    </row>
    <row r="54" spans="1:24" s="7" customFormat="1" x14ac:dyDescent="0.2">
      <c r="A54" s="45"/>
      <c r="B54" s="126"/>
      <c r="C54" s="126"/>
      <c r="D54" s="126"/>
      <c r="E54" s="146"/>
      <c r="F54" s="127"/>
      <c r="G54" s="38"/>
      <c r="H54" s="14"/>
      <c r="I54" s="14"/>
      <c r="J54" s="14"/>
      <c r="K54" s="14"/>
      <c r="L54" s="44"/>
    </row>
    <row r="55" spans="1:24" ht="24" customHeight="1" x14ac:dyDescent="0.2">
      <c r="A55" s="551" t="s">
        <v>4</v>
      </c>
      <c r="B55" s="551" t="s">
        <v>5</v>
      </c>
      <c r="C55" s="551" t="s">
        <v>6</v>
      </c>
      <c r="D55" s="551" t="s">
        <v>1359</v>
      </c>
      <c r="E55" s="552" t="s">
        <v>7</v>
      </c>
      <c r="F55" s="556" t="s">
        <v>1364</v>
      </c>
      <c r="G55" s="554"/>
      <c r="H55" s="555"/>
      <c r="I55" s="553" t="s">
        <v>1360</v>
      </c>
      <c r="J55" s="554"/>
      <c r="K55" s="555"/>
      <c r="L55" s="553" t="s">
        <v>12</v>
      </c>
      <c r="M55" s="554"/>
      <c r="N55" s="555"/>
      <c r="O55" s="2"/>
      <c r="P55" s="40"/>
    </row>
    <row r="56" spans="1:24" ht="24" customHeight="1" x14ac:dyDescent="0.2">
      <c r="A56" s="551"/>
      <c r="B56" s="551"/>
      <c r="C56" s="551"/>
      <c r="D56" s="551"/>
      <c r="E56" s="552"/>
      <c r="F56" s="160" t="s">
        <v>1649</v>
      </c>
      <c r="G56" s="160" t="s">
        <v>1495</v>
      </c>
      <c r="H56" s="160" t="s">
        <v>1496</v>
      </c>
      <c r="I56" s="160" t="s">
        <v>1649</v>
      </c>
      <c r="J56" s="160" t="s">
        <v>1495</v>
      </c>
      <c r="K56" s="160" t="s">
        <v>1496</v>
      </c>
      <c r="L56" s="160" t="s">
        <v>1649</v>
      </c>
      <c r="M56" s="160" t="s">
        <v>1495</v>
      </c>
      <c r="N56" s="160" t="s">
        <v>1496</v>
      </c>
      <c r="O56" s="2"/>
      <c r="P56" s="40"/>
    </row>
    <row r="57" spans="1:24" ht="24" customHeight="1" x14ac:dyDescent="0.2">
      <c r="A57" s="34" t="s">
        <v>261</v>
      </c>
      <c r="B57" s="35"/>
      <c r="C57" s="35"/>
      <c r="D57" s="35"/>
      <c r="E57" s="57"/>
      <c r="F57" s="266">
        <f>F58+F70+F75</f>
        <v>4387879528.3299999</v>
      </c>
      <c r="G57" s="266">
        <f t="shared" ref="G57:H57" si="88">G58+G70+G75</f>
        <v>961397333.33000004</v>
      </c>
      <c r="H57" s="266">
        <f t="shared" si="88"/>
        <v>220105998.36000001</v>
      </c>
      <c r="I57" s="266">
        <f>I58+I70+I75</f>
        <v>2244761992</v>
      </c>
      <c r="J57" s="266">
        <f t="shared" ref="J57:K57" si="89">J58+J70+J75</f>
        <v>1063995954</v>
      </c>
      <c r="K57" s="266">
        <f t="shared" si="89"/>
        <v>727165903.95000005</v>
      </c>
      <c r="L57" s="266">
        <f>L58+L70+L75</f>
        <v>6632641520.3299999</v>
      </c>
      <c r="M57" s="266">
        <f t="shared" ref="M57:N57" si="90">M58+M70+M75</f>
        <v>2025393287.3299999</v>
      </c>
      <c r="N57" s="266">
        <f t="shared" si="90"/>
        <v>947271902.30999994</v>
      </c>
      <c r="O57" s="16"/>
      <c r="P57" s="40"/>
    </row>
    <row r="58" spans="1:24" ht="24" customHeight="1" x14ac:dyDescent="0.2">
      <c r="A58" s="65"/>
      <c r="B58" s="63">
        <v>1</v>
      </c>
      <c r="C58" s="51" t="s">
        <v>136</v>
      </c>
      <c r="D58" s="51"/>
      <c r="E58" s="132"/>
      <c r="F58" s="151">
        <f>F59+F63+F65+F68</f>
        <v>4387879528.3299999</v>
      </c>
      <c r="G58" s="151">
        <f t="shared" ref="G58:H58" si="91">G59+G63+G65+G68</f>
        <v>961397333.33000004</v>
      </c>
      <c r="H58" s="151">
        <f t="shared" si="91"/>
        <v>220105998.36000001</v>
      </c>
      <c r="I58" s="151">
        <f>I59+I63+I65+I68</f>
        <v>1021050643</v>
      </c>
      <c r="J58" s="151">
        <f t="shared" ref="J58:K58" si="92">J59+J63+J65+J68</f>
        <v>518858098</v>
      </c>
      <c r="K58" s="151">
        <f t="shared" si="92"/>
        <v>381951601.94999999</v>
      </c>
      <c r="L58" s="151">
        <f>L59+L63+L65+L68</f>
        <v>5408930171.3299999</v>
      </c>
      <c r="M58" s="151">
        <f t="shared" ref="M58:N58" si="93">M59+M63+M65+M68</f>
        <v>1480255431.3299999</v>
      </c>
      <c r="N58" s="151">
        <f t="shared" si="93"/>
        <v>602057600.30999994</v>
      </c>
      <c r="O58" s="2"/>
      <c r="P58" s="40"/>
    </row>
    <row r="59" spans="1:24" ht="24" customHeight="1" x14ac:dyDescent="0.2">
      <c r="A59" s="65"/>
      <c r="B59" s="73"/>
      <c r="C59" s="54">
        <v>12</v>
      </c>
      <c r="D59" s="52" t="s">
        <v>137</v>
      </c>
      <c r="E59" s="52"/>
      <c r="F59" s="150">
        <f>SUM(F60:F62)</f>
        <v>0</v>
      </c>
      <c r="G59" s="150">
        <f t="shared" ref="G59:H59" si="94">SUM(G60:G62)</f>
        <v>0</v>
      </c>
      <c r="H59" s="150">
        <f t="shared" si="94"/>
        <v>0</v>
      </c>
      <c r="I59" s="150">
        <f>SUM(I60:I62)</f>
        <v>254028401</v>
      </c>
      <c r="J59" s="150">
        <f t="shared" ref="J59:K59" si="95">SUM(J60:J62)</f>
        <v>174440000</v>
      </c>
      <c r="K59" s="150">
        <f t="shared" si="95"/>
        <v>154860000</v>
      </c>
      <c r="L59" s="150">
        <f>SUM(L60:L62)</f>
        <v>254028401</v>
      </c>
      <c r="M59" s="150">
        <f t="shared" ref="M59:N59" si="96">SUM(M60:M62)</f>
        <v>174440000</v>
      </c>
      <c r="N59" s="150">
        <f t="shared" si="96"/>
        <v>154860000</v>
      </c>
      <c r="O59" s="2"/>
      <c r="P59" s="40"/>
    </row>
    <row r="60" spans="1:24" ht="31.5" customHeight="1" x14ac:dyDescent="0.2">
      <c r="A60" s="65"/>
      <c r="B60" s="293"/>
      <c r="C60" s="293"/>
      <c r="D60" s="58">
        <v>1202</v>
      </c>
      <c r="E60" s="295" t="s">
        <v>138</v>
      </c>
      <c r="F60" s="300"/>
      <c r="G60" s="300"/>
      <c r="H60" s="300"/>
      <c r="I60" s="300">
        <f>'SGTO POAI -SEPTIEMBRE-2021'!BD45</f>
        <v>149000000</v>
      </c>
      <c r="J60" s="300">
        <f>'SGTO POAI -SEPTIEMBRE-2021'!BE45</f>
        <v>117985000</v>
      </c>
      <c r="K60" s="300">
        <f>'SGTO POAI -SEPTIEMBRE-2021'!BF45</f>
        <v>104445000</v>
      </c>
      <c r="L60" s="300">
        <f>F60+I60</f>
        <v>149000000</v>
      </c>
      <c r="M60" s="300">
        <f t="shared" ref="M60:N62" si="97">G60+J60</f>
        <v>117985000</v>
      </c>
      <c r="N60" s="300">
        <f t="shared" si="97"/>
        <v>104445000</v>
      </c>
      <c r="O60" s="2"/>
      <c r="P60" s="40"/>
    </row>
    <row r="61" spans="1:24" ht="36.75" customHeight="1" x14ac:dyDescent="0.2">
      <c r="A61" s="65"/>
      <c r="B61" s="293"/>
      <c r="C61" s="293"/>
      <c r="D61" s="58">
        <v>1203</v>
      </c>
      <c r="E61" s="295" t="s">
        <v>265</v>
      </c>
      <c r="F61" s="300"/>
      <c r="G61" s="300"/>
      <c r="H61" s="300"/>
      <c r="I61" s="300">
        <f>SUM('SGTO POAI -SEPTIEMBRE-2021'!BD46)</f>
        <v>69028401</v>
      </c>
      <c r="J61" s="300">
        <f>SUM('SGTO POAI -SEPTIEMBRE-2021'!BE46)</f>
        <v>46455000</v>
      </c>
      <c r="K61" s="300">
        <f>SUM('SGTO POAI -SEPTIEMBRE-2021'!BF46)</f>
        <v>40415000</v>
      </c>
      <c r="L61" s="300">
        <f t="shared" ref="L61:L62" si="98">F61+I61</f>
        <v>69028401</v>
      </c>
      <c r="M61" s="300">
        <f t="shared" si="97"/>
        <v>46455000</v>
      </c>
      <c r="N61" s="300">
        <f t="shared" si="97"/>
        <v>40415000</v>
      </c>
      <c r="O61" s="2"/>
      <c r="P61" s="40"/>
    </row>
    <row r="62" spans="1:24" ht="57" customHeight="1" x14ac:dyDescent="0.2">
      <c r="A62" s="65"/>
      <c r="B62" s="293"/>
      <c r="C62" s="293"/>
      <c r="D62" s="58">
        <v>1206</v>
      </c>
      <c r="E62" s="295" t="s">
        <v>271</v>
      </c>
      <c r="F62" s="300"/>
      <c r="G62" s="300"/>
      <c r="H62" s="300"/>
      <c r="I62" s="300">
        <f>SUM('SGTO POAI -SEPTIEMBRE-2021'!BD47)</f>
        <v>36000000</v>
      </c>
      <c r="J62" s="300">
        <f>SUM('SGTO POAI -SEPTIEMBRE-2021'!BE47)</f>
        <v>10000000</v>
      </c>
      <c r="K62" s="300">
        <f>SUM('SGTO POAI -SEPTIEMBRE-2021'!BF47)</f>
        <v>10000000</v>
      </c>
      <c r="L62" s="300">
        <f t="shared" si="98"/>
        <v>36000000</v>
      </c>
      <c r="M62" s="300">
        <f t="shared" si="97"/>
        <v>10000000</v>
      </c>
      <c r="N62" s="300">
        <f t="shared" si="97"/>
        <v>10000000</v>
      </c>
      <c r="O62" s="2"/>
      <c r="P62" s="40"/>
    </row>
    <row r="63" spans="1:24" ht="24" customHeight="1" x14ac:dyDescent="0.2">
      <c r="A63" s="65"/>
      <c r="B63" s="59"/>
      <c r="C63" s="54">
        <v>22</v>
      </c>
      <c r="D63" s="52" t="s">
        <v>156</v>
      </c>
      <c r="E63" s="147"/>
      <c r="F63" s="365">
        <f>F64</f>
        <v>0</v>
      </c>
      <c r="G63" s="365">
        <f t="shared" ref="G63:H63" si="99">G64</f>
        <v>0</v>
      </c>
      <c r="H63" s="365">
        <f t="shared" si="99"/>
        <v>0</v>
      </c>
      <c r="I63" s="365">
        <f>I64</f>
        <v>124287500</v>
      </c>
      <c r="J63" s="365">
        <f t="shared" ref="J63:K63" si="100">J64</f>
        <v>49302500</v>
      </c>
      <c r="K63" s="365">
        <f t="shared" si="100"/>
        <v>36317500</v>
      </c>
      <c r="L63" s="365">
        <f>L64</f>
        <v>124287500</v>
      </c>
      <c r="M63" s="365">
        <f t="shared" ref="M63:N63" si="101">M64</f>
        <v>49302500</v>
      </c>
      <c r="N63" s="365">
        <f t="shared" si="101"/>
        <v>36317500</v>
      </c>
      <c r="O63" s="2"/>
      <c r="P63" s="40"/>
    </row>
    <row r="64" spans="1:24" ht="64.5" customHeight="1" x14ac:dyDescent="0.2">
      <c r="A64" s="65"/>
      <c r="B64" s="293"/>
      <c r="C64" s="293"/>
      <c r="D64" s="58">
        <v>2201</v>
      </c>
      <c r="E64" s="295" t="s">
        <v>277</v>
      </c>
      <c r="F64" s="300"/>
      <c r="G64" s="300"/>
      <c r="H64" s="300"/>
      <c r="I64" s="300">
        <f>'SGTO POAI -SEPTIEMBRE-2021'!BD48</f>
        <v>124287500</v>
      </c>
      <c r="J64" s="300">
        <f>'SGTO POAI -SEPTIEMBRE-2021'!BE48</f>
        <v>49302500</v>
      </c>
      <c r="K64" s="300">
        <f>'SGTO POAI -SEPTIEMBRE-2021'!BF48</f>
        <v>36317500</v>
      </c>
      <c r="L64" s="300">
        <f>F64+I64</f>
        <v>124287500</v>
      </c>
      <c r="M64" s="300">
        <f t="shared" ref="M64:N64" si="102">G64+J64</f>
        <v>49302500</v>
      </c>
      <c r="N64" s="300">
        <f t="shared" si="102"/>
        <v>36317500</v>
      </c>
      <c r="O64" s="2"/>
      <c r="P64" s="40"/>
    </row>
    <row r="65" spans="1:22" ht="24" customHeight="1" x14ac:dyDescent="0.2">
      <c r="A65" s="65"/>
      <c r="B65" s="59"/>
      <c r="C65" s="54">
        <v>41</v>
      </c>
      <c r="D65" s="52" t="s">
        <v>284</v>
      </c>
      <c r="E65" s="52"/>
      <c r="F65" s="150">
        <f>SUM(F66:F67)</f>
        <v>0</v>
      </c>
      <c r="G65" s="150">
        <f t="shared" ref="G65:H65" si="103">SUM(G66:G67)</f>
        <v>0</v>
      </c>
      <c r="H65" s="150">
        <f t="shared" si="103"/>
        <v>0</v>
      </c>
      <c r="I65" s="150">
        <f>SUM(I66:I67)</f>
        <v>581734742</v>
      </c>
      <c r="J65" s="150">
        <f t="shared" ref="J65:K65" si="104">SUM(J66:J67)</f>
        <v>255274098</v>
      </c>
      <c r="K65" s="150">
        <f t="shared" si="104"/>
        <v>168409101.94999999</v>
      </c>
      <c r="L65" s="150">
        <f>SUM(L66:L67)</f>
        <v>581734742</v>
      </c>
      <c r="M65" s="150">
        <f t="shared" ref="M65:N65" si="105">SUM(M66:M67)</f>
        <v>255274098</v>
      </c>
      <c r="N65" s="150">
        <f t="shared" si="105"/>
        <v>168409101.94999999</v>
      </c>
      <c r="O65" s="2"/>
      <c r="P65" s="40"/>
    </row>
    <row r="66" spans="1:22" ht="41.25" customHeight="1" x14ac:dyDescent="0.2">
      <c r="A66" s="65"/>
      <c r="B66" s="293"/>
      <c r="C66" s="293"/>
      <c r="D66" s="58">
        <v>4101</v>
      </c>
      <c r="E66" s="295" t="s">
        <v>285</v>
      </c>
      <c r="F66" s="300"/>
      <c r="G66" s="300"/>
      <c r="H66" s="300"/>
      <c r="I66" s="300">
        <f>SUM('SGTO POAI -SEPTIEMBRE-2021'!BD49:BD53)</f>
        <v>547707113</v>
      </c>
      <c r="J66" s="300">
        <f>SUM('SGTO POAI -SEPTIEMBRE-2021'!BE49:BE53)</f>
        <v>245932969</v>
      </c>
      <c r="K66" s="300">
        <f>SUM('SGTO POAI -SEPTIEMBRE-2021'!BF49:BF53)</f>
        <v>163409101.94999999</v>
      </c>
      <c r="L66" s="300">
        <f t="shared" ref="L66:L67" si="106">F66+I66</f>
        <v>547707113</v>
      </c>
      <c r="M66" s="300">
        <f t="shared" ref="M66:M67" si="107">G66+J66</f>
        <v>245932969</v>
      </c>
      <c r="N66" s="300">
        <f t="shared" ref="N66:N67" si="108">H66+K66</f>
        <v>163409101.94999999</v>
      </c>
      <c r="O66" s="2"/>
      <c r="P66" s="40"/>
    </row>
    <row r="67" spans="1:22" ht="51" customHeight="1" x14ac:dyDescent="0.2">
      <c r="A67" s="65"/>
      <c r="B67" s="293"/>
      <c r="C67" s="293"/>
      <c r="D67" s="58">
        <v>4103</v>
      </c>
      <c r="E67" s="295" t="s">
        <v>302</v>
      </c>
      <c r="F67" s="300"/>
      <c r="G67" s="300"/>
      <c r="H67" s="300"/>
      <c r="I67" s="300">
        <f>SUM('SGTO POAI -SEPTIEMBRE-2021'!BD54)</f>
        <v>34027629</v>
      </c>
      <c r="J67" s="300">
        <f>SUM('SGTO POAI -SEPTIEMBRE-2021'!BE54)</f>
        <v>9341129</v>
      </c>
      <c r="K67" s="300">
        <f>SUM('SGTO POAI -SEPTIEMBRE-2021'!BF54)</f>
        <v>5000000</v>
      </c>
      <c r="L67" s="300">
        <f t="shared" si="106"/>
        <v>34027629</v>
      </c>
      <c r="M67" s="300">
        <f t="shared" si="107"/>
        <v>9341129</v>
      </c>
      <c r="N67" s="300">
        <f t="shared" si="108"/>
        <v>5000000</v>
      </c>
      <c r="P67" s="45"/>
    </row>
    <row r="68" spans="1:22" ht="24" customHeight="1" x14ac:dyDescent="0.2">
      <c r="A68" s="65"/>
      <c r="B68" s="59"/>
      <c r="C68" s="54">
        <v>45</v>
      </c>
      <c r="D68" s="52" t="s">
        <v>38</v>
      </c>
      <c r="E68" s="52"/>
      <c r="F68" s="150">
        <f>F69</f>
        <v>4387879528.3299999</v>
      </c>
      <c r="G68" s="150">
        <f t="shared" ref="G68:H68" si="109">G69</f>
        <v>961397333.33000004</v>
      </c>
      <c r="H68" s="150">
        <f t="shared" si="109"/>
        <v>220105998.36000001</v>
      </c>
      <c r="I68" s="150">
        <f>I69</f>
        <v>61000000</v>
      </c>
      <c r="J68" s="150">
        <f t="shared" ref="J68:K68" si="110">J69</f>
        <v>39841500</v>
      </c>
      <c r="K68" s="150">
        <f t="shared" si="110"/>
        <v>22365000</v>
      </c>
      <c r="L68" s="150">
        <f>L69</f>
        <v>4448879528.3299999</v>
      </c>
      <c r="M68" s="150">
        <f t="shared" ref="M68:N68" si="111">M69</f>
        <v>1001238833.33</v>
      </c>
      <c r="N68" s="150">
        <f t="shared" si="111"/>
        <v>242470998.36000001</v>
      </c>
      <c r="P68" s="45"/>
    </row>
    <row r="69" spans="1:22" s="22" customFormat="1" ht="42" customHeight="1" x14ac:dyDescent="0.25">
      <c r="A69" s="339"/>
      <c r="B69" s="59"/>
      <c r="C69" s="59"/>
      <c r="D69" s="58">
        <v>4501</v>
      </c>
      <c r="E69" s="362" t="s">
        <v>311</v>
      </c>
      <c r="F69" s="300">
        <f>SUM('SGTO POAI -SEPTIEMBRE-2021'!AC55:AC56)</f>
        <v>4387879528.3299999</v>
      </c>
      <c r="G69" s="300">
        <f>SUM('SGTO POAI -SEPTIEMBRE-2021'!AD55:AD56)</f>
        <v>961397333.33000004</v>
      </c>
      <c r="H69" s="300">
        <f>SUM('SGTO POAI -SEPTIEMBRE-2021'!AE55:AE56)</f>
        <v>220105998.36000001</v>
      </c>
      <c r="I69" s="300">
        <f>SUM('SGTO POAI -SEPTIEMBRE-2021'!BD55:BD56)</f>
        <v>61000000</v>
      </c>
      <c r="J69" s="300">
        <f>SUM('SGTO POAI -SEPTIEMBRE-2021'!BE55:BE56)</f>
        <v>39841500</v>
      </c>
      <c r="K69" s="300">
        <f>SUM('SGTO POAI -SEPTIEMBRE-2021'!BF55:BF56)</f>
        <v>22365000</v>
      </c>
      <c r="L69" s="366">
        <f>F69+I69</f>
        <v>4448879528.3299999</v>
      </c>
      <c r="M69" s="366">
        <f t="shared" ref="M69:N69" si="112">G69+J69</f>
        <v>1001238833.33</v>
      </c>
      <c r="N69" s="366">
        <f t="shared" si="112"/>
        <v>242470998.36000001</v>
      </c>
      <c r="P69" s="341"/>
    </row>
    <row r="70" spans="1:22" ht="24" customHeight="1" x14ac:dyDescent="0.2">
      <c r="A70" s="65"/>
      <c r="B70" s="63">
        <v>3</v>
      </c>
      <c r="C70" s="51" t="s">
        <v>186</v>
      </c>
      <c r="D70" s="51"/>
      <c r="E70" s="132"/>
      <c r="F70" s="151">
        <f>F71+F73</f>
        <v>0</v>
      </c>
      <c r="G70" s="151">
        <f t="shared" ref="G70:H70" si="113">G71+G73</f>
        <v>0</v>
      </c>
      <c r="H70" s="151">
        <f t="shared" si="113"/>
        <v>0</v>
      </c>
      <c r="I70" s="151">
        <f>I71+I73</f>
        <v>791217948</v>
      </c>
      <c r="J70" s="151">
        <f t="shared" ref="J70:K70" si="114">J71+J73</f>
        <v>291403605</v>
      </c>
      <c r="K70" s="151">
        <f t="shared" si="114"/>
        <v>157263141</v>
      </c>
      <c r="L70" s="151">
        <f>L71+L73</f>
        <v>791217948</v>
      </c>
      <c r="M70" s="151">
        <f t="shared" ref="M70:N70" si="115">M71+M73</f>
        <v>291403605</v>
      </c>
      <c r="N70" s="151">
        <f t="shared" si="115"/>
        <v>157263141</v>
      </c>
      <c r="P70" s="45"/>
    </row>
    <row r="71" spans="1:22" ht="24" customHeight="1" x14ac:dyDescent="0.2">
      <c r="A71" s="65"/>
      <c r="B71" s="73"/>
      <c r="C71" s="54">
        <v>32</v>
      </c>
      <c r="D71" s="52" t="s">
        <v>207</v>
      </c>
      <c r="E71" s="129"/>
      <c r="F71" s="150">
        <f>F72</f>
        <v>0</v>
      </c>
      <c r="G71" s="150">
        <f t="shared" ref="G71:H71" si="116">G72</f>
        <v>0</v>
      </c>
      <c r="H71" s="150">
        <f t="shared" si="116"/>
        <v>0</v>
      </c>
      <c r="I71" s="150">
        <f>I72</f>
        <v>243850000</v>
      </c>
      <c r="J71" s="150">
        <f t="shared" ref="J71:K71" si="117">J72</f>
        <v>75687500</v>
      </c>
      <c r="K71" s="150">
        <f t="shared" si="117"/>
        <v>58377500</v>
      </c>
      <c r="L71" s="150">
        <f>L72</f>
        <v>243850000</v>
      </c>
      <c r="M71" s="150">
        <f t="shared" ref="M71:N71" si="118">M72</f>
        <v>75687500</v>
      </c>
      <c r="N71" s="150">
        <f t="shared" si="118"/>
        <v>58377500</v>
      </c>
      <c r="P71" s="45"/>
    </row>
    <row r="72" spans="1:22" s="33" customFormat="1" ht="48.75" customHeight="1" x14ac:dyDescent="0.2">
      <c r="A72" s="72"/>
      <c r="B72" s="58"/>
      <c r="C72" s="58"/>
      <c r="D72" s="58">
        <v>3205</v>
      </c>
      <c r="E72" s="295" t="s">
        <v>207</v>
      </c>
      <c r="F72" s="300"/>
      <c r="G72" s="300"/>
      <c r="H72" s="300"/>
      <c r="I72" s="300">
        <f>SUM('SGTO POAI -SEPTIEMBRE-2021'!BD57)</f>
        <v>243850000</v>
      </c>
      <c r="J72" s="300">
        <f>SUM('SGTO POAI -SEPTIEMBRE-2021'!BE57)</f>
        <v>75687500</v>
      </c>
      <c r="K72" s="300">
        <f>SUM('SGTO POAI -SEPTIEMBRE-2021'!BF57)</f>
        <v>58377500</v>
      </c>
      <c r="L72" s="300">
        <f>F72+I72</f>
        <v>243850000</v>
      </c>
      <c r="M72" s="300">
        <f t="shared" ref="M72:N72" si="119">G72+J72</f>
        <v>75687500</v>
      </c>
      <c r="N72" s="300">
        <f t="shared" si="119"/>
        <v>58377500</v>
      </c>
      <c r="P72" s="43"/>
    </row>
    <row r="73" spans="1:22" s="33" customFormat="1" ht="24" customHeight="1" x14ac:dyDescent="0.2">
      <c r="A73" s="72"/>
      <c r="B73" s="73"/>
      <c r="C73" s="54">
        <v>45</v>
      </c>
      <c r="D73" s="52" t="s">
        <v>38</v>
      </c>
      <c r="E73" s="125"/>
      <c r="F73" s="150">
        <f>F74</f>
        <v>0</v>
      </c>
      <c r="G73" s="150">
        <f t="shared" ref="G73:H73" si="120">G74</f>
        <v>0</v>
      </c>
      <c r="H73" s="150">
        <f t="shared" si="120"/>
        <v>0</v>
      </c>
      <c r="I73" s="150">
        <f>I74</f>
        <v>547367948</v>
      </c>
      <c r="J73" s="150">
        <f t="shared" ref="J73:K73" si="121">J74</f>
        <v>215716105</v>
      </c>
      <c r="K73" s="150">
        <f t="shared" si="121"/>
        <v>98885641</v>
      </c>
      <c r="L73" s="150">
        <f>L74</f>
        <v>547367948</v>
      </c>
      <c r="M73" s="150">
        <f t="shared" ref="M73:N73" si="122">M74</f>
        <v>215716105</v>
      </c>
      <c r="N73" s="150">
        <f t="shared" si="122"/>
        <v>98885641</v>
      </c>
      <c r="P73" s="43"/>
    </row>
    <row r="74" spans="1:22" s="33" customFormat="1" ht="45.75" customHeight="1" x14ac:dyDescent="0.2">
      <c r="A74" s="72"/>
      <c r="B74" s="58"/>
      <c r="C74" s="58"/>
      <c r="D74" s="58">
        <v>4503</v>
      </c>
      <c r="E74" s="295" t="s">
        <v>1481</v>
      </c>
      <c r="F74" s="300"/>
      <c r="G74" s="300"/>
      <c r="H74" s="300"/>
      <c r="I74" s="300">
        <f>SUM('SGTO POAI -SEPTIEMBRE-2021'!BD58:BD60)</f>
        <v>547367948</v>
      </c>
      <c r="J74" s="300">
        <f>SUM('SGTO POAI -SEPTIEMBRE-2021'!BE58:BE60)</f>
        <v>215716105</v>
      </c>
      <c r="K74" s="300">
        <f>SUM('SGTO POAI -SEPTIEMBRE-2021'!BF58:BF60)</f>
        <v>98885641</v>
      </c>
      <c r="L74" s="300">
        <f>F74+I74</f>
        <v>547367948</v>
      </c>
      <c r="M74" s="300">
        <f t="shared" ref="M74:N74" si="123">G74+J74</f>
        <v>215716105</v>
      </c>
      <c r="N74" s="300">
        <f t="shared" si="123"/>
        <v>98885641</v>
      </c>
      <c r="P74" s="43"/>
    </row>
    <row r="75" spans="1:22" ht="24" customHeight="1" x14ac:dyDescent="0.2">
      <c r="A75" s="65"/>
      <c r="B75" s="63">
        <v>4</v>
      </c>
      <c r="C75" s="51" t="s">
        <v>37</v>
      </c>
      <c r="D75" s="51"/>
      <c r="E75" s="132"/>
      <c r="F75" s="151">
        <f t="shared" ref="F75:N76" si="124">F76</f>
        <v>0</v>
      </c>
      <c r="G75" s="151">
        <f t="shared" si="124"/>
        <v>0</v>
      </c>
      <c r="H75" s="151">
        <f t="shared" si="124"/>
        <v>0</v>
      </c>
      <c r="I75" s="151">
        <f t="shared" si="124"/>
        <v>432493401</v>
      </c>
      <c r="J75" s="151">
        <f t="shared" si="124"/>
        <v>253734251</v>
      </c>
      <c r="K75" s="151">
        <f t="shared" si="124"/>
        <v>187951161</v>
      </c>
      <c r="L75" s="151">
        <f t="shared" si="124"/>
        <v>432493401</v>
      </c>
      <c r="M75" s="151">
        <f t="shared" si="124"/>
        <v>253734251</v>
      </c>
      <c r="N75" s="151">
        <f t="shared" si="124"/>
        <v>187951161</v>
      </c>
      <c r="P75" s="45"/>
    </row>
    <row r="76" spans="1:22" ht="24" customHeight="1" x14ac:dyDescent="0.2">
      <c r="A76" s="65"/>
      <c r="B76" s="73"/>
      <c r="C76" s="54">
        <v>45</v>
      </c>
      <c r="D76" s="52" t="s">
        <v>38</v>
      </c>
      <c r="E76" s="125"/>
      <c r="F76" s="150">
        <f t="shared" si="124"/>
        <v>0</v>
      </c>
      <c r="G76" s="150">
        <f t="shared" si="124"/>
        <v>0</v>
      </c>
      <c r="H76" s="150">
        <f t="shared" si="124"/>
        <v>0</v>
      </c>
      <c r="I76" s="150">
        <f t="shared" si="124"/>
        <v>432493401</v>
      </c>
      <c r="J76" s="150">
        <f t="shared" si="124"/>
        <v>253734251</v>
      </c>
      <c r="K76" s="150">
        <f t="shared" si="124"/>
        <v>187951161</v>
      </c>
      <c r="L76" s="150">
        <f t="shared" si="124"/>
        <v>432493401</v>
      </c>
      <c r="M76" s="150">
        <f t="shared" si="124"/>
        <v>253734251</v>
      </c>
      <c r="N76" s="150">
        <f t="shared" si="124"/>
        <v>187951161</v>
      </c>
      <c r="P76" s="45"/>
    </row>
    <row r="77" spans="1:22" s="33" customFormat="1" ht="55.5" customHeight="1" x14ac:dyDescent="0.2">
      <c r="A77" s="72"/>
      <c r="B77" s="58"/>
      <c r="C77" s="58"/>
      <c r="D77" s="58">
        <v>4502</v>
      </c>
      <c r="E77" s="295" t="s">
        <v>60</v>
      </c>
      <c r="F77" s="195"/>
      <c r="G77" s="195"/>
      <c r="H77" s="195"/>
      <c r="I77" s="195">
        <f>SUM('SGTO POAI -SEPTIEMBRE-2021'!BD61:BD65)</f>
        <v>432493401</v>
      </c>
      <c r="J77" s="195">
        <f>SUM('SGTO POAI -SEPTIEMBRE-2021'!BE61:BE65)</f>
        <v>253734251</v>
      </c>
      <c r="K77" s="195">
        <f>SUM('SGTO POAI -SEPTIEMBRE-2021'!BF61:BF65)</f>
        <v>187951161</v>
      </c>
      <c r="L77" s="300">
        <f>F77+I77</f>
        <v>432493401</v>
      </c>
      <c r="M77" s="300">
        <f t="shared" ref="M77:N77" si="125">G77+J77</f>
        <v>253734251</v>
      </c>
      <c r="N77" s="300">
        <f t="shared" si="125"/>
        <v>187951161</v>
      </c>
      <c r="P77" s="43"/>
    </row>
    <row r="78" spans="1:22" s="7" customFormat="1" x14ac:dyDescent="0.2">
      <c r="A78" s="45"/>
      <c r="B78" s="126"/>
      <c r="C78" s="126"/>
      <c r="D78" s="126"/>
      <c r="E78" s="146"/>
      <c r="F78" s="127"/>
      <c r="G78" s="38"/>
      <c r="H78" s="14"/>
      <c r="I78" s="14"/>
      <c r="J78" s="14"/>
      <c r="K78" s="14"/>
      <c r="L78" s="44"/>
    </row>
    <row r="79" spans="1:22" ht="24" customHeight="1" x14ac:dyDescent="0.2">
      <c r="A79" s="551" t="s">
        <v>4</v>
      </c>
      <c r="B79" s="551" t="s">
        <v>5</v>
      </c>
      <c r="C79" s="551" t="s">
        <v>6</v>
      </c>
      <c r="D79" s="551" t="s">
        <v>1359</v>
      </c>
      <c r="E79" s="552" t="s">
        <v>7</v>
      </c>
      <c r="F79" s="557" t="s">
        <v>1504</v>
      </c>
      <c r="G79" s="549"/>
      <c r="H79" s="550"/>
      <c r="I79" s="548" t="s">
        <v>1360</v>
      </c>
      <c r="J79" s="549"/>
      <c r="K79" s="550"/>
      <c r="L79" s="548" t="s">
        <v>1365</v>
      </c>
      <c r="M79" s="549"/>
      <c r="N79" s="550"/>
      <c r="O79" s="548" t="s">
        <v>1674</v>
      </c>
      <c r="P79" s="549"/>
      <c r="Q79" s="550"/>
      <c r="R79" s="553" t="s">
        <v>12</v>
      </c>
      <c r="S79" s="554"/>
      <c r="T79" s="555"/>
      <c r="U79" s="338"/>
      <c r="V79" s="40"/>
    </row>
    <row r="80" spans="1:22" ht="24" customHeight="1" x14ac:dyDescent="0.2">
      <c r="A80" s="551"/>
      <c r="B80" s="551"/>
      <c r="C80" s="551"/>
      <c r="D80" s="551"/>
      <c r="E80" s="552"/>
      <c r="F80" s="160" t="s">
        <v>1649</v>
      </c>
      <c r="G80" s="160" t="s">
        <v>1495</v>
      </c>
      <c r="H80" s="160" t="s">
        <v>1496</v>
      </c>
      <c r="I80" s="160" t="s">
        <v>1649</v>
      </c>
      <c r="J80" s="160" t="s">
        <v>1495</v>
      </c>
      <c r="K80" s="160" t="s">
        <v>1496</v>
      </c>
      <c r="L80" s="160" t="s">
        <v>1649</v>
      </c>
      <c r="M80" s="160" t="s">
        <v>1495</v>
      </c>
      <c r="N80" s="160" t="s">
        <v>1496</v>
      </c>
      <c r="O80" s="363" t="s">
        <v>1649</v>
      </c>
      <c r="P80" s="363" t="s">
        <v>1495</v>
      </c>
      <c r="Q80" s="363" t="s">
        <v>1496</v>
      </c>
      <c r="R80" s="160" t="s">
        <v>1649</v>
      </c>
      <c r="S80" s="160" t="s">
        <v>1495</v>
      </c>
      <c r="T80" s="160" t="s">
        <v>1496</v>
      </c>
      <c r="U80" s="338"/>
      <c r="V80" s="40"/>
    </row>
    <row r="81" spans="1:22" ht="24" customHeight="1" x14ac:dyDescent="0.2">
      <c r="A81" s="34" t="s">
        <v>359</v>
      </c>
      <c r="B81" s="35"/>
      <c r="C81" s="35"/>
      <c r="D81" s="35"/>
      <c r="E81" s="57"/>
      <c r="F81" s="266">
        <f t="shared" ref="F81:Q82" si="126">F82</f>
        <v>2980319083.0199995</v>
      </c>
      <c r="G81" s="266">
        <f t="shared" si="126"/>
        <v>2396329794.5299997</v>
      </c>
      <c r="H81" s="266">
        <f t="shared" si="126"/>
        <v>1474695783.8800001</v>
      </c>
      <c r="I81" s="266">
        <f t="shared" si="126"/>
        <v>875000000</v>
      </c>
      <c r="J81" s="266">
        <f t="shared" si="126"/>
        <v>580251000</v>
      </c>
      <c r="K81" s="266">
        <f t="shared" si="126"/>
        <v>238012567.21000001</v>
      </c>
      <c r="L81" s="266">
        <f t="shared" si="126"/>
        <v>141198236.30000001</v>
      </c>
      <c r="M81" s="266">
        <f t="shared" si="126"/>
        <v>0</v>
      </c>
      <c r="N81" s="266">
        <f t="shared" si="126"/>
        <v>0</v>
      </c>
      <c r="O81" s="266">
        <f t="shared" si="126"/>
        <v>12090000</v>
      </c>
      <c r="P81" s="266">
        <f t="shared" si="126"/>
        <v>7800000</v>
      </c>
      <c r="Q81" s="266">
        <f t="shared" si="126"/>
        <v>0</v>
      </c>
      <c r="R81" s="266">
        <f t="shared" ref="R81:T82" si="127">R82</f>
        <v>4008607319.3199997</v>
      </c>
      <c r="S81" s="266">
        <f t="shared" si="127"/>
        <v>2984380794.5299997</v>
      </c>
      <c r="T81" s="266">
        <f t="shared" si="127"/>
        <v>1712708351.0900002</v>
      </c>
      <c r="U81" s="338"/>
      <c r="V81" s="45"/>
    </row>
    <row r="82" spans="1:22" ht="24" customHeight="1" x14ac:dyDescent="0.2">
      <c r="A82" s="65"/>
      <c r="B82" s="63">
        <v>1</v>
      </c>
      <c r="C82" s="51" t="s">
        <v>136</v>
      </c>
      <c r="D82" s="51"/>
      <c r="E82" s="132"/>
      <c r="F82" s="151">
        <f t="shared" si="126"/>
        <v>2980319083.0199995</v>
      </c>
      <c r="G82" s="151">
        <f t="shared" si="126"/>
        <v>2396329794.5299997</v>
      </c>
      <c r="H82" s="151">
        <f t="shared" si="126"/>
        <v>1474695783.8800001</v>
      </c>
      <c r="I82" s="151">
        <f t="shared" si="126"/>
        <v>875000000</v>
      </c>
      <c r="J82" s="151">
        <f t="shared" si="126"/>
        <v>580251000</v>
      </c>
      <c r="K82" s="151">
        <f t="shared" si="126"/>
        <v>238012567.21000001</v>
      </c>
      <c r="L82" s="151">
        <f t="shared" si="126"/>
        <v>141198236.30000001</v>
      </c>
      <c r="M82" s="151">
        <f t="shared" si="126"/>
        <v>0</v>
      </c>
      <c r="N82" s="151">
        <f t="shared" si="126"/>
        <v>0</v>
      </c>
      <c r="O82" s="151">
        <f t="shared" si="126"/>
        <v>12090000</v>
      </c>
      <c r="P82" s="151">
        <f t="shared" si="126"/>
        <v>7800000</v>
      </c>
      <c r="Q82" s="151">
        <f t="shared" si="126"/>
        <v>0</v>
      </c>
      <c r="R82" s="151">
        <f>R83</f>
        <v>4008607319.3199997</v>
      </c>
      <c r="S82" s="151">
        <f t="shared" si="127"/>
        <v>2984380794.5299997</v>
      </c>
      <c r="T82" s="151">
        <f t="shared" si="127"/>
        <v>1712708351.0900002</v>
      </c>
      <c r="U82" s="338"/>
      <c r="V82" s="45"/>
    </row>
    <row r="83" spans="1:22" ht="20.25" customHeight="1" x14ac:dyDescent="0.2">
      <c r="A83" s="65"/>
      <c r="B83" s="73"/>
      <c r="C83" s="54">
        <v>33</v>
      </c>
      <c r="D83" s="128" t="s">
        <v>166</v>
      </c>
      <c r="E83" s="129"/>
      <c r="F83" s="150">
        <f t="shared" ref="F83:Q83" si="128">SUM(F84:F85)</f>
        <v>2980319083.0199995</v>
      </c>
      <c r="G83" s="150">
        <f t="shared" si="128"/>
        <v>2396329794.5299997</v>
      </c>
      <c r="H83" s="150">
        <f t="shared" si="128"/>
        <v>1474695783.8800001</v>
      </c>
      <c r="I83" s="150">
        <f t="shared" si="128"/>
        <v>875000000</v>
      </c>
      <c r="J83" s="150">
        <f t="shared" si="128"/>
        <v>580251000</v>
      </c>
      <c r="K83" s="150">
        <f t="shared" si="128"/>
        <v>238012567.21000001</v>
      </c>
      <c r="L83" s="150">
        <f t="shared" si="128"/>
        <v>141198236.30000001</v>
      </c>
      <c r="M83" s="150">
        <f t="shared" si="128"/>
        <v>0</v>
      </c>
      <c r="N83" s="150">
        <f t="shared" si="128"/>
        <v>0</v>
      </c>
      <c r="O83" s="150">
        <f t="shared" si="128"/>
        <v>12090000</v>
      </c>
      <c r="P83" s="150">
        <f t="shared" si="128"/>
        <v>7800000</v>
      </c>
      <c r="Q83" s="150">
        <f t="shared" si="128"/>
        <v>0</v>
      </c>
      <c r="R83" s="150">
        <f>SUM(R84:R85)</f>
        <v>4008607319.3199997</v>
      </c>
      <c r="S83" s="150">
        <f t="shared" ref="S83:T83" si="129">SUM(S84:S85)</f>
        <v>2984380794.5299997</v>
      </c>
      <c r="T83" s="150">
        <f t="shared" si="129"/>
        <v>1712708351.0900002</v>
      </c>
      <c r="U83" s="338"/>
      <c r="V83" s="45"/>
    </row>
    <row r="84" spans="1:22" s="33" customFormat="1" ht="54.75" customHeight="1" x14ac:dyDescent="0.2">
      <c r="A84" s="72"/>
      <c r="B84" s="58"/>
      <c r="C84" s="58"/>
      <c r="D84" s="58">
        <v>3301</v>
      </c>
      <c r="E84" s="295" t="s">
        <v>167</v>
      </c>
      <c r="F84" s="300">
        <f>SUM('SGTO POAI -SEPTIEMBRE-2021'!Z66:Z73)</f>
        <v>2980319083.0199995</v>
      </c>
      <c r="G84" s="300">
        <f>SUM('SGTO POAI -SEPTIEMBRE-2021'!AA66:AA73)</f>
        <v>2396329794.5299997</v>
      </c>
      <c r="H84" s="300">
        <f>SUM('SGTO POAI -SEPTIEMBRE-2021'!AB66:AB73)</f>
        <v>1474695783.8800001</v>
      </c>
      <c r="I84" s="300">
        <f>SUM('SGTO POAI -SEPTIEMBRE-2021'!BD66:BD73)</f>
        <v>742000000</v>
      </c>
      <c r="J84" s="300">
        <f>SUM('SGTO POAI -SEPTIEMBRE-2021'!BE66:BE73)</f>
        <v>494686000</v>
      </c>
      <c r="K84" s="300">
        <f>SUM('SGTO POAI -SEPTIEMBRE-2021'!BF66:BF73)</f>
        <v>191533693.21000001</v>
      </c>
      <c r="L84" s="300"/>
      <c r="M84" s="300"/>
      <c r="N84" s="300"/>
      <c r="O84" s="300">
        <f>SUM('SGTO POAI -SEPTIEMBRE-2021'!BJ66:BJ73)</f>
        <v>12090000</v>
      </c>
      <c r="P84" s="300">
        <f>SUM('SGTO POAI -SEPTIEMBRE-2021'!BK66:BK73)</f>
        <v>7800000</v>
      </c>
      <c r="Q84" s="300">
        <f>SUM('SGTO POAI -SEPTIEMBRE-2021'!BL66:BL73)</f>
        <v>0</v>
      </c>
      <c r="R84" s="300">
        <f>F84+I84+L84+O84</f>
        <v>3734409083.0199995</v>
      </c>
      <c r="S84" s="300">
        <f t="shared" ref="S84:T85" si="130">G84+J84+M84+P84</f>
        <v>2898815794.5299997</v>
      </c>
      <c r="T84" s="300">
        <f t="shared" si="130"/>
        <v>1666229477.0900002</v>
      </c>
      <c r="U84" s="342"/>
      <c r="V84" s="43"/>
    </row>
    <row r="85" spans="1:22" s="33" customFormat="1" ht="60" customHeight="1" x14ac:dyDescent="0.2">
      <c r="A85" s="72"/>
      <c r="B85" s="58"/>
      <c r="C85" s="58"/>
      <c r="D85" s="58">
        <v>3302</v>
      </c>
      <c r="E85" s="295" t="s">
        <v>389</v>
      </c>
      <c r="F85" s="195">
        <f>SUM('SGTO POAI -SEPTIEMBRE-2021'!Z74:Z75)</f>
        <v>0</v>
      </c>
      <c r="G85" s="195">
        <f>SUM('SGTO POAI -SEPTIEMBRE-2021'!AA74:AA75)</f>
        <v>0</v>
      </c>
      <c r="H85" s="195">
        <f>SUM('SGTO POAI -SEPTIEMBRE-2021'!AB74:AB75)</f>
        <v>0</v>
      </c>
      <c r="I85" s="195">
        <f>SUM('SGTO POAI -SEPTIEMBRE-2021'!BD74:BD75)</f>
        <v>133000000</v>
      </c>
      <c r="J85" s="195">
        <f>SUM('SGTO POAI -SEPTIEMBRE-2021'!BE74:BE75)</f>
        <v>85565000</v>
      </c>
      <c r="K85" s="195">
        <f>SUM('SGTO POAI -SEPTIEMBRE-2021'!BF74:BF75)</f>
        <v>46478874</v>
      </c>
      <c r="L85" s="195">
        <f>SUM('SGTO POAI -SEPTIEMBRE-2021'!BG74:BG75)</f>
        <v>141198236.30000001</v>
      </c>
      <c r="M85" s="195">
        <f>SUM('SGTO POAI -SEPTIEMBRE-2021'!BH74:BH75)</f>
        <v>0</v>
      </c>
      <c r="N85" s="195">
        <f>SUM('SGTO POAI -SEPTIEMBRE-2021'!BI74:BI75)</f>
        <v>0</v>
      </c>
      <c r="O85" s="195"/>
      <c r="P85" s="195"/>
      <c r="Q85" s="195"/>
      <c r="R85" s="300">
        <f>F85+I85+L85+O85</f>
        <v>274198236.30000001</v>
      </c>
      <c r="S85" s="300">
        <f t="shared" si="130"/>
        <v>85565000</v>
      </c>
      <c r="T85" s="300">
        <f t="shared" si="130"/>
        <v>46478874</v>
      </c>
      <c r="U85" s="342"/>
      <c r="V85" s="43"/>
    </row>
    <row r="86" spans="1:22" s="7" customFormat="1" x14ac:dyDescent="0.2">
      <c r="A86" s="45"/>
      <c r="B86" s="126"/>
      <c r="C86" s="126"/>
      <c r="D86" s="126"/>
      <c r="E86" s="146"/>
      <c r="F86" s="127"/>
      <c r="G86" s="38"/>
      <c r="H86" s="14"/>
      <c r="I86" s="14"/>
      <c r="J86" s="14"/>
      <c r="K86" s="14"/>
      <c r="L86" s="44"/>
    </row>
    <row r="87" spans="1:22" ht="24" customHeight="1" x14ac:dyDescent="0.2">
      <c r="A87" s="551" t="s">
        <v>4</v>
      </c>
      <c r="B87" s="551" t="s">
        <v>5</v>
      </c>
      <c r="C87" s="551" t="s">
        <v>6</v>
      </c>
      <c r="D87" s="551" t="s">
        <v>1359</v>
      </c>
      <c r="E87" s="552" t="s">
        <v>7</v>
      </c>
      <c r="F87" s="557" t="s">
        <v>1360</v>
      </c>
      <c r="G87" s="549"/>
      <c r="H87" s="550"/>
      <c r="I87" s="548" t="s">
        <v>1366</v>
      </c>
      <c r="J87" s="549"/>
      <c r="K87" s="550"/>
      <c r="L87" s="548" t="s">
        <v>12</v>
      </c>
      <c r="M87" s="549"/>
      <c r="N87" s="550"/>
      <c r="O87" s="2"/>
      <c r="P87" s="40"/>
    </row>
    <row r="88" spans="1:22" ht="24" customHeight="1" x14ac:dyDescent="0.2">
      <c r="A88" s="551"/>
      <c r="B88" s="551"/>
      <c r="C88" s="551"/>
      <c r="D88" s="551"/>
      <c r="E88" s="552"/>
      <c r="F88" s="160" t="s">
        <v>1649</v>
      </c>
      <c r="G88" s="160" t="s">
        <v>1495</v>
      </c>
      <c r="H88" s="160" t="s">
        <v>1496</v>
      </c>
      <c r="I88" s="160" t="s">
        <v>1649</v>
      </c>
      <c r="J88" s="160" t="s">
        <v>1495</v>
      </c>
      <c r="K88" s="160" t="s">
        <v>1496</v>
      </c>
      <c r="L88" s="160" t="s">
        <v>1649</v>
      </c>
      <c r="M88" s="160" t="s">
        <v>1495</v>
      </c>
      <c r="N88" s="160" t="s">
        <v>1496</v>
      </c>
      <c r="O88" s="2"/>
      <c r="P88" s="40"/>
    </row>
    <row r="89" spans="1:22" ht="24" customHeight="1" x14ac:dyDescent="0.2">
      <c r="A89" s="34" t="s">
        <v>399</v>
      </c>
      <c r="B89" s="35"/>
      <c r="C89" s="35"/>
      <c r="D89" s="35"/>
      <c r="E89" s="57"/>
      <c r="F89" s="266">
        <f>F90</f>
        <v>2416356036</v>
      </c>
      <c r="G89" s="266">
        <f t="shared" ref="G89:H89" si="131">G90</f>
        <v>2019103987</v>
      </c>
      <c r="H89" s="266">
        <f t="shared" si="131"/>
        <v>221908976</v>
      </c>
      <c r="I89" s="266">
        <f>I90</f>
        <v>1005231673.61</v>
      </c>
      <c r="J89" s="266">
        <f t="shared" ref="J89:K89" si="132">J90</f>
        <v>325901665</v>
      </c>
      <c r="K89" s="266">
        <f t="shared" si="132"/>
        <v>275718900</v>
      </c>
      <c r="L89" s="266">
        <f>L90</f>
        <v>3421587709.6100001</v>
      </c>
      <c r="M89" s="266">
        <f t="shared" ref="M89:N89" si="133">M90</f>
        <v>2345005652</v>
      </c>
      <c r="N89" s="266">
        <f t="shared" si="133"/>
        <v>497627876</v>
      </c>
      <c r="P89" s="45"/>
    </row>
    <row r="90" spans="1:22" ht="24" customHeight="1" x14ac:dyDescent="0.2">
      <c r="A90" s="65"/>
      <c r="B90" s="67">
        <v>2</v>
      </c>
      <c r="C90" s="51" t="s">
        <v>400</v>
      </c>
      <c r="D90" s="51"/>
      <c r="E90" s="132"/>
      <c r="F90" s="151">
        <f>F91+F93</f>
        <v>2416356036</v>
      </c>
      <c r="G90" s="151">
        <f t="shared" ref="G90:H90" si="134">G91+G93</f>
        <v>2019103987</v>
      </c>
      <c r="H90" s="151">
        <f t="shared" si="134"/>
        <v>221908976</v>
      </c>
      <c r="I90" s="151">
        <f>I91+I93</f>
        <v>1005231673.61</v>
      </c>
      <c r="J90" s="151">
        <f t="shared" ref="J90:K90" si="135">J91+J93</f>
        <v>325901665</v>
      </c>
      <c r="K90" s="151">
        <f t="shared" si="135"/>
        <v>275718900</v>
      </c>
      <c r="L90" s="151">
        <f>L91+L93</f>
        <v>3421587709.6100001</v>
      </c>
      <c r="M90" s="151">
        <f t="shared" ref="M90:N90" si="136">M91+M93</f>
        <v>2345005652</v>
      </c>
      <c r="N90" s="151">
        <f t="shared" si="136"/>
        <v>497627876</v>
      </c>
      <c r="P90" s="45"/>
    </row>
    <row r="91" spans="1:22" ht="24" customHeight="1" x14ac:dyDescent="0.2">
      <c r="A91" s="65"/>
      <c r="B91" s="73"/>
      <c r="C91" s="54">
        <v>35</v>
      </c>
      <c r="D91" s="52" t="s">
        <v>401</v>
      </c>
      <c r="E91" s="125"/>
      <c r="F91" s="150">
        <f>F92</f>
        <v>2178856036</v>
      </c>
      <c r="G91" s="150">
        <f t="shared" ref="G91:H91" si="137">G92</f>
        <v>1916636036</v>
      </c>
      <c r="H91" s="150">
        <f t="shared" si="137"/>
        <v>153440000</v>
      </c>
      <c r="I91" s="150">
        <f>I92</f>
        <v>1005231673.61</v>
      </c>
      <c r="J91" s="150">
        <f t="shared" ref="J91:K91" si="138">J92</f>
        <v>325901665</v>
      </c>
      <c r="K91" s="150">
        <f t="shared" si="138"/>
        <v>275718900</v>
      </c>
      <c r="L91" s="150">
        <f>L92</f>
        <v>3184087709.6100001</v>
      </c>
      <c r="M91" s="150">
        <f t="shared" ref="M91:N91" si="139">M92</f>
        <v>2242537701</v>
      </c>
      <c r="N91" s="150">
        <f t="shared" si="139"/>
        <v>429158900</v>
      </c>
      <c r="P91" s="45"/>
    </row>
    <row r="92" spans="1:22" s="33" customFormat="1" ht="44.25" customHeight="1" x14ac:dyDescent="0.2">
      <c r="A92" s="72"/>
      <c r="B92" s="58"/>
      <c r="C92" s="58"/>
      <c r="D92" s="74">
        <v>3502</v>
      </c>
      <c r="E92" s="295" t="s">
        <v>402</v>
      </c>
      <c r="F92" s="300">
        <f>SUM('SGTO POAI -SEPTIEMBRE-2021'!BD76:BD83)</f>
        <v>2178856036</v>
      </c>
      <c r="G92" s="300">
        <f>SUM('SGTO POAI -SEPTIEMBRE-2021'!BE76:BE83)</f>
        <v>1916636036</v>
      </c>
      <c r="H92" s="300">
        <f>SUM('SGTO POAI -SEPTIEMBRE-2021'!BF76:BF83)</f>
        <v>153440000</v>
      </c>
      <c r="I92" s="300">
        <f>SUM('SGTO POAI -SEPTIEMBRE-2021'!BG76:BG83)</f>
        <v>1005231673.61</v>
      </c>
      <c r="J92" s="300">
        <f>SUM('SGTO POAI -SEPTIEMBRE-2021'!BH76:BH83)</f>
        <v>325901665</v>
      </c>
      <c r="K92" s="300">
        <f>SUM('SGTO POAI -SEPTIEMBRE-2021'!BI76:BI83)</f>
        <v>275718900</v>
      </c>
      <c r="L92" s="300">
        <f>F92+I92</f>
        <v>3184087709.6100001</v>
      </c>
      <c r="M92" s="300">
        <f t="shared" ref="M92:N92" si="140">G92+J92</f>
        <v>2242537701</v>
      </c>
      <c r="N92" s="300">
        <f t="shared" si="140"/>
        <v>429158900</v>
      </c>
      <c r="P92" s="43"/>
    </row>
    <row r="93" spans="1:22" s="33" customFormat="1" ht="24" customHeight="1" x14ac:dyDescent="0.2">
      <c r="A93" s="72"/>
      <c r="B93" s="73"/>
      <c r="C93" s="54">
        <v>36</v>
      </c>
      <c r="D93" s="128" t="s">
        <v>433</v>
      </c>
      <c r="E93" s="129"/>
      <c r="F93" s="367">
        <f>F94</f>
        <v>237500000</v>
      </c>
      <c r="G93" s="367">
        <f t="shared" ref="G93:H93" si="141">G94</f>
        <v>102467951</v>
      </c>
      <c r="H93" s="367">
        <f t="shared" si="141"/>
        <v>68468976</v>
      </c>
      <c r="I93" s="367">
        <f>I94</f>
        <v>0</v>
      </c>
      <c r="J93" s="367">
        <f t="shared" ref="J93:K93" si="142">J94</f>
        <v>0</v>
      </c>
      <c r="K93" s="367">
        <f t="shared" si="142"/>
        <v>0</v>
      </c>
      <c r="L93" s="367">
        <f>L94</f>
        <v>237500000</v>
      </c>
      <c r="M93" s="367">
        <f t="shared" ref="M93:N93" si="143">M94</f>
        <v>102467951</v>
      </c>
      <c r="N93" s="367">
        <f t="shared" si="143"/>
        <v>68468976</v>
      </c>
      <c r="P93" s="43"/>
    </row>
    <row r="94" spans="1:22" s="33" customFormat="1" ht="45.75" customHeight="1" x14ac:dyDescent="0.2">
      <c r="A94" s="72"/>
      <c r="B94" s="58"/>
      <c r="C94" s="58"/>
      <c r="D94" s="74">
        <v>3602</v>
      </c>
      <c r="E94" s="295" t="s">
        <v>434</v>
      </c>
      <c r="F94" s="300">
        <f>SUM('SGTO POAI -SEPTIEMBRE-2021'!BD84:BD87)</f>
        <v>237500000</v>
      </c>
      <c r="G94" s="300">
        <f>SUM('SGTO POAI -SEPTIEMBRE-2021'!BE84:BE87)</f>
        <v>102467951</v>
      </c>
      <c r="H94" s="300">
        <f>SUM('SGTO POAI -SEPTIEMBRE-2021'!BF84:BF87)</f>
        <v>68468976</v>
      </c>
      <c r="I94" s="300"/>
      <c r="J94" s="300"/>
      <c r="K94" s="300"/>
      <c r="L94" s="300">
        <f>F94+I94</f>
        <v>237500000</v>
      </c>
      <c r="M94" s="300">
        <f t="shared" ref="M94:N94" si="144">G94+J94</f>
        <v>102467951</v>
      </c>
      <c r="N94" s="300">
        <f t="shared" si="144"/>
        <v>68468976</v>
      </c>
      <c r="P94" s="43"/>
    </row>
    <row r="95" spans="1:22" s="7" customFormat="1" x14ac:dyDescent="0.2">
      <c r="A95" s="45"/>
      <c r="B95" s="126"/>
      <c r="C95" s="126"/>
      <c r="D95" s="126"/>
      <c r="E95" s="146"/>
      <c r="F95" s="127"/>
      <c r="G95" s="38"/>
      <c r="H95" s="14"/>
      <c r="I95" s="14"/>
      <c r="J95" s="14"/>
      <c r="K95" s="14"/>
      <c r="L95" s="44"/>
    </row>
    <row r="96" spans="1:22" s="7" customFormat="1" ht="24" customHeight="1" x14ac:dyDescent="0.2">
      <c r="A96" s="551" t="s">
        <v>4</v>
      </c>
      <c r="B96" s="551" t="s">
        <v>5</v>
      </c>
      <c r="C96" s="551" t="s">
        <v>6</v>
      </c>
      <c r="D96" s="551" t="s">
        <v>1359</v>
      </c>
      <c r="E96" s="552" t="s">
        <v>7</v>
      </c>
      <c r="F96" s="562" t="s">
        <v>1360</v>
      </c>
      <c r="G96" s="563"/>
      <c r="H96" s="564"/>
      <c r="I96" s="548" t="s">
        <v>1561</v>
      </c>
      <c r="J96" s="549"/>
      <c r="K96" s="550"/>
      <c r="L96" s="548" t="s">
        <v>12</v>
      </c>
      <c r="M96" s="549"/>
      <c r="N96" s="550"/>
    </row>
    <row r="97" spans="1:14" s="7" customFormat="1" ht="24" customHeight="1" x14ac:dyDescent="0.2">
      <c r="A97" s="551"/>
      <c r="B97" s="551"/>
      <c r="C97" s="551"/>
      <c r="D97" s="551"/>
      <c r="E97" s="552"/>
      <c r="F97" s="160" t="s">
        <v>1649</v>
      </c>
      <c r="G97" s="160" t="s">
        <v>1495</v>
      </c>
      <c r="H97" s="160" t="s">
        <v>1496</v>
      </c>
      <c r="I97" s="296" t="s">
        <v>1649</v>
      </c>
      <c r="J97" s="296" t="s">
        <v>1495</v>
      </c>
      <c r="K97" s="296" t="s">
        <v>1496</v>
      </c>
      <c r="L97" s="296" t="s">
        <v>1649</v>
      </c>
      <c r="M97" s="296" t="s">
        <v>1495</v>
      </c>
      <c r="N97" s="296" t="s">
        <v>1496</v>
      </c>
    </row>
    <row r="98" spans="1:14" ht="24" customHeight="1" x14ac:dyDescent="0.2">
      <c r="A98" s="34" t="s">
        <v>450</v>
      </c>
      <c r="B98" s="35"/>
      <c r="C98" s="35"/>
      <c r="D98" s="35"/>
      <c r="E98" s="57"/>
      <c r="F98" s="267">
        <f>F99+F110</f>
        <v>3198683915.9700003</v>
      </c>
      <c r="G98" s="267">
        <f t="shared" ref="G98:N98" si="145">G99+G110</f>
        <v>1187599819</v>
      </c>
      <c r="H98" s="267">
        <f t="shared" si="145"/>
        <v>745940288</v>
      </c>
      <c r="I98" s="267">
        <f t="shared" si="145"/>
        <v>655606585.65999997</v>
      </c>
      <c r="J98" s="267">
        <f t="shared" si="145"/>
        <v>550000000</v>
      </c>
      <c r="K98" s="267">
        <f t="shared" si="145"/>
        <v>550000000</v>
      </c>
      <c r="L98" s="267">
        <f t="shared" si="145"/>
        <v>3854290501.6300001</v>
      </c>
      <c r="M98" s="267">
        <f t="shared" si="145"/>
        <v>1737599819</v>
      </c>
      <c r="N98" s="267">
        <f t="shared" si="145"/>
        <v>1295940288</v>
      </c>
    </row>
    <row r="99" spans="1:14" ht="24" customHeight="1" x14ac:dyDescent="0.2">
      <c r="A99" s="65"/>
      <c r="B99" s="63">
        <v>2</v>
      </c>
      <c r="C99" s="51" t="s">
        <v>400</v>
      </c>
      <c r="D99" s="51"/>
      <c r="E99" s="132"/>
      <c r="F99" s="151">
        <f>F100+F108</f>
        <v>1561052526.97</v>
      </c>
      <c r="G99" s="151">
        <f t="shared" ref="G99:N99" si="146">G100+G108</f>
        <v>662451154</v>
      </c>
      <c r="H99" s="151">
        <f t="shared" si="146"/>
        <v>439923654</v>
      </c>
      <c r="I99" s="151">
        <f t="shared" si="146"/>
        <v>655606585.65999997</v>
      </c>
      <c r="J99" s="151">
        <f t="shared" si="146"/>
        <v>550000000</v>
      </c>
      <c r="K99" s="151">
        <f t="shared" si="146"/>
        <v>550000000</v>
      </c>
      <c r="L99" s="151">
        <f t="shared" si="146"/>
        <v>2216659112.6300001</v>
      </c>
      <c r="M99" s="151">
        <f t="shared" si="146"/>
        <v>1212451154</v>
      </c>
      <c r="N99" s="151">
        <f t="shared" si="146"/>
        <v>989923654</v>
      </c>
    </row>
    <row r="100" spans="1:14" ht="24" customHeight="1" x14ac:dyDescent="0.2">
      <c r="A100" s="65"/>
      <c r="C100" s="54">
        <v>17</v>
      </c>
      <c r="D100" s="52" t="s">
        <v>451</v>
      </c>
      <c r="E100" s="125"/>
      <c r="F100" s="150">
        <f>SUM(F101:F107)</f>
        <v>1525052526.97</v>
      </c>
      <c r="G100" s="150">
        <f t="shared" ref="G100:N100" si="147">SUM(G101:G107)</f>
        <v>628256154</v>
      </c>
      <c r="H100" s="150">
        <f t="shared" si="147"/>
        <v>414383654</v>
      </c>
      <c r="I100" s="150">
        <f t="shared" si="147"/>
        <v>655606585.65999997</v>
      </c>
      <c r="J100" s="150">
        <f t="shared" si="147"/>
        <v>550000000</v>
      </c>
      <c r="K100" s="150">
        <f t="shared" si="147"/>
        <v>550000000</v>
      </c>
      <c r="L100" s="150">
        <f t="shared" si="147"/>
        <v>2180659112.6300001</v>
      </c>
      <c r="M100" s="150">
        <f t="shared" si="147"/>
        <v>1178256154</v>
      </c>
      <c r="N100" s="150">
        <f t="shared" si="147"/>
        <v>964383654</v>
      </c>
    </row>
    <row r="101" spans="1:14" ht="52.5" customHeight="1" x14ac:dyDescent="0.2">
      <c r="A101" s="65"/>
      <c r="B101" s="293"/>
      <c r="C101" s="293"/>
      <c r="D101" s="58">
        <v>1702</v>
      </c>
      <c r="E101" s="295" t="s">
        <v>452</v>
      </c>
      <c r="F101" s="300">
        <f>SUM('SGTO POAI -SEPTIEMBRE-2021'!BD88:BD98)</f>
        <v>1169052526.97</v>
      </c>
      <c r="G101" s="300">
        <f>SUM('SGTO POAI -SEPTIEMBRE-2021'!BE88:BE98)</f>
        <v>400482500</v>
      </c>
      <c r="H101" s="300">
        <f>SUM('SGTO POAI -SEPTIEMBRE-2021'!BF88:BF98)</f>
        <v>250120000</v>
      </c>
      <c r="I101" s="300">
        <f>SUM('SGTO POAI -SEPTIEMBRE-2021'!BM88:BM98)</f>
        <v>405606585.65999997</v>
      </c>
      <c r="J101" s="300">
        <f>SUM('SGTO POAI -SEPTIEMBRE-2021'!BN88:BN98)</f>
        <v>300000000</v>
      </c>
      <c r="K101" s="300">
        <f>SUM('SGTO POAI -SEPTIEMBRE-2021'!BO88:BO98)</f>
        <v>300000000</v>
      </c>
      <c r="L101" s="300">
        <f>F101+I101</f>
        <v>1574659112.6300001</v>
      </c>
      <c r="M101" s="300">
        <f t="shared" ref="M101:N101" si="148">G101+J101</f>
        <v>700482500</v>
      </c>
      <c r="N101" s="300">
        <f t="shared" si="148"/>
        <v>550120000</v>
      </c>
    </row>
    <row r="102" spans="1:14" ht="62.25" customHeight="1" x14ac:dyDescent="0.2">
      <c r="A102" s="65"/>
      <c r="B102" s="293"/>
      <c r="C102" s="293"/>
      <c r="D102" s="58">
        <v>1703</v>
      </c>
      <c r="E102" s="295" t="s">
        <v>500</v>
      </c>
      <c r="F102" s="300">
        <f>SUM('SGTO POAI -SEPTIEMBRE-2021'!BD99)</f>
        <v>75000000</v>
      </c>
      <c r="G102" s="300">
        <f>SUM('SGTO POAI -SEPTIEMBRE-2021'!BE99)</f>
        <v>74995000</v>
      </c>
      <c r="H102" s="300">
        <f>SUM('SGTO POAI -SEPTIEMBRE-2021'!BF99)</f>
        <v>66350000</v>
      </c>
      <c r="I102" s="300">
        <f>'SGTO POAI -SEPTIEMBRE-2021'!BM99</f>
        <v>250000000</v>
      </c>
      <c r="J102" s="300">
        <f>'SGTO POAI -SEPTIEMBRE-2021'!BN99</f>
        <v>250000000</v>
      </c>
      <c r="K102" s="300">
        <f>'SGTO POAI -SEPTIEMBRE-2021'!BO99</f>
        <v>250000000</v>
      </c>
      <c r="L102" s="300">
        <f t="shared" ref="L102:L107" si="149">F102+I102</f>
        <v>325000000</v>
      </c>
      <c r="M102" s="300">
        <f t="shared" ref="M102:M107" si="150">G102+J102</f>
        <v>324995000</v>
      </c>
      <c r="N102" s="300">
        <f t="shared" ref="N102:N107" si="151">H102+K102</f>
        <v>316350000</v>
      </c>
    </row>
    <row r="103" spans="1:14" ht="49.5" customHeight="1" x14ac:dyDescent="0.2">
      <c r="A103" s="65"/>
      <c r="B103" s="293"/>
      <c r="C103" s="293"/>
      <c r="D103" s="58">
        <v>1704</v>
      </c>
      <c r="E103" s="295" t="s">
        <v>507</v>
      </c>
      <c r="F103" s="300">
        <f>SUM('SGTO POAI -SEPTIEMBRE-2021'!BD100:BD101)</f>
        <v>70000000</v>
      </c>
      <c r="G103" s="300">
        <f>SUM('SGTO POAI -SEPTIEMBRE-2021'!BE100:BE101)</f>
        <v>53580000</v>
      </c>
      <c r="H103" s="300">
        <f>SUM('SGTO POAI -SEPTIEMBRE-2021'!BF100:BF101)</f>
        <v>44925000</v>
      </c>
      <c r="I103" s="300"/>
      <c r="J103" s="300"/>
      <c r="K103" s="300"/>
      <c r="L103" s="300">
        <f t="shared" si="149"/>
        <v>70000000</v>
      </c>
      <c r="M103" s="300">
        <f t="shared" si="150"/>
        <v>53580000</v>
      </c>
      <c r="N103" s="300">
        <f t="shared" si="151"/>
        <v>44925000</v>
      </c>
    </row>
    <row r="104" spans="1:14" ht="39.75" customHeight="1" x14ac:dyDescent="0.2">
      <c r="A104" s="65"/>
      <c r="B104" s="293"/>
      <c r="C104" s="293"/>
      <c r="D104" s="58">
        <v>1706</v>
      </c>
      <c r="E104" s="295" t="s">
        <v>516</v>
      </c>
      <c r="F104" s="300">
        <f>'SGTO POAI -SEPTIEMBRE-2021'!BD102</f>
        <v>20000000</v>
      </c>
      <c r="G104" s="300">
        <f>'SGTO POAI -SEPTIEMBRE-2021'!BE102</f>
        <v>20000000</v>
      </c>
      <c r="H104" s="300">
        <f>'SGTO POAI -SEPTIEMBRE-2021'!BF102</f>
        <v>0</v>
      </c>
      <c r="I104" s="300"/>
      <c r="J104" s="300"/>
      <c r="K104" s="300"/>
      <c r="L104" s="300">
        <f t="shared" si="149"/>
        <v>20000000</v>
      </c>
      <c r="M104" s="300">
        <f t="shared" si="150"/>
        <v>20000000</v>
      </c>
      <c r="N104" s="300">
        <f t="shared" si="151"/>
        <v>0</v>
      </c>
    </row>
    <row r="105" spans="1:14" ht="57" customHeight="1" x14ac:dyDescent="0.2">
      <c r="A105" s="65"/>
      <c r="B105" s="293"/>
      <c r="C105" s="293"/>
      <c r="D105" s="58">
        <v>1707</v>
      </c>
      <c r="E105" s="295" t="s">
        <v>523</v>
      </c>
      <c r="F105" s="300">
        <f>'SGTO POAI -SEPTIEMBRE-2021'!BD103</f>
        <v>43000000</v>
      </c>
      <c r="G105" s="300">
        <f>'SGTO POAI -SEPTIEMBRE-2021'!BE103</f>
        <v>26210000</v>
      </c>
      <c r="H105" s="300">
        <f>'SGTO POAI -SEPTIEMBRE-2021'!BF103</f>
        <v>2885000</v>
      </c>
      <c r="I105" s="300"/>
      <c r="J105" s="300"/>
      <c r="K105" s="300"/>
      <c r="L105" s="300">
        <f t="shared" si="149"/>
        <v>43000000</v>
      </c>
      <c r="M105" s="300">
        <f t="shared" si="150"/>
        <v>26210000</v>
      </c>
      <c r="N105" s="300">
        <f t="shared" si="151"/>
        <v>2885000</v>
      </c>
    </row>
    <row r="106" spans="1:14" ht="57" customHeight="1" x14ac:dyDescent="0.2">
      <c r="A106" s="65"/>
      <c r="B106" s="293"/>
      <c r="C106" s="293"/>
      <c r="D106" s="58">
        <v>1708</v>
      </c>
      <c r="E106" s="295" t="s">
        <v>530</v>
      </c>
      <c r="F106" s="300">
        <f>SUM('SGTO POAI -SEPTIEMBRE-2021'!BD104:BD105)</f>
        <v>40000000</v>
      </c>
      <c r="G106" s="300">
        <f>SUM('SGTO POAI -SEPTIEMBRE-2021'!BE104:BE105)</f>
        <v>17555000</v>
      </c>
      <c r="H106" s="300">
        <f>SUM('SGTO POAI -SEPTIEMBRE-2021'!BF104:BF105)</f>
        <v>14670000</v>
      </c>
      <c r="I106" s="300"/>
      <c r="J106" s="300"/>
      <c r="K106" s="300"/>
      <c r="L106" s="300">
        <f t="shared" si="149"/>
        <v>40000000</v>
      </c>
      <c r="M106" s="300">
        <f t="shared" si="150"/>
        <v>17555000</v>
      </c>
      <c r="N106" s="300">
        <f t="shared" si="151"/>
        <v>14670000</v>
      </c>
    </row>
    <row r="107" spans="1:14" ht="39.75" customHeight="1" x14ac:dyDescent="0.2">
      <c r="A107" s="65"/>
      <c r="B107" s="293"/>
      <c r="C107" s="293"/>
      <c r="D107" s="58">
        <v>1709</v>
      </c>
      <c r="E107" s="295" t="s">
        <v>539</v>
      </c>
      <c r="F107" s="300">
        <f>SUM('SGTO POAI -SEPTIEMBRE-2021'!BD106:BD108)</f>
        <v>108000000</v>
      </c>
      <c r="G107" s="300">
        <f>SUM('SGTO POAI -SEPTIEMBRE-2021'!BE106:BE108)</f>
        <v>35433654</v>
      </c>
      <c r="H107" s="300">
        <f>SUM('SGTO POAI -SEPTIEMBRE-2021'!BF106:BF108)</f>
        <v>35433654</v>
      </c>
      <c r="I107" s="300"/>
      <c r="J107" s="300"/>
      <c r="K107" s="300"/>
      <c r="L107" s="300">
        <f t="shared" si="149"/>
        <v>108000000</v>
      </c>
      <c r="M107" s="300">
        <f t="shared" si="150"/>
        <v>35433654</v>
      </c>
      <c r="N107" s="300">
        <f t="shared" si="151"/>
        <v>35433654</v>
      </c>
    </row>
    <row r="108" spans="1:14" ht="24" customHeight="1" x14ac:dyDescent="0.2">
      <c r="A108" s="65"/>
      <c r="B108" s="59"/>
      <c r="C108" s="54">
        <v>35</v>
      </c>
      <c r="D108" s="52" t="s">
        <v>401</v>
      </c>
      <c r="E108" s="125"/>
      <c r="F108" s="150">
        <f>F109</f>
        <v>36000000</v>
      </c>
      <c r="G108" s="150">
        <f t="shared" ref="G108:N108" si="152">G109</f>
        <v>34195000</v>
      </c>
      <c r="H108" s="150">
        <f t="shared" si="152"/>
        <v>25540000</v>
      </c>
      <c r="I108" s="150">
        <f t="shared" si="152"/>
        <v>0</v>
      </c>
      <c r="J108" s="150">
        <f t="shared" si="152"/>
        <v>0</v>
      </c>
      <c r="K108" s="150">
        <f t="shared" si="152"/>
        <v>0</v>
      </c>
      <c r="L108" s="150">
        <f t="shared" si="152"/>
        <v>36000000</v>
      </c>
      <c r="M108" s="150">
        <f t="shared" si="152"/>
        <v>34195000</v>
      </c>
      <c r="N108" s="150">
        <f t="shared" si="152"/>
        <v>25540000</v>
      </c>
    </row>
    <row r="109" spans="1:14" ht="62.25" customHeight="1" x14ac:dyDescent="0.2">
      <c r="A109" s="65"/>
      <c r="B109" s="293"/>
      <c r="C109" s="293"/>
      <c r="D109" s="58">
        <v>3502</v>
      </c>
      <c r="E109" s="295" t="s">
        <v>402</v>
      </c>
      <c r="F109" s="300">
        <f>SUM('SGTO POAI -SEPTIEMBRE-2021'!BD109:BD110)</f>
        <v>36000000</v>
      </c>
      <c r="G109" s="300">
        <f>SUM('SGTO POAI -SEPTIEMBRE-2021'!BE109:BE110)</f>
        <v>34195000</v>
      </c>
      <c r="H109" s="300">
        <f>SUM('SGTO POAI -SEPTIEMBRE-2021'!BF109:BF110)</f>
        <v>25540000</v>
      </c>
      <c r="I109" s="300"/>
      <c r="J109" s="300"/>
      <c r="K109" s="300"/>
      <c r="L109" s="300">
        <f t="shared" ref="L109" si="153">F109+I109</f>
        <v>36000000</v>
      </c>
      <c r="M109" s="300">
        <f t="shared" ref="M109" si="154">G109+J109</f>
        <v>34195000</v>
      </c>
      <c r="N109" s="300">
        <f t="shared" ref="N109" si="155">H109+K109</f>
        <v>25540000</v>
      </c>
    </row>
    <row r="110" spans="1:14" ht="24" customHeight="1" x14ac:dyDescent="0.2">
      <c r="A110" s="65"/>
      <c r="B110" s="63">
        <v>3</v>
      </c>
      <c r="C110" s="51" t="s">
        <v>186</v>
      </c>
      <c r="D110" s="51"/>
      <c r="E110" s="132"/>
      <c r="F110" s="151">
        <f>F111</f>
        <v>1637631389</v>
      </c>
      <c r="G110" s="151">
        <f t="shared" ref="G110:N110" si="156">G111</f>
        <v>525148665</v>
      </c>
      <c r="H110" s="151">
        <f t="shared" si="156"/>
        <v>306016634</v>
      </c>
      <c r="I110" s="151">
        <f t="shared" si="156"/>
        <v>0</v>
      </c>
      <c r="J110" s="151">
        <f t="shared" si="156"/>
        <v>0</v>
      </c>
      <c r="K110" s="151">
        <f t="shared" si="156"/>
        <v>0</v>
      </c>
      <c r="L110" s="151">
        <f t="shared" si="156"/>
        <v>1637631389</v>
      </c>
      <c r="M110" s="151">
        <f t="shared" si="156"/>
        <v>525148665</v>
      </c>
      <c r="N110" s="151">
        <f t="shared" si="156"/>
        <v>306016634</v>
      </c>
    </row>
    <row r="111" spans="1:14" ht="24" customHeight="1" x14ac:dyDescent="0.2">
      <c r="A111" s="65"/>
      <c r="B111" s="73"/>
      <c r="C111" s="54">
        <v>32</v>
      </c>
      <c r="D111" s="52" t="s">
        <v>207</v>
      </c>
      <c r="E111" s="125"/>
      <c r="F111" s="150">
        <f>SUM(F112:F116)</f>
        <v>1637631389</v>
      </c>
      <c r="G111" s="150">
        <f t="shared" ref="G111:I111" si="157">SUM(G112:G116)</f>
        <v>525148665</v>
      </c>
      <c r="H111" s="150">
        <f t="shared" si="157"/>
        <v>306016634</v>
      </c>
      <c r="I111" s="150">
        <f t="shared" si="157"/>
        <v>0</v>
      </c>
      <c r="J111" s="150">
        <f t="shared" ref="J111:N111" si="158">SUM(J112:J116)</f>
        <v>0</v>
      </c>
      <c r="K111" s="150">
        <f t="shared" si="158"/>
        <v>0</v>
      </c>
      <c r="L111" s="150">
        <f t="shared" si="158"/>
        <v>1637631389</v>
      </c>
      <c r="M111" s="150">
        <f t="shared" si="158"/>
        <v>525148665</v>
      </c>
      <c r="N111" s="150">
        <f t="shared" si="158"/>
        <v>306016634</v>
      </c>
    </row>
    <row r="112" spans="1:14" s="33" customFormat="1" ht="57" customHeight="1" x14ac:dyDescent="0.2">
      <c r="A112" s="72"/>
      <c r="B112" s="58"/>
      <c r="C112" s="58"/>
      <c r="D112" s="58" t="s">
        <v>557</v>
      </c>
      <c r="E112" s="295" t="s">
        <v>558</v>
      </c>
      <c r="F112" s="300">
        <f>SUM('SGTO POAI -SEPTIEMBRE-2021'!BD111:BD112)</f>
        <v>82000000</v>
      </c>
      <c r="G112" s="300">
        <f>SUM('SGTO POAI -SEPTIEMBRE-2021'!BE111:BE112)</f>
        <v>24147833</v>
      </c>
      <c r="H112" s="300">
        <f>SUM('SGTO POAI -SEPTIEMBRE-2021'!BF111:BF112)</f>
        <v>19197833</v>
      </c>
      <c r="I112" s="300"/>
      <c r="J112" s="300"/>
      <c r="K112" s="300"/>
      <c r="L112" s="300">
        <f t="shared" ref="L112:L116" si="159">F112+I112</f>
        <v>82000000</v>
      </c>
      <c r="M112" s="300">
        <f t="shared" ref="M112:M116" si="160">G112+J112</f>
        <v>24147833</v>
      </c>
      <c r="N112" s="300">
        <f t="shared" ref="N112:N116" si="161">H112+K112</f>
        <v>19197833</v>
      </c>
    </row>
    <row r="113" spans="1:35" s="33" customFormat="1" ht="60.75" customHeight="1" x14ac:dyDescent="0.2">
      <c r="A113" s="72"/>
      <c r="B113" s="58"/>
      <c r="C113" s="58"/>
      <c r="D113" s="58">
        <v>3202</v>
      </c>
      <c r="E113" s="295" t="s">
        <v>568</v>
      </c>
      <c r="F113" s="300">
        <f>SUM('SGTO POAI -SEPTIEMBRE-2021'!BD113:BD118)</f>
        <v>1235631389</v>
      </c>
      <c r="G113" s="300">
        <f>SUM('SGTO POAI -SEPTIEMBRE-2021'!BE113:BE118)</f>
        <v>452705832</v>
      </c>
      <c r="H113" s="300">
        <f>SUM('SGTO POAI -SEPTIEMBRE-2021'!BF113:BF118)</f>
        <v>255478801</v>
      </c>
      <c r="I113" s="300"/>
      <c r="J113" s="300"/>
      <c r="K113" s="300"/>
      <c r="L113" s="300">
        <f t="shared" si="159"/>
        <v>1235631389</v>
      </c>
      <c r="M113" s="300">
        <f t="shared" si="160"/>
        <v>452705832</v>
      </c>
      <c r="N113" s="300">
        <f t="shared" si="161"/>
        <v>255478801</v>
      </c>
    </row>
    <row r="114" spans="1:35" s="33" customFormat="1" ht="59.25" customHeight="1" x14ac:dyDescent="0.2">
      <c r="A114" s="72"/>
      <c r="B114" s="58"/>
      <c r="C114" s="58"/>
      <c r="D114" s="58" t="s">
        <v>598</v>
      </c>
      <c r="E114" s="295" t="s">
        <v>599</v>
      </c>
      <c r="F114" s="300">
        <f>SUM('SGTO POAI -SEPTIEMBRE-2021'!BD119)</f>
        <v>120000000</v>
      </c>
      <c r="G114" s="300">
        <f>SUM('SGTO POAI -SEPTIEMBRE-2021'!BE119)</f>
        <v>43295000</v>
      </c>
      <c r="H114" s="300">
        <f>SUM('SGTO POAI -SEPTIEMBRE-2021'!BF119)</f>
        <v>31340000</v>
      </c>
      <c r="I114" s="300"/>
      <c r="J114" s="300"/>
      <c r="K114" s="300"/>
      <c r="L114" s="300">
        <f t="shared" si="159"/>
        <v>120000000</v>
      </c>
      <c r="M114" s="300">
        <f t="shared" si="160"/>
        <v>43295000</v>
      </c>
      <c r="N114" s="300">
        <f t="shared" si="161"/>
        <v>31340000</v>
      </c>
    </row>
    <row r="115" spans="1:35" s="33" customFormat="1" ht="51" customHeight="1" x14ac:dyDescent="0.2">
      <c r="A115" s="72"/>
      <c r="B115" s="58"/>
      <c r="C115" s="58"/>
      <c r="D115" s="58">
        <v>3205</v>
      </c>
      <c r="E115" s="295" t="s">
        <v>208</v>
      </c>
      <c r="F115" s="300">
        <f>SUM('SGTO POAI -SEPTIEMBRE-2021'!BD120:BD122)</f>
        <v>82000000</v>
      </c>
      <c r="G115" s="300">
        <f>SUM('SGTO POAI -SEPTIEMBRE-2021'!BE120:BE122)</f>
        <v>0</v>
      </c>
      <c r="H115" s="300">
        <f>SUM('SGTO POAI -SEPTIEMBRE-2021'!BF120:BF122)</f>
        <v>0</v>
      </c>
      <c r="I115" s="300"/>
      <c r="J115" s="300"/>
      <c r="K115" s="300"/>
      <c r="L115" s="300">
        <f t="shared" si="159"/>
        <v>82000000</v>
      </c>
      <c r="M115" s="300">
        <f t="shared" si="160"/>
        <v>0</v>
      </c>
      <c r="N115" s="300">
        <f t="shared" si="161"/>
        <v>0</v>
      </c>
    </row>
    <row r="116" spans="1:35" s="33" customFormat="1" ht="51.75" customHeight="1" x14ac:dyDescent="0.2">
      <c r="A116" s="72"/>
      <c r="B116" s="58"/>
      <c r="C116" s="58"/>
      <c r="D116" s="58" t="s">
        <v>617</v>
      </c>
      <c r="E116" s="295" t="s">
        <v>618</v>
      </c>
      <c r="F116" s="300">
        <f>SUM('SGTO POAI -SEPTIEMBRE-2021'!BD123:BD125)</f>
        <v>118000000</v>
      </c>
      <c r="G116" s="300">
        <f>SUM('SGTO POAI -SEPTIEMBRE-2021'!BE123:BE125)</f>
        <v>5000000</v>
      </c>
      <c r="H116" s="300">
        <f>SUM('SGTO POAI -SEPTIEMBRE-2021'!BF123:BF125)</f>
        <v>0</v>
      </c>
      <c r="I116" s="300"/>
      <c r="J116" s="300"/>
      <c r="K116" s="300"/>
      <c r="L116" s="300">
        <f t="shared" si="159"/>
        <v>118000000</v>
      </c>
      <c r="M116" s="300">
        <f t="shared" si="160"/>
        <v>5000000</v>
      </c>
      <c r="N116" s="300">
        <f t="shared" si="161"/>
        <v>0</v>
      </c>
    </row>
    <row r="117" spans="1:35" s="7" customFormat="1" x14ac:dyDescent="0.2">
      <c r="A117" s="45"/>
      <c r="B117" s="126"/>
      <c r="C117" s="126"/>
      <c r="D117" s="126"/>
      <c r="E117" s="146"/>
      <c r="F117" s="127"/>
      <c r="G117" s="38"/>
      <c r="H117" s="14"/>
      <c r="I117" s="14"/>
      <c r="J117" s="14"/>
      <c r="K117" s="14"/>
      <c r="L117" s="44"/>
    </row>
    <row r="118" spans="1:35" s="7" customFormat="1" ht="24" customHeight="1" x14ac:dyDescent="0.2">
      <c r="A118" s="566" t="s">
        <v>4</v>
      </c>
      <c r="B118" s="551" t="s">
        <v>5</v>
      </c>
      <c r="C118" s="551" t="s">
        <v>6</v>
      </c>
      <c r="D118" s="551" t="s">
        <v>1359</v>
      </c>
      <c r="E118" s="552" t="s">
        <v>7</v>
      </c>
      <c r="F118" s="556" t="s">
        <v>1360</v>
      </c>
      <c r="G118" s="554"/>
      <c r="H118" s="565"/>
      <c r="I118" s="14"/>
      <c r="J118" s="14"/>
      <c r="K118" s="14"/>
      <c r="L118" s="44"/>
    </row>
    <row r="119" spans="1:35" s="7" customFormat="1" ht="24" customHeight="1" x14ac:dyDescent="0.2">
      <c r="A119" s="567"/>
      <c r="B119" s="551"/>
      <c r="C119" s="551"/>
      <c r="D119" s="551"/>
      <c r="E119" s="552"/>
      <c r="F119" s="160" t="s">
        <v>1649</v>
      </c>
      <c r="G119" s="160" t="s">
        <v>1495</v>
      </c>
      <c r="H119" s="160" t="s">
        <v>1496</v>
      </c>
      <c r="I119" s="14"/>
      <c r="J119" s="14"/>
      <c r="K119" s="14"/>
      <c r="L119" s="44"/>
    </row>
    <row r="120" spans="1:35" ht="24" customHeight="1" x14ac:dyDescent="0.2">
      <c r="A120" s="30" t="s">
        <v>633</v>
      </c>
      <c r="B120" s="35"/>
      <c r="C120" s="35"/>
      <c r="D120" s="35"/>
      <c r="E120" s="57"/>
      <c r="F120" s="266">
        <f>F121</f>
        <v>1177000000</v>
      </c>
      <c r="G120" s="266">
        <f t="shared" ref="G120:H121" si="162">G121</f>
        <v>913410622.99000013</v>
      </c>
      <c r="H120" s="266">
        <f t="shared" si="162"/>
        <v>637349833</v>
      </c>
    </row>
    <row r="121" spans="1:35" ht="24" customHeight="1" x14ac:dyDescent="0.2">
      <c r="A121" s="65"/>
      <c r="B121" s="63">
        <v>4</v>
      </c>
      <c r="C121" s="51" t="s">
        <v>37</v>
      </c>
      <c r="D121" s="51"/>
      <c r="E121" s="132"/>
      <c r="F121" s="151">
        <f>F122</f>
        <v>1177000000</v>
      </c>
      <c r="G121" s="151">
        <f t="shared" si="162"/>
        <v>913410622.99000013</v>
      </c>
      <c r="H121" s="151">
        <f t="shared" si="162"/>
        <v>637349833</v>
      </c>
    </row>
    <row r="122" spans="1:35" ht="24" customHeight="1" x14ac:dyDescent="0.2">
      <c r="A122" s="65"/>
      <c r="B122" s="73"/>
      <c r="C122" s="54">
        <v>45</v>
      </c>
      <c r="D122" s="52" t="s">
        <v>38</v>
      </c>
      <c r="E122" s="125"/>
      <c r="F122" s="150">
        <f>SUM(F123:F124)</f>
        <v>1177000000</v>
      </c>
      <c r="G122" s="150">
        <f t="shared" ref="G122:H122" si="163">SUM(G123:G124)</f>
        <v>913410622.99000013</v>
      </c>
      <c r="H122" s="150">
        <f t="shared" si="163"/>
        <v>637349833</v>
      </c>
    </row>
    <row r="123" spans="1:35" s="321" customFormat="1" ht="79.5" customHeight="1" x14ac:dyDescent="0.25">
      <c r="A123" s="340"/>
      <c r="B123" s="58"/>
      <c r="C123" s="58"/>
      <c r="D123" s="58">
        <v>4599</v>
      </c>
      <c r="E123" s="295" t="s">
        <v>634</v>
      </c>
      <c r="F123" s="300">
        <f>SUM('SGTO POAI -SEPTIEMBRE-2021'!BP126:BP127)</f>
        <v>1032000000</v>
      </c>
      <c r="G123" s="300">
        <f>SUM('SGTO POAI -SEPTIEMBRE-2021'!BQ126:BQ127)</f>
        <v>785852289.66000009</v>
      </c>
      <c r="H123" s="300">
        <f>SUM('SGTO POAI -SEPTIEMBRE-2021'!BR126:BR127)</f>
        <v>559869833</v>
      </c>
      <c r="L123" s="343"/>
    </row>
    <row r="124" spans="1:35" s="33" customFormat="1" ht="66" customHeight="1" x14ac:dyDescent="0.2">
      <c r="A124" s="72"/>
      <c r="B124" s="58"/>
      <c r="C124" s="58"/>
      <c r="D124" s="58">
        <v>4502</v>
      </c>
      <c r="E124" s="295" t="s">
        <v>60</v>
      </c>
      <c r="F124" s="195">
        <f>SUM('SGTO POAI -SEPTIEMBRE-2021'!BP128)</f>
        <v>145000000</v>
      </c>
      <c r="G124" s="195">
        <f>SUM('SGTO POAI -SEPTIEMBRE-2021'!BQ128)</f>
        <v>127558333.33</v>
      </c>
      <c r="H124" s="195">
        <f>SUM('SGTO POAI -SEPTIEMBRE-2021'!BR128)</f>
        <v>77480000</v>
      </c>
      <c r="L124" s="43"/>
      <c r="M124" s="85"/>
      <c r="N124" s="85"/>
      <c r="O124" s="85"/>
      <c r="P124" s="85"/>
      <c r="Q124" s="85"/>
      <c r="R124" s="85"/>
      <c r="S124" s="85"/>
    </row>
    <row r="125" spans="1:35" s="7" customFormat="1" x14ac:dyDescent="0.2">
      <c r="A125" s="45"/>
      <c r="B125" s="126"/>
      <c r="C125" s="126"/>
      <c r="D125" s="126"/>
      <c r="E125" s="146"/>
      <c r="F125" s="127"/>
      <c r="G125" s="38"/>
      <c r="H125" s="14"/>
      <c r="I125" s="14"/>
      <c r="J125" s="14"/>
      <c r="K125" s="14"/>
      <c r="L125" s="44"/>
      <c r="M125" s="86"/>
      <c r="N125" s="86"/>
      <c r="O125" s="86"/>
      <c r="P125" s="86"/>
      <c r="Q125" s="86"/>
      <c r="R125" s="86"/>
      <c r="S125" s="86"/>
    </row>
    <row r="126" spans="1:35" s="7" customFormat="1" ht="24" customHeight="1" x14ac:dyDescent="0.2">
      <c r="A126" s="551" t="s">
        <v>4</v>
      </c>
      <c r="B126" s="551" t="s">
        <v>5</v>
      </c>
      <c r="C126" s="551" t="s">
        <v>6</v>
      </c>
      <c r="D126" s="551" t="s">
        <v>1359</v>
      </c>
      <c r="E126" s="552" t="s">
        <v>7</v>
      </c>
      <c r="F126" s="557" t="s">
        <v>1367</v>
      </c>
      <c r="G126" s="549"/>
      <c r="H126" s="550"/>
      <c r="I126" s="548" t="s">
        <v>1368</v>
      </c>
      <c r="J126" s="549"/>
      <c r="K126" s="550"/>
      <c r="L126" s="548" t="s">
        <v>1369</v>
      </c>
      <c r="M126" s="549"/>
      <c r="N126" s="550"/>
      <c r="O126" s="548" t="s">
        <v>1370</v>
      </c>
      <c r="P126" s="549"/>
      <c r="Q126" s="549"/>
      <c r="R126" s="337"/>
      <c r="S126" s="541" t="s">
        <v>1360</v>
      </c>
      <c r="T126" s="541"/>
      <c r="U126" s="541"/>
      <c r="V126" s="541" t="s">
        <v>1506</v>
      </c>
      <c r="W126" s="541"/>
      <c r="X126" s="541"/>
      <c r="Y126" s="541" t="s">
        <v>1562</v>
      </c>
      <c r="Z126" s="541"/>
      <c r="AA126" s="541"/>
      <c r="AB126" s="541" t="s">
        <v>12</v>
      </c>
      <c r="AC126" s="541"/>
      <c r="AD126" s="541"/>
      <c r="AE126" s="87"/>
      <c r="AF126" s="87"/>
      <c r="AG126" s="87"/>
      <c r="AH126" s="87"/>
      <c r="AI126" s="87"/>
    </row>
    <row r="127" spans="1:35" s="7" customFormat="1" ht="24" customHeight="1" x14ac:dyDescent="0.2">
      <c r="A127" s="551"/>
      <c r="B127" s="551"/>
      <c r="C127" s="551"/>
      <c r="D127" s="551"/>
      <c r="E127" s="552"/>
      <c r="F127" s="160" t="s">
        <v>1649</v>
      </c>
      <c r="G127" s="160" t="s">
        <v>1495</v>
      </c>
      <c r="H127" s="160" t="s">
        <v>1496</v>
      </c>
      <c r="I127" s="160" t="s">
        <v>1649</v>
      </c>
      <c r="J127" s="160" t="s">
        <v>1495</v>
      </c>
      <c r="K127" s="160" t="s">
        <v>1496</v>
      </c>
      <c r="L127" s="160" t="s">
        <v>1649</v>
      </c>
      <c r="M127" s="160" t="s">
        <v>1495</v>
      </c>
      <c r="N127" s="160" t="s">
        <v>1496</v>
      </c>
      <c r="O127" s="160" t="s">
        <v>1649</v>
      </c>
      <c r="P127" s="160" t="s">
        <v>1495</v>
      </c>
      <c r="Q127" s="160" t="s">
        <v>1496</v>
      </c>
      <c r="R127" s="296"/>
      <c r="S127" s="160" t="s">
        <v>1649</v>
      </c>
      <c r="T127" s="160" t="s">
        <v>1495</v>
      </c>
      <c r="U127" s="160" t="s">
        <v>1496</v>
      </c>
      <c r="V127" s="160" t="s">
        <v>1649</v>
      </c>
      <c r="W127" s="160" t="s">
        <v>1495</v>
      </c>
      <c r="X127" s="160" t="s">
        <v>1496</v>
      </c>
      <c r="Y127" s="296" t="s">
        <v>1649</v>
      </c>
      <c r="Z127" s="296" t="s">
        <v>1495</v>
      </c>
      <c r="AA127" s="296" t="s">
        <v>1496</v>
      </c>
      <c r="AB127" s="160" t="s">
        <v>1649</v>
      </c>
      <c r="AC127" s="160" t="s">
        <v>1495</v>
      </c>
      <c r="AD127" s="160" t="s">
        <v>1496</v>
      </c>
      <c r="AE127" s="87"/>
      <c r="AF127" s="87"/>
      <c r="AG127" s="87"/>
      <c r="AH127" s="87"/>
      <c r="AI127" s="87"/>
    </row>
    <row r="128" spans="1:35" ht="24" customHeight="1" x14ac:dyDescent="0.2">
      <c r="A128" s="34" t="s">
        <v>651</v>
      </c>
      <c r="B128" s="35"/>
      <c r="C128" s="35"/>
      <c r="D128" s="35"/>
      <c r="E128" s="57"/>
      <c r="F128" s="266">
        <f t="shared" ref="F128:AB128" si="164">F129+F133</f>
        <v>1575738582.6600001</v>
      </c>
      <c r="G128" s="266">
        <f t="shared" ref="G128:H128" si="165">G129+G133</f>
        <v>1443264119.7800002</v>
      </c>
      <c r="H128" s="266">
        <f t="shared" si="165"/>
        <v>1227208172.78</v>
      </c>
      <c r="I128" s="266">
        <f t="shared" si="164"/>
        <v>143534499577.42001</v>
      </c>
      <c r="J128" s="266">
        <f t="shared" ref="J128:K128" si="166">J129+J133</f>
        <v>89164838437.649994</v>
      </c>
      <c r="K128" s="266">
        <f t="shared" si="166"/>
        <v>88528825714.149994</v>
      </c>
      <c r="L128" s="266">
        <f t="shared" si="164"/>
        <v>25145000000</v>
      </c>
      <c r="M128" s="266">
        <f t="shared" ref="M128:N128" si="167">M129+M133</f>
        <v>20447335584</v>
      </c>
      <c r="N128" s="266">
        <f t="shared" si="167"/>
        <v>20447335584</v>
      </c>
      <c r="O128" s="266">
        <f t="shared" si="164"/>
        <v>12550155937.449999</v>
      </c>
      <c r="P128" s="266">
        <f t="shared" ref="P128:Q128" si="168">P129+P133</f>
        <v>9774109250</v>
      </c>
      <c r="Q128" s="266">
        <f t="shared" si="168"/>
        <v>9243011464</v>
      </c>
      <c r="R128" s="372"/>
      <c r="S128" s="372">
        <f t="shared" si="164"/>
        <v>9368417164.2199993</v>
      </c>
      <c r="T128" s="372">
        <f t="shared" ref="T128:U128" si="169">T129+T133</f>
        <v>7670824426.2200003</v>
      </c>
      <c r="U128" s="372">
        <f t="shared" si="169"/>
        <v>6032027358.2200003</v>
      </c>
      <c r="V128" s="372">
        <f t="shared" ref="V128" si="170">V129+V133</f>
        <v>3314813023.8499999</v>
      </c>
      <c r="W128" s="372">
        <f t="shared" ref="W128:X128" si="171">W129+W133</f>
        <v>1707723087.2199998</v>
      </c>
      <c r="X128" s="372">
        <f t="shared" si="171"/>
        <v>1339968271.2199998</v>
      </c>
      <c r="Y128" s="372">
        <f t="shared" ref="Y128:AA128" si="172">Y129+Y133</f>
        <v>62.1</v>
      </c>
      <c r="Z128" s="372">
        <f t="shared" si="172"/>
        <v>0</v>
      </c>
      <c r="AA128" s="372">
        <f t="shared" si="172"/>
        <v>0</v>
      </c>
      <c r="AB128" s="266">
        <f t="shared" si="164"/>
        <v>195488624347.70004</v>
      </c>
      <c r="AC128" s="266">
        <f t="shared" ref="AC128:AD128" si="173">AC129+AC133</f>
        <v>130208094904.87</v>
      </c>
      <c r="AD128" s="266">
        <f t="shared" si="173"/>
        <v>126818376564.37</v>
      </c>
    </row>
    <row r="129" spans="1:30" ht="24" customHeight="1" x14ac:dyDescent="0.2">
      <c r="A129" s="65"/>
      <c r="B129" s="63">
        <v>1</v>
      </c>
      <c r="C129" s="51" t="s">
        <v>136</v>
      </c>
      <c r="D129" s="51"/>
      <c r="E129" s="132"/>
      <c r="F129" s="151">
        <f t="shared" ref="F129:AD129" si="174">F130</f>
        <v>1575738582.6600001</v>
      </c>
      <c r="G129" s="151">
        <f t="shared" si="174"/>
        <v>1443264119.7800002</v>
      </c>
      <c r="H129" s="151">
        <f t="shared" si="174"/>
        <v>1227208172.78</v>
      </c>
      <c r="I129" s="151">
        <f t="shared" si="174"/>
        <v>143534499577.42001</v>
      </c>
      <c r="J129" s="151">
        <f t="shared" si="174"/>
        <v>89164838437.649994</v>
      </c>
      <c r="K129" s="151">
        <f t="shared" si="174"/>
        <v>88528825714.149994</v>
      </c>
      <c r="L129" s="151">
        <f t="shared" si="174"/>
        <v>25145000000</v>
      </c>
      <c r="M129" s="151">
        <f t="shared" si="174"/>
        <v>20447335584</v>
      </c>
      <c r="N129" s="151">
        <f t="shared" si="174"/>
        <v>20447335584</v>
      </c>
      <c r="O129" s="151">
        <f t="shared" si="174"/>
        <v>12550155937.449999</v>
      </c>
      <c r="P129" s="151">
        <f t="shared" si="174"/>
        <v>9774109250</v>
      </c>
      <c r="Q129" s="151">
        <f t="shared" si="174"/>
        <v>9243011464</v>
      </c>
      <c r="R129" s="151"/>
      <c r="S129" s="151">
        <f t="shared" si="174"/>
        <v>9360917164.2199993</v>
      </c>
      <c r="T129" s="151">
        <f t="shared" si="174"/>
        <v>7670824426.2200003</v>
      </c>
      <c r="U129" s="151">
        <f t="shared" si="174"/>
        <v>6032027358.2200003</v>
      </c>
      <c r="V129" s="151">
        <f t="shared" si="174"/>
        <v>3314813023.8499999</v>
      </c>
      <c r="W129" s="151">
        <f t="shared" si="174"/>
        <v>1707723087.2199998</v>
      </c>
      <c r="X129" s="151">
        <f t="shared" si="174"/>
        <v>1339968271.2199998</v>
      </c>
      <c r="Y129" s="151">
        <f t="shared" si="174"/>
        <v>62.1</v>
      </c>
      <c r="Z129" s="151">
        <f t="shared" si="174"/>
        <v>0</v>
      </c>
      <c r="AA129" s="151">
        <f t="shared" si="174"/>
        <v>0</v>
      </c>
      <c r="AB129" s="151">
        <f t="shared" si="174"/>
        <v>195481124347.70004</v>
      </c>
      <c r="AC129" s="151">
        <f t="shared" si="174"/>
        <v>130208094904.87</v>
      </c>
      <c r="AD129" s="151">
        <f t="shared" si="174"/>
        <v>126818376564.37</v>
      </c>
    </row>
    <row r="130" spans="1:30" ht="24" customHeight="1" x14ac:dyDescent="0.2">
      <c r="A130" s="65"/>
      <c r="B130" s="73"/>
      <c r="C130" s="54">
        <v>22</v>
      </c>
      <c r="D130" s="52" t="s">
        <v>156</v>
      </c>
      <c r="E130" s="125"/>
      <c r="F130" s="150">
        <f t="shared" ref="F130:AB130" si="175">SUM(F131:F132)</f>
        <v>1575738582.6600001</v>
      </c>
      <c r="G130" s="150">
        <f t="shared" ref="G130:H130" si="176">SUM(G131:G132)</f>
        <v>1443264119.7800002</v>
      </c>
      <c r="H130" s="150">
        <f t="shared" si="176"/>
        <v>1227208172.78</v>
      </c>
      <c r="I130" s="150">
        <f t="shared" si="175"/>
        <v>143534499577.42001</v>
      </c>
      <c r="J130" s="150">
        <f t="shared" ref="J130:K130" si="177">SUM(J131:J132)</f>
        <v>89164838437.649994</v>
      </c>
      <c r="K130" s="150">
        <f t="shared" si="177"/>
        <v>88528825714.149994</v>
      </c>
      <c r="L130" s="150">
        <f t="shared" si="175"/>
        <v>25145000000</v>
      </c>
      <c r="M130" s="150">
        <f t="shared" ref="M130:N130" si="178">SUM(M131:M132)</f>
        <v>20447335584</v>
      </c>
      <c r="N130" s="150">
        <f t="shared" si="178"/>
        <v>20447335584</v>
      </c>
      <c r="O130" s="150">
        <f t="shared" si="175"/>
        <v>12550155937.449999</v>
      </c>
      <c r="P130" s="150">
        <f t="shared" ref="P130:Q130" si="179">SUM(P131:P132)</f>
        <v>9774109250</v>
      </c>
      <c r="Q130" s="150">
        <f t="shared" si="179"/>
        <v>9243011464</v>
      </c>
      <c r="R130" s="150"/>
      <c r="S130" s="150">
        <f t="shared" si="175"/>
        <v>9360917164.2199993</v>
      </c>
      <c r="T130" s="150">
        <f t="shared" ref="T130:U130" si="180">SUM(T131:T132)</f>
        <v>7670824426.2200003</v>
      </c>
      <c r="U130" s="150">
        <f t="shared" si="180"/>
        <v>6032027358.2200003</v>
      </c>
      <c r="V130" s="150">
        <f t="shared" ref="V130" si="181">SUM(V131:V132)</f>
        <v>3314813023.8499999</v>
      </c>
      <c r="W130" s="150">
        <f t="shared" ref="W130:X130" si="182">SUM(W131:W132)</f>
        <v>1707723087.2199998</v>
      </c>
      <c r="X130" s="150">
        <f t="shared" si="182"/>
        <v>1339968271.2199998</v>
      </c>
      <c r="Y130" s="150">
        <f t="shared" ref="Y130:AA130" si="183">SUM(Y131:Y132)</f>
        <v>62.1</v>
      </c>
      <c r="Z130" s="150">
        <f t="shared" si="183"/>
        <v>0</v>
      </c>
      <c r="AA130" s="150">
        <f t="shared" si="183"/>
        <v>0</v>
      </c>
      <c r="AB130" s="150">
        <f t="shared" si="175"/>
        <v>195481124347.70004</v>
      </c>
      <c r="AC130" s="150">
        <f t="shared" ref="AC130:AD130" si="184">SUM(AC131:AC132)</f>
        <v>130208094904.87</v>
      </c>
      <c r="AD130" s="150">
        <f t="shared" si="184"/>
        <v>126818376564.37</v>
      </c>
    </row>
    <row r="131" spans="1:30" s="33" customFormat="1" ht="56.25" customHeight="1" x14ac:dyDescent="0.2">
      <c r="A131" s="72"/>
      <c r="B131" s="58"/>
      <c r="C131" s="58"/>
      <c r="D131" s="74">
        <v>2201</v>
      </c>
      <c r="E131" s="295" t="s">
        <v>277</v>
      </c>
      <c r="F131" s="195">
        <f>SUM('SGTO POAI -SEPTIEMBRE-2021'!AI129:AI162)</f>
        <v>1573920278.6600001</v>
      </c>
      <c r="G131" s="195">
        <f>SUM('SGTO POAI -SEPTIEMBRE-2021'!AJ129:AJ162)</f>
        <v>1442152272.7800002</v>
      </c>
      <c r="H131" s="195">
        <f>SUM('SGTO POAI -SEPTIEMBRE-2021'!AK129:AK162)</f>
        <v>1226096325.78</v>
      </c>
      <c r="I131" s="195">
        <f>SUM('SGTO POAI -SEPTIEMBRE-2021'!AR129:AR162)</f>
        <v>143534499577.42001</v>
      </c>
      <c r="J131" s="195">
        <f>SUM('SGTO POAI -SEPTIEMBRE-2021'!AS129:AS162)</f>
        <v>89164838437.649994</v>
      </c>
      <c r="K131" s="195">
        <f>SUM('SGTO POAI -SEPTIEMBRE-2021'!AT129:AT162)</f>
        <v>88528825714.149994</v>
      </c>
      <c r="L131" s="195">
        <f>SUM('SGTO POAI -SEPTIEMBRE-2021'!AU129:AU162)</f>
        <v>25145000000</v>
      </c>
      <c r="M131" s="195">
        <f>SUM('SGTO POAI -SEPTIEMBRE-2021'!AV129:AV162)</f>
        <v>20447335584</v>
      </c>
      <c r="N131" s="195">
        <f>SUM('SGTO POAI -SEPTIEMBRE-2021'!AW129:AW162)</f>
        <v>20447335584</v>
      </c>
      <c r="O131" s="195">
        <f>SUM('SGTO POAI -SEPTIEMBRE-2021'!AX129:AX162)</f>
        <v>12550155937.449999</v>
      </c>
      <c r="P131" s="195">
        <f>SUM('SGTO POAI -SEPTIEMBRE-2021'!AY129:AY162)</f>
        <v>9774109250</v>
      </c>
      <c r="Q131" s="195">
        <f>SUM('SGTO POAI -SEPTIEMBRE-2021'!AZ129:AZ162)</f>
        <v>9243011464</v>
      </c>
      <c r="R131" s="373"/>
      <c r="S131" s="373">
        <f>SUM('SGTO POAI -SEPTIEMBRE-2021'!BD129:BD162)</f>
        <v>8958518199.2199993</v>
      </c>
      <c r="T131" s="373">
        <f>SUM('SGTO POAI -SEPTIEMBRE-2021'!BE129:BE162)</f>
        <v>7568425461.2200003</v>
      </c>
      <c r="U131" s="373">
        <f>SUM('SGTO POAI -SEPTIEMBRE-2021'!BF129:BF162)</f>
        <v>5979927017.2200003</v>
      </c>
      <c r="V131" s="373">
        <f>SUM('SGTO POAI -SEPTIEMBRE-2021'!BJ129:BJ162)</f>
        <v>3314813023.8499999</v>
      </c>
      <c r="W131" s="373">
        <f>SUM('SGTO POAI -SEPTIEMBRE-2021'!BK129:BK162)</f>
        <v>1707723087.2199998</v>
      </c>
      <c r="X131" s="373">
        <f>SUM('SGTO POAI -SEPTIEMBRE-2021'!BL129:BL162)</f>
        <v>1339968271.2199998</v>
      </c>
      <c r="Y131" s="373">
        <f>SUM('SGTO POAI -SEPTIEMBRE-2021'!BG129:BG162)</f>
        <v>62.1</v>
      </c>
      <c r="Z131" s="373">
        <f>SUM('SGTO POAI -SEPTIEMBRE-2021'!BH129:BH162)</f>
        <v>0</v>
      </c>
      <c r="AA131" s="373">
        <f>SUM('SGTO POAI -SEPTIEMBRE-2021'!BI129:BI162)</f>
        <v>0</v>
      </c>
      <c r="AB131" s="195">
        <f>F131+I131+L131+O131+S131+V131+Y131</f>
        <v>195076907078.70004</v>
      </c>
      <c r="AC131" s="195">
        <f t="shared" ref="AC131:AD131" si="185">G131+J131+M131+P131+T131+W131+Z131</f>
        <v>130104584092.87</v>
      </c>
      <c r="AD131" s="195">
        <f t="shared" si="185"/>
        <v>126765164376.37</v>
      </c>
    </row>
    <row r="132" spans="1:30" s="33" customFormat="1" ht="51" customHeight="1" x14ac:dyDescent="0.2">
      <c r="A132" s="72"/>
      <c r="B132" s="58"/>
      <c r="C132" s="58"/>
      <c r="D132" s="58">
        <v>2202</v>
      </c>
      <c r="E132" s="295" t="s">
        <v>1487</v>
      </c>
      <c r="F132" s="300">
        <f>SUM('SGTO POAI -SEPTIEMBRE-2021'!AI163)</f>
        <v>1818304</v>
      </c>
      <c r="G132" s="300">
        <f>SUM('SGTO POAI -SEPTIEMBRE-2021'!AJ163)</f>
        <v>1111847</v>
      </c>
      <c r="H132" s="300">
        <f>SUM('SGTO POAI -SEPTIEMBRE-2021'!AJ163)</f>
        <v>1111847</v>
      </c>
      <c r="I132" s="195"/>
      <c r="J132" s="195"/>
      <c r="K132" s="195"/>
      <c r="L132" s="195"/>
      <c r="M132" s="195"/>
      <c r="N132" s="195"/>
      <c r="O132" s="195"/>
      <c r="P132" s="195"/>
      <c r="Q132" s="195"/>
      <c r="R132" s="373"/>
      <c r="S132" s="373">
        <f>SUM('SGTO POAI -SEPTIEMBRE-2021'!BD163)</f>
        <v>402398965</v>
      </c>
      <c r="T132" s="373">
        <f>SUM('SGTO POAI -SEPTIEMBRE-2021'!BE163)</f>
        <v>102398965</v>
      </c>
      <c r="U132" s="373">
        <f>SUM('SGTO POAI -SEPTIEMBRE-2021'!BF163)</f>
        <v>52100341</v>
      </c>
      <c r="V132" s="373"/>
      <c r="W132" s="373"/>
      <c r="X132" s="373"/>
      <c r="Y132" s="373"/>
      <c r="Z132" s="373"/>
      <c r="AA132" s="373"/>
      <c r="AB132" s="195">
        <f>F132+I132+L132+O132+S132</f>
        <v>404217269</v>
      </c>
      <c r="AC132" s="195">
        <f>G132+J132+M132+P132+T132+W132</f>
        <v>103510812</v>
      </c>
      <c r="AD132" s="195">
        <f>H132+K132+N132+Q132+U132+X132</f>
        <v>53212188</v>
      </c>
    </row>
    <row r="133" spans="1:30" ht="24" customHeight="1" x14ac:dyDescent="0.2">
      <c r="A133" s="65"/>
      <c r="B133" s="63">
        <v>2</v>
      </c>
      <c r="C133" s="51" t="s">
        <v>400</v>
      </c>
      <c r="D133" s="51"/>
      <c r="E133" s="132"/>
      <c r="F133" s="151">
        <f t="shared" ref="F133:AC134" si="186">F134</f>
        <v>0</v>
      </c>
      <c r="G133" s="151">
        <f t="shared" si="186"/>
        <v>0</v>
      </c>
      <c r="H133" s="151">
        <f t="shared" si="186"/>
        <v>0</v>
      </c>
      <c r="I133" s="151">
        <f t="shared" si="186"/>
        <v>0</v>
      </c>
      <c r="J133" s="151">
        <f t="shared" si="186"/>
        <v>0</v>
      </c>
      <c r="K133" s="151">
        <f t="shared" si="186"/>
        <v>0</v>
      </c>
      <c r="L133" s="151">
        <f t="shared" si="186"/>
        <v>0</v>
      </c>
      <c r="M133" s="151">
        <f t="shared" si="186"/>
        <v>0</v>
      </c>
      <c r="N133" s="151">
        <f t="shared" si="186"/>
        <v>0</v>
      </c>
      <c r="O133" s="151">
        <f t="shared" si="186"/>
        <v>0</v>
      </c>
      <c r="P133" s="151">
        <f t="shared" si="186"/>
        <v>0</v>
      </c>
      <c r="Q133" s="151">
        <f t="shared" si="186"/>
        <v>0</v>
      </c>
      <c r="R133" s="151"/>
      <c r="S133" s="151">
        <f t="shared" si="186"/>
        <v>7500000</v>
      </c>
      <c r="T133" s="151">
        <f t="shared" si="186"/>
        <v>0</v>
      </c>
      <c r="U133" s="151">
        <f t="shared" si="186"/>
        <v>0</v>
      </c>
      <c r="V133" s="151">
        <f t="shared" si="186"/>
        <v>0</v>
      </c>
      <c r="W133" s="151">
        <f t="shared" si="186"/>
        <v>0</v>
      </c>
      <c r="X133" s="151">
        <f t="shared" si="186"/>
        <v>0</v>
      </c>
      <c r="Y133" s="151"/>
      <c r="Z133" s="151"/>
      <c r="AA133" s="151"/>
      <c r="AB133" s="151">
        <f t="shared" si="186"/>
        <v>7500000</v>
      </c>
      <c r="AC133" s="151">
        <f t="shared" si="186"/>
        <v>0</v>
      </c>
      <c r="AD133" s="151">
        <f t="shared" ref="AC133:AD134" si="187">AD134</f>
        <v>0</v>
      </c>
    </row>
    <row r="134" spans="1:30" ht="24" customHeight="1" x14ac:dyDescent="0.2">
      <c r="A134" s="65"/>
      <c r="B134" s="73"/>
      <c r="C134" s="54">
        <v>39</v>
      </c>
      <c r="D134" s="52" t="s">
        <v>1488</v>
      </c>
      <c r="E134" s="52"/>
      <c r="F134" s="150">
        <f t="shared" si="186"/>
        <v>0</v>
      </c>
      <c r="G134" s="150">
        <f t="shared" si="186"/>
        <v>0</v>
      </c>
      <c r="H134" s="150">
        <f t="shared" si="186"/>
        <v>0</v>
      </c>
      <c r="I134" s="150">
        <f t="shared" si="186"/>
        <v>0</v>
      </c>
      <c r="J134" s="150">
        <f t="shared" si="186"/>
        <v>0</v>
      </c>
      <c r="K134" s="150">
        <f t="shared" si="186"/>
        <v>0</v>
      </c>
      <c r="L134" s="150">
        <f t="shared" si="186"/>
        <v>0</v>
      </c>
      <c r="M134" s="150">
        <f t="shared" si="186"/>
        <v>0</v>
      </c>
      <c r="N134" s="150">
        <f t="shared" si="186"/>
        <v>0</v>
      </c>
      <c r="O134" s="150">
        <f t="shared" si="186"/>
        <v>0</v>
      </c>
      <c r="P134" s="150">
        <f t="shared" si="186"/>
        <v>0</v>
      </c>
      <c r="Q134" s="150">
        <f t="shared" si="186"/>
        <v>0</v>
      </c>
      <c r="R134" s="150"/>
      <c r="S134" s="150">
        <f t="shared" si="186"/>
        <v>7500000</v>
      </c>
      <c r="T134" s="150">
        <f t="shared" si="186"/>
        <v>0</v>
      </c>
      <c r="U134" s="150">
        <f t="shared" si="186"/>
        <v>0</v>
      </c>
      <c r="V134" s="150">
        <f t="shared" si="186"/>
        <v>0</v>
      </c>
      <c r="W134" s="150">
        <f t="shared" si="186"/>
        <v>0</v>
      </c>
      <c r="X134" s="150">
        <f t="shared" si="186"/>
        <v>0</v>
      </c>
      <c r="Y134" s="150"/>
      <c r="Z134" s="150"/>
      <c r="AA134" s="150"/>
      <c r="AB134" s="150">
        <f t="shared" si="186"/>
        <v>7500000</v>
      </c>
      <c r="AC134" s="150">
        <f t="shared" si="187"/>
        <v>0</v>
      </c>
      <c r="AD134" s="150">
        <f t="shared" si="187"/>
        <v>0</v>
      </c>
    </row>
    <row r="135" spans="1:30" s="33" customFormat="1" ht="45.75" customHeight="1" x14ac:dyDescent="0.2">
      <c r="A135" s="72"/>
      <c r="B135" s="58"/>
      <c r="C135" s="58"/>
      <c r="D135" s="58">
        <v>3904</v>
      </c>
      <c r="E135" s="295" t="s">
        <v>759</v>
      </c>
      <c r="F135" s="300">
        <f>SUM('SGTO POAI -SEPTIEMBRE-2021'!AI164)</f>
        <v>0</v>
      </c>
      <c r="G135" s="300">
        <f>SUM('SGTO POAI -SEPTIEMBRE-2021'!AJ164)</f>
        <v>0</v>
      </c>
      <c r="H135" s="300">
        <f>SUM('SGTO POAI -SEPTIEMBRE-2021'!AK164)</f>
        <v>0</v>
      </c>
      <c r="I135" s="195"/>
      <c r="J135" s="195"/>
      <c r="K135" s="195"/>
      <c r="L135" s="195"/>
      <c r="M135" s="195"/>
      <c r="N135" s="195"/>
      <c r="O135" s="195"/>
      <c r="P135" s="195"/>
      <c r="Q135" s="195"/>
      <c r="R135" s="373"/>
      <c r="S135" s="373">
        <f>SUM('SGTO POAI -SEPTIEMBRE-2021'!BD164)</f>
        <v>7500000</v>
      </c>
      <c r="T135" s="373">
        <f>SUM('SGTO POAI -SEPTIEMBRE-2021'!BE164)</f>
        <v>0</v>
      </c>
      <c r="U135" s="373">
        <f>SUM('SGTO POAI -SEPTIEMBRE-2021'!BF164)</f>
        <v>0</v>
      </c>
      <c r="V135" s="373">
        <f>'SGTO POAI -SEPTIEMBRE-2021'!BJ164</f>
        <v>0</v>
      </c>
      <c r="W135" s="373">
        <f>'SGTO POAI -SEPTIEMBRE-2021'!BK164</f>
        <v>0</v>
      </c>
      <c r="X135" s="373">
        <f>'SGTO POAI -SEPTIEMBRE-2021'!BL164</f>
        <v>0</v>
      </c>
      <c r="Y135" s="373"/>
      <c r="Z135" s="373"/>
      <c r="AA135" s="373"/>
      <c r="AB135" s="195">
        <f>F135+I135+L135+O135+S135</f>
        <v>7500000</v>
      </c>
      <c r="AC135" s="195">
        <f>G135+J135+M135+P135+T135</f>
        <v>0</v>
      </c>
      <c r="AD135" s="195">
        <f>H135+K135+N135+Q135+U135</f>
        <v>0</v>
      </c>
    </row>
    <row r="136" spans="1:30" s="7" customFormat="1" x14ac:dyDescent="0.2">
      <c r="A136" s="45"/>
      <c r="B136" s="126"/>
      <c r="C136" s="126"/>
      <c r="D136" s="126"/>
      <c r="E136" s="146"/>
      <c r="F136" s="127"/>
      <c r="G136" s="38"/>
      <c r="H136" s="14"/>
      <c r="I136" s="14"/>
      <c r="J136" s="14"/>
      <c r="K136" s="14"/>
      <c r="L136" s="44"/>
    </row>
    <row r="137" spans="1:30" ht="27.75" customHeight="1" x14ac:dyDescent="0.2">
      <c r="A137" s="145" t="s">
        <v>4</v>
      </c>
      <c r="B137" s="84" t="s">
        <v>5</v>
      </c>
      <c r="C137" s="84" t="s">
        <v>6</v>
      </c>
      <c r="D137" s="84" t="s">
        <v>1359</v>
      </c>
      <c r="E137" s="144" t="s">
        <v>7</v>
      </c>
      <c r="F137" s="548" t="s">
        <v>1507</v>
      </c>
      <c r="G137" s="549"/>
      <c r="H137" s="550"/>
      <c r="I137" s="548" t="s">
        <v>1360</v>
      </c>
      <c r="J137" s="549"/>
      <c r="K137" s="550"/>
      <c r="L137" s="548" t="s">
        <v>12</v>
      </c>
      <c r="M137" s="549"/>
      <c r="N137" s="550"/>
      <c r="O137" s="2"/>
      <c r="P137" s="40"/>
    </row>
    <row r="138" spans="1:30" ht="27.75" customHeight="1" x14ac:dyDescent="0.2">
      <c r="A138" s="165"/>
      <c r="B138" s="163"/>
      <c r="C138" s="163"/>
      <c r="D138" s="163"/>
      <c r="E138" s="164"/>
      <c r="F138" s="160" t="s">
        <v>1649</v>
      </c>
      <c r="G138" s="160" t="s">
        <v>1495</v>
      </c>
      <c r="H138" s="160" t="s">
        <v>1496</v>
      </c>
      <c r="I138" s="160" t="s">
        <v>1649</v>
      </c>
      <c r="J138" s="160" t="s">
        <v>1495</v>
      </c>
      <c r="K138" s="160" t="s">
        <v>1496</v>
      </c>
      <c r="L138" s="160" t="s">
        <v>1649</v>
      </c>
      <c r="M138" s="160" t="s">
        <v>1495</v>
      </c>
      <c r="N138" s="160" t="s">
        <v>1496</v>
      </c>
      <c r="O138" s="2"/>
      <c r="P138" s="40"/>
    </row>
    <row r="139" spans="1:30" s="7" customFormat="1" ht="24.75" customHeight="1" x14ac:dyDescent="0.2">
      <c r="A139" s="30" t="s">
        <v>767</v>
      </c>
      <c r="B139" s="31"/>
      <c r="C139" s="31"/>
      <c r="D139" s="31"/>
      <c r="E139" s="55"/>
      <c r="F139" s="267">
        <f>F140+F149+F154</f>
        <v>4070085007.0100002</v>
      </c>
      <c r="G139" s="267">
        <f t="shared" ref="G139:H139" si="188">G140+G149+G154</f>
        <v>2300059333.25</v>
      </c>
      <c r="H139" s="267">
        <f t="shared" si="188"/>
        <v>2300059333.25</v>
      </c>
      <c r="I139" s="267">
        <f>I140+I149+I154</f>
        <v>2118776106</v>
      </c>
      <c r="J139" s="267">
        <f t="shared" ref="J139:K139" si="189">J140+J149+J154</f>
        <v>1189972576</v>
      </c>
      <c r="K139" s="267">
        <f t="shared" si="189"/>
        <v>681819787.50999999</v>
      </c>
      <c r="L139" s="267">
        <f>L140+L149+L154</f>
        <v>6188861113.0100002</v>
      </c>
      <c r="M139" s="267">
        <f t="shared" ref="M139:N139" si="190">M140+M149+M154</f>
        <v>3490031909.25</v>
      </c>
      <c r="N139" s="267">
        <f t="shared" si="190"/>
        <v>2981879120.7600002</v>
      </c>
      <c r="O139" s="14"/>
      <c r="P139" s="44"/>
    </row>
    <row r="140" spans="1:30" s="7" customFormat="1" ht="20.25" customHeight="1" x14ac:dyDescent="0.2">
      <c r="A140" s="134"/>
      <c r="B140" s="63">
        <v>1</v>
      </c>
      <c r="C140" s="51" t="s">
        <v>136</v>
      </c>
      <c r="D140" s="51"/>
      <c r="E140" s="132"/>
      <c r="F140" s="151">
        <f>F141+F143+F145</f>
        <v>4070085007.0100002</v>
      </c>
      <c r="G140" s="151">
        <f t="shared" ref="G140:H140" si="191">G141+G143+G145</f>
        <v>2300059333.25</v>
      </c>
      <c r="H140" s="151">
        <f t="shared" si="191"/>
        <v>2300059333.25</v>
      </c>
      <c r="I140" s="151">
        <f t="shared" ref="I140:L140" si="192">I141+I143+I145</f>
        <v>1600486603</v>
      </c>
      <c r="J140" s="151">
        <f t="shared" ref="J140:K140" si="193">J141+J143+J145</f>
        <v>826258241</v>
      </c>
      <c r="K140" s="151">
        <f t="shared" si="193"/>
        <v>457589787.50999999</v>
      </c>
      <c r="L140" s="151">
        <f t="shared" si="192"/>
        <v>5670571610.0100002</v>
      </c>
      <c r="M140" s="151">
        <f t="shared" ref="M140:N140" si="194">M141+M143+M145</f>
        <v>3126317574.25</v>
      </c>
      <c r="N140" s="151">
        <f t="shared" si="194"/>
        <v>2757649120.7600002</v>
      </c>
      <c r="O140" s="14"/>
      <c r="P140" s="44"/>
    </row>
    <row r="141" spans="1:30" s="7" customFormat="1" ht="20.25" customHeight="1" x14ac:dyDescent="0.2">
      <c r="A141" s="134"/>
      <c r="B141" s="73"/>
      <c r="C141" s="54">
        <v>19</v>
      </c>
      <c r="D141" s="52" t="s">
        <v>147</v>
      </c>
      <c r="E141" s="125"/>
      <c r="F141" s="150">
        <f>F142</f>
        <v>0</v>
      </c>
      <c r="G141" s="150">
        <f t="shared" ref="G141:H141" si="195">G142</f>
        <v>0</v>
      </c>
      <c r="H141" s="150">
        <f t="shared" si="195"/>
        <v>0</v>
      </c>
      <c r="I141" s="150">
        <f>I142</f>
        <v>170000000</v>
      </c>
      <c r="J141" s="150">
        <f t="shared" ref="J141:K141" si="196">J142</f>
        <v>148763550</v>
      </c>
      <c r="K141" s="150">
        <f t="shared" si="196"/>
        <v>97280667</v>
      </c>
      <c r="L141" s="150">
        <f>L142</f>
        <v>170000000</v>
      </c>
      <c r="M141" s="150">
        <f t="shared" ref="M141:N141" si="197">M142</f>
        <v>148763550</v>
      </c>
      <c r="N141" s="150">
        <f t="shared" si="197"/>
        <v>97280667</v>
      </c>
      <c r="O141" s="14"/>
      <c r="P141" s="44"/>
    </row>
    <row r="142" spans="1:30" s="37" customFormat="1" ht="32.25" customHeight="1" x14ac:dyDescent="0.2">
      <c r="A142" s="135"/>
      <c r="B142" s="58"/>
      <c r="C142" s="58"/>
      <c r="D142" s="58">
        <v>1905</v>
      </c>
      <c r="E142" s="61" t="s">
        <v>768</v>
      </c>
      <c r="F142" s="300"/>
      <c r="G142" s="300"/>
      <c r="H142" s="300"/>
      <c r="I142" s="300">
        <f>SUM('SGTO POAI -SEPTIEMBRE-2021'!BD165:BD166)</f>
        <v>170000000</v>
      </c>
      <c r="J142" s="300">
        <f>SUM('SGTO POAI -SEPTIEMBRE-2021'!BE165:BE166)</f>
        <v>148763550</v>
      </c>
      <c r="K142" s="300">
        <f>SUM('SGTO POAI -SEPTIEMBRE-2021'!BF165:BF166)</f>
        <v>97280667</v>
      </c>
      <c r="L142" s="300">
        <f>F142+I142</f>
        <v>170000000</v>
      </c>
      <c r="M142" s="300">
        <f t="shared" ref="M142:N142" si="198">G142+J142</f>
        <v>148763550</v>
      </c>
      <c r="N142" s="300">
        <f t="shared" si="198"/>
        <v>97280667</v>
      </c>
      <c r="P142" s="46"/>
    </row>
    <row r="143" spans="1:30" s="37" customFormat="1" ht="32.25" customHeight="1" x14ac:dyDescent="0.2">
      <c r="A143" s="135"/>
      <c r="B143" s="73"/>
      <c r="C143" s="54">
        <v>33</v>
      </c>
      <c r="D143" s="128" t="s">
        <v>166</v>
      </c>
      <c r="E143" s="129"/>
      <c r="F143" s="150">
        <f>F144</f>
        <v>0</v>
      </c>
      <c r="G143" s="150">
        <f t="shared" ref="G143:H143" si="199">G144</f>
        <v>0</v>
      </c>
      <c r="H143" s="150">
        <f t="shared" si="199"/>
        <v>0</v>
      </c>
      <c r="I143" s="150">
        <f>I144</f>
        <v>14250000</v>
      </c>
      <c r="J143" s="150">
        <f t="shared" ref="J143:K143" si="200">J144</f>
        <v>12985000</v>
      </c>
      <c r="K143" s="150">
        <f t="shared" si="200"/>
        <v>9275000</v>
      </c>
      <c r="L143" s="150">
        <f>L144</f>
        <v>14250000</v>
      </c>
      <c r="M143" s="150">
        <f t="shared" ref="M143:N143" si="201">M144</f>
        <v>12985000</v>
      </c>
      <c r="N143" s="150">
        <f t="shared" si="201"/>
        <v>9275000</v>
      </c>
      <c r="P143" s="46"/>
    </row>
    <row r="144" spans="1:30" s="37" customFormat="1" ht="48" customHeight="1" x14ac:dyDescent="0.2">
      <c r="A144" s="135"/>
      <c r="B144" s="58"/>
      <c r="C144" s="58"/>
      <c r="D144" s="58">
        <v>3301</v>
      </c>
      <c r="E144" s="295" t="s">
        <v>167</v>
      </c>
      <c r="F144" s="300"/>
      <c r="G144" s="300"/>
      <c r="H144" s="300"/>
      <c r="I144" s="300">
        <f>'SGTO POAI -SEPTIEMBRE-2021'!BD167</f>
        <v>14250000</v>
      </c>
      <c r="J144" s="300">
        <f>'SGTO POAI -SEPTIEMBRE-2021'!BE167</f>
        <v>12985000</v>
      </c>
      <c r="K144" s="300">
        <f>'SGTO POAI -SEPTIEMBRE-2021'!BF167</f>
        <v>9275000</v>
      </c>
      <c r="L144" s="300">
        <f>F144+I144</f>
        <v>14250000</v>
      </c>
      <c r="M144" s="300">
        <f t="shared" ref="M144:N144" si="202">G144+J144</f>
        <v>12985000</v>
      </c>
      <c r="N144" s="300">
        <f t="shared" si="202"/>
        <v>9275000</v>
      </c>
      <c r="P144" s="46"/>
    </row>
    <row r="145" spans="1:27" s="37" customFormat="1" ht="28.5" customHeight="1" x14ac:dyDescent="0.2">
      <c r="A145" s="135"/>
      <c r="B145" s="73"/>
      <c r="C145" s="54">
        <v>41</v>
      </c>
      <c r="D145" s="52" t="s">
        <v>784</v>
      </c>
      <c r="E145" s="125"/>
      <c r="F145" s="150">
        <f>SUM(F146:F148)</f>
        <v>4070085007.0100002</v>
      </c>
      <c r="G145" s="150">
        <f t="shared" ref="G145:H145" si="203">SUM(G146:G148)</f>
        <v>2300059333.25</v>
      </c>
      <c r="H145" s="150">
        <f t="shared" si="203"/>
        <v>2300059333.25</v>
      </c>
      <c r="I145" s="150">
        <f>SUM(I146:I148)</f>
        <v>1416236603</v>
      </c>
      <c r="J145" s="150">
        <f t="shared" ref="J145:K145" si="204">SUM(J146:J148)</f>
        <v>664509691</v>
      </c>
      <c r="K145" s="150">
        <f t="shared" si="204"/>
        <v>351034120.50999999</v>
      </c>
      <c r="L145" s="150">
        <f>SUM(L146:L148)</f>
        <v>5486321610.0100002</v>
      </c>
      <c r="M145" s="150">
        <f t="shared" ref="M145:N145" si="205">SUM(M146:M148)</f>
        <v>2964569024.25</v>
      </c>
      <c r="N145" s="150">
        <f t="shared" si="205"/>
        <v>2651093453.7600002</v>
      </c>
      <c r="P145" s="46"/>
    </row>
    <row r="146" spans="1:27" s="37" customFormat="1" ht="54" customHeight="1" x14ac:dyDescent="0.2">
      <c r="A146" s="135"/>
      <c r="B146" s="58"/>
      <c r="C146" s="58"/>
      <c r="D146" s="58">
        <v>4102</v>
      </c>
      <c r="E146" s="295" t="s">
        <v>785</v>
      </c>
      <c r="F146" s="300"/>
      <c r="G146" s="300"/>
      <c r="H146" s="300"/>
      <c r="I146" s="300">
        <f>SUM('SGTO POAI -SEPTIEMBRE-2021'!BD168:BD177)</f>
        <v>1014562889</v>
      </c>
      <c r="J146" s="300">
        <f>SUM('SGTO POAI -SEPTIEMBRE-2021'!BE168:BE177)</f>
        <v>444972344</v>
      </c>
      <c r="K146" s="300">
        <f>SUM('SGTO POAI -SEPTIEMBRE-2021'!BF168:BF177)</f>
        <v>235470733</v>
      </c>
      <c r="L146" s="300">
        <f>F146+I146</f>
        <v>1014562889</v>
      </c>
      <c r="M146" s="300">
        <f t="shared" ref="M146:N148" si="206">G146+J146</f>
        <v>444972344</v>
      </c>
      <c r="N146" s="300">
        <f t="shared" si="206"/>
        <v>235470733</v>
      </c>
      <c r="P146" s="46"/>
    </row>
    <row r="147" spans="1:27" s="37" customFormat="1" ht="54" customHeight="1" x14ac:dyDescent="0.2">
      <c r="A147" s="135"/>
      <c r="B147" s="58"/>
      <c r="C147" s="58"/>
      <c r="D147" s="58">
        <v>4103</v>
      </c>
      <c r="E147" s="295" t="s">
        <v>302</v>
      </c>
      <c r="F147" s="300"/>
      <c r="G147" s="300"/>
      <c r="H147" s="300"/>
      <c r="I147" s="300">
        <f>SUM('SGTO POAI -SEPTIEMBRE-2021'!BD178:BD184)</f>
        <v>233793714</v>
      </c>
      <c r="J147" s="300">
        <f>SUM('SGTO POAI -SEPTIEMBRE-2021'!BE178:BE184)</f>
        <v>132586612</v>
      </c>
      <c r="K147" s="300">
        <f>SUM('SGTO POAI -SEPTIEMBRE-2021'!BF178:BF184)</f>
        <v>55448387.509999998</v>
      </c>
      <c r="L147" s="300">
        <f>F147+I147</f>
        <v>233793714</v>
      </c>
      <c r="M147" s="300">
        <f t="shared" si="206"/>
        <v>132586612</v>
      </c>
      <c r="N147" s="300">
        <f t="shared" si="206"/>
        <v>55448387.509999998</v>
      </c>
      <c r="P147" s="46"/>
    </row>
    <row r="148" spans="1:27" s="37" customFormat="1" ht="54" customHeight="1" x14ac:dyDescent="0.2">
      <c r="A148" s="135"/>
      <c r="B148" s="58"/>
      <c r="C148" s="58"/>
      <c r="D148" s="58">
        <v>4104</v>
      </c>
      <c r="E148" s="295" t="s">
        <v>893</v>
      </c>
      <c r="F148" s="300">
        <f>'SGTO POAI -SEPTIEMBRE-2021'!Z189</f>
        <v>4070085007.0100002</v>
      </c>
      <c r="G148" s="300">
        <f>'SGTO POAI -SEPTIEMBRE-2021'!AA189</f>
        <v>2300059333.25</v>
      </c>
      <c r="H148" s="300">
        <f>'SGTO POAI -SEPTIEMBRE-2021'!AB189</f>
        <v>2300059333.25</v>
      </c>
      <c r="I148" s="300">
        <f>SUM('SGTO POAI -SEPTIEMBRE-2021'!BD185:BD189)</f>
        <v>167880000</v>
      </c>
      <c r="J148" s="300">
        <f>SUM('SGTO POAI -SEPTIEMBRE-2021'!BE185:BE189)</f>
        <v>86950735</v>
      </c>
      <c r="K148" s="300">
        <f>SUM('SGTO POAI -SEPTIEMBRE-2021'!BF185:BF189)</f>
        <v>60115000</v>
      </c>
      <c r="L148" s="300">
        <f>F148+I148</f>
        <v>4237965007.0100002</v>
      </c>
      <c r="M148" s="300">
        <f t="shared" si="206"/>
        <v>2387010068.25</v>
      </c>
      <c r="N148" s="300">
        <f t="shared" si="206"/>
        <v>2360174333.25</v>
      </c>
      <c r="P148" s="46"/>
    </row>
    <row r="149" spans="1:27" s="7" customFormat="1" ht="20.25" customHeight="1" x14ac:dyDescent="0.2">
      <c r="A149" s="134"/>
      <c r="B149" s="63">
        <v>2</v>
      </c>
      <c r="C149" s="51" t="s">
        <v>400</v>
      </c>
      <c r="D149" s="51"/>
      <c r="E149" s="132"/>
      <c r="F149" s="151">
        <f>F150+F152</f>
        <v>0</v>
      </c>
      <c r="G149" s="151">
        <f t="shared" ref="G149:H149" si="207">G150+G152</f>
        <v>0</v>
      </c>
      <c r="H149" s="151">
        <f t="shared" si="207"/>
        <v>0</v>
      </c>
      <c r="I149" s="151">
        <f>I150+I152</f>
        <v>56195000</v>
      </c>
      <c r="J149" s="151">
        <f t="shared" ref="J149:K149" si="208">J150+J152</f>
        <v>47095000</v>
      </c>
      <c r="K149" s="151">
        <f t="shared" si="208"/>
        <v>26210000</v>
      </c>
      <c r="L149" s="151">
        <f>L150+L152</f>
        <v>56195000</v>
      </c>
      <c r="M149" s="151">
        <f t="shared" ref="M149:N149" si="209">M150+M152</f>
        <v>47095000</v>
      </c>
      <c r="N149" s="151">
        <f t="shared" si="209"/>
        <v>26210000</v>
      </c>
      <c r="O149" s="14"/>
      <c r="P149" s="44"/>
    </row>
    <row r="150" spans="1:27" s="7" customFormat="1" ht="20.25" customHeight="1" x14ac:dyDescent="0.2">
      <c r="A150" s="134"/>
      <c r="B150" s="73"/>
      <c r="C150" s="54">
        <v>17</v>
      </c>
      <c r="D150" s="52" t="s">
        <v>451</v>
      </c>
      <c r="E150" s="125"/>
      <c r="F150" s="150">
        <f>F151</f>
        <v>0</v>
      </c>
      <c r="G150" s="150">
        <f t="shared" ref="G150:H150" si="210">G151</f>
        <v>0</v>
      </c>
      <c r="H150" s="150">
        <f t="shared" si="210"/>
        <v>0</v>
      </c>
      <c r="I150" s="150">
        <f>I151</f>
        <v>18000000</v>
      </c>
      <c r="J150" s="150">
        <f t="shared" ref="J150:K150" si="211">J151</f>
        <v>18000000</v>
      </c>
      <c r="K150" s="150">
        <f t="shared" si="211"/>
        <v>11540000</v>
      </c>
      <c r="L150" s="150">
        <f>L151</f>
        <v>18000000</v>
      </c>
      <c r="M150" s="150">
        <f t="shared" ref="M150:N150" si="212">M151</f>
        <v>18000000</v>
      </c>
      <c r="N150" s="150">
        <f t="shared" si="212"/>
        <v>11540000</v>
      </c>
      <c r="O150" s="14"/>
      <c r="P150" s="44"/>
    </row>
    <row r="151" spans="1:27" s="37" customFormat="1" ht="60" customHeight="1" x14ac:dyDescent="0.2">
      <c r="A151" s="135"/>
      <c r="B151" s="58"/>
      <c r="C151" s="58"/>
      <c r="D151" s="58">
        <v>1702</v>
      </c>
      <c r="E151" s="295" t="s">
        <v>452</v>
      </c>
      <c r="F151" s="300"/>
      <c r="G151" s="300"/>
      <c r="H151" s="300"/>
      <c r="I151" s="300">
        <f>'SGTO POAI -SEPTIEMBRE-2021'!BD190</f>
        <v>18000000</v>
      </c>
      <c r="J151" s="300">
        <f>'SGTO POAI -SEPTIEMBRE-2021'!BE190</f>
        <v>18000000</v>
      </c>
      <c r="K151" s="300">
        <f>'SGTO POAI -SEPTIEMBRE-2021'!BF190</f>
        <v>11540000</v>
      </c>
      <c r="L151" s="300">
        <f>F151+I151</f>
        <v>18000000</v>
      </c>
      <c r="M151" s="300">
        <f t="shared" ref="M151:N151" si="213">G151+J151</f>
        <v>18000000</v>
      </c>
      <c r="N151" s="300">
        <f t="shared" si="213"/>
        <v>11540000</v>
      </c>
      <c r="P151" s="46"/>
    </row>
    <row r="152" spans="1:27" s="37" customFormat="1" ht="25.5" customHeight="1" x14ac:dyDescent="0.2">
      <c r="A152" s="135"/>
      <c r="B152" s="73"/>
      <c r="C152" s="54">
        <v>36</v>
      </c>
      <c r="D152" s="128" t="s">
        <v>433</v>
      </c>
      <c r="E152" s="129"/>
      <c r="F152" s="150">
        <f>F153</f>
        <v>0</v>
      </c>
      <c r="G152" s="150">
        <f t="shared" ref="G152:H152" si="214">G153</f>
        <v>0</v>
      </c>
      <c r="H152" s="150">
        <f t="shared" si="214"/>
        <v>0</v>
      </c>
      <c r="I152" s="150">
        <f>I153</f>
        <v>38195000</v>
      </c>
      <c r="J152" s="150">
        <f t="shared" ref="J152:K152" si="215">J153</f>
        <v>29095000</v>
      </c>
      <c r="K152" s="150">
        <f t="shared" si="215"/>
        <v>14670000</v>
      </c>
      <c r="L152" s="150">
        <f>L153</f>
        <v>38195000</v>
      </c>
      <c r="M152" s="150">
        <f t="shared" ref="M152:N152" si="216">M153</f>
        <v>29095000</v>
      </c>
      <c r="N152" s="150">
        <f t="shared" si="216"/>
        <v>14670000</v>
      </c>
      <c r="P152" s="46"/>
    </row>
    <row r="153" spans="1:27" s="37" customFormat="1" ht="54" customHeight="1" x14ac:dyDescent="0.2">
      <c r="A153" s="135"/>
      <c r="B153" s="58"/>
      <c r="C153" s="58"/>
      <c r="D153" s="58">
        <v>3604</v>
      </c>
      <c r="E153" s="295" t="s">
        <v>932</v>
      </c>
      <c r="F153" s="300"/>
      <c r="G153" s="300"/>
      <c r="H153" s="300"/>
      <c r="I153" s="300">
        <f>'SGTO POAI -SEPTIEMBRE-2021'!BD191</f>
        <v>38195000</v>
      </c>
      <c r="J153" s="300">
        <f>'SGTO POAI -SEPTIEMBRE-2021'!BE191</f>
        <v>29095000</v>
      </c>
      <c r="K153" s="300">
        <f>'SGTO POAI -SEPTIEMBRE-2021'!BF191</f>
        <v>14670000</v>
      </c>
      <c r="L153" s="300">
        <f>F153+I153</f>
        <v>38195000</v>
      </c>
      <c r="M153" s="300">
        <f t="shared" ref="M153:N153" si="217">G153+J153</f>
        <v>29095000</v>
      </c>
      <c r="N153" s="300">
        <f t="shared" si="217"/>
        <v>14670000</v>
      </c>
      <c r="P153" s="46"/>
    </row>
    <row r="154" spans="1:27" s="7" customFormat="1" ht="21" customHeight="1" x14ac:dyDescent="0.2">
      <c r="A154" s="134"/>
      <c r="B154" s="63">
        <v>4</v>
      </c>
      <c r="C154" s="51" t="s">
        <v>37</v>
      </c>
      <c r="D154" s="51"/>
      <c r="E154" s="132"/>
      <c r="F154" s="151">
        <f t="shared" ref="F154:N155" si="218">F155</f>
        <v>0</v>
      </c>
      <c r="G154" s="151">
        <f t="shared" si="218"/>
        <v>0</v>
      </c>
      <c r="H154" s="151">
        <f t="shared" si="218"/>
        <v>0</v>
      </c>
      <c r="I154" s="151">
        <f t="shared" si="218"/>
        <v>462094503</v>
      </c>
      <c r="J154" s="151">
        <f t="shared" si="218"/>
        <v>316619335</v>
      </c>
      <c r="K154" s="151">
        <f t="shared" si="218"/>
        <v>198020000</v>
      </c>
      <c r="L154" s="151">
        <f t="shared" si="218"/>
        <v>462094503</v>
      </c>
      <c r="M154" s="151">
        <f t="shared" si="218"/>
        <v>316619335</v>
      </c>
      <c r="N154" s="151">
        <f t="shared" si="218"/>
        <v>198020000</v>
      </c>
      <c r="O154" s="14"/>
      <c r="P154" s="44"/>
    </row>
    <row r="155" spans="1:27" s="7" customFormat="1" ht="21" customHeight="1" x14ac:dyDescent="0.2">
      <c r="A155" s="134"/>
      <c r="B155" s="73"/>
      <c r="C155" s="54">
        <v>45</v>
      </c>
      <c r="D155" s="52" t="s">
        <v>938</v>
      </c>
      <c r="E155" s="125"/>
      <c r="F155" s="150">
        <f t="shared" si="218"/>
        <v>0</v>
      </c>
      <c r="G155" s="150">
        <f t="shared" si="218"/>
        <v>0</v>
      </c>
      <c r="H155" s="150">
        <f t="shared" si="218"/>
        <v>0</v>
      </c>
      <c r="I155" s="150">
        <f>SUM(I156:I157)</f>
        <v>462094503</v>
      </c>
      <c r="J155" s="150">
        <f t="shared" ref="J155:K155" si="219">SUM(J156:J157)</f>
        <v>316619335</v>
      </c>
      <c r="K155" s="150">
        <f t="shared" si="219"/>
        <v>198020000</v>
      </c>
      <c r="L155" s="150">
        <f>SUM(L156:L157)</f>
        <v>462094503</v>
      </c>
      <c r="M155" s="150">
        <f t="shared" ref="M155:N155" si="220">SUM(M156:M157)</f>
        <v>316619335</v>
      </c>
      <c r="N155" s="150">
        <f t="shared" si="220"/>
        <v>198020000</v>
      </c>
      <c r="O155" s="14"/>
      <c r="P155" s="44"/>
    </row>
    <row r="156" spans="1:27" s="37" customFormat="1" ht="67.5" customHeight="1" x14ac:dyDescent="0.2">
      <c r="A156" s="135"/>
      <c r="B156" s="58"/>
      <c r="C156" s="58"/>
      <c r="D156" s="58">
        <v>4502</v>
      </c>
      <c r="E156" s="295" t="s">
        <v>60</v>
      </c>
      <c r="F156" s="300"/>
      <c r="G156" s="300"/>
      <c r="H156" s="300"/>
      <c r="I156" s="300">
        <f>SUM('SGTO POAI -SEPTIEMBRE-2021'!BD192:BD196)</f>
        <v>251000000</v>
      </c>
      <c r="J156" s="300">
        <f>SUM('SGTO POAI -SEPTIEMBRE-2021'!BE192:BE196)</f>
        <v>228343313</v>
      </c>
      <c r="K156" s="300">
        <f>SUM('SGTO POAI -SEPTIEMBRE-2021'!BF192:BF196)</f>
        <v>156110000</v>
      </c>
      <c r="L156" s="300">
        <f>F156+I156</f>
        <v>251000000</v>
      </c>
      <c r="M156" s="300">
        <f t="shared" ref="M156:N157" si="221">G156+J156</f>
        <v>228343313</v>
      </c>
      <c r="N156" s="300">
        <f t="shared" si="221"/>
        <v>156110000</v>
      </c>
      <c r="P156" s="46"/>
    </row>
    <row r="157" spans="1:27" s="37" customFormat="1" ht="84.75" customHeight="1" x14ac:dyDescent="0.2">
      <c r="A157" s="135"/>
      <c r="B157" s="58"/>
      <c r="C157" s="58"/>
      <c r="D157" s="58">
        <v>4599</v>
      </c>
      <c r="E157" s="294" t="s">
        <v>634</v>
      </c>
      <c r="F157" s="300">
        <f>'SGTO POAI -SEPTIEMBRE-2021'!Z192</f>
        <v>0</v>
      </c>
      <c r="G157" s="300">
        <f>'SGTO POAI -SEPTIEMBRE-2021'!AA192</f>
        <v>0</v>
      </c>
      <c r="H157" s="300">
        <f>'SGTO POAI -SEPTIEMBRE-2021'!AB192</f>
        <v>0</v>
      </c>
      <c r="I157" s="300">
        <f>SUM('SGTO POAI -SEPTIEMBRE-2021'!BD197:BD199)</f>
        <v>211094503</v>
      </c>
      <c r="J157" s="300">
        <f>SUM('SGTO POAI -SEPTIEMBRE-2021'!BE197:BE199)</f>
        <v>88276022</v>
      </c>
      <c r="K157" s="300">
        <f>SUM('SGTO POAI -SEPTIEMBRE-2021'!BF197:BF199)</f>
        <v>41910000</v>
      </c>
      <c r="L157" s="300">
        <f>F157+I157</f>
        <v>211094503</v>
      </c>
      <c r="M157" s="300">
        <f t="shared" si="221"/>
        <v>88276022</v>
      </c>
      <c r="N157" s="300">
        <f t="shared" si="221"/>
        <v>41910000</v>
      </c>
      <c r="P157" s="46"/>
    </row>
    <row r="158" spans="1:27" s="7" customFormat="1" x14ac:dyDescent="0.2">
      <c r="A158" s="45"/>
      <c r="B158" s="126"/>
      <c r="C158" s="126"/>
      <c r="D158" s="126"/>
      <c r="E158" s="146"/>
      <c r="F158" s="127"/>
      <c r="G158" s="38"/>
      <c r="H158" s="14"/>
      <c r="I158" s="14"/>
      <c r="J158" s="14"/>
      <c r="K158" s="14"/>
      <c r="L158" s="44"/>
    </row>
    <row r="159" spans="1:27" s="7" customFormat="1" ht="24" customHeight="1" x14ac:dyDescent="0.2">
      <c r="A159" s="551" t="s">
        <v>4</v>
      </c>
      <c r="B159" s="551" t="s">
        <v>5</v>
      </c>
      <c r="C159" s="551" t="s">
        <v>6</v>
      </c>
      <c r="D159" s="551" t="s">
        <v>1359</v>
      </c>
      <c r="E159" s="552" t="s">
        <v>7</v>
      </c>
      <c r="F159" s="549" t="s">
        <v>1371</v>
      </c>
      <c r="G159" s="549"/>
      <c r="H159" s="550"/>
      <c r="I159" s="548" t="s">
        <v>1516</v>
      </c>
      <c r="J159" s="549"/>
      <c r="K159" s="550"/>
      <c r="L159" s="548" t="s">
        <v>1675</v>
      </c>
      <c r="M159" s="549"/>
      <c r="N159" s="550"/>
      <c r="O159" s="548" t="s">
        <v>1360</v>
      </c>
      <c r="P159" s="549"/>
      <c r="Q159" s="550"/>
      <c r="R159" s="548" t="s">
        <v>1508</v>
      </c>
      <c r="S159" s="549"/>
      <c r="T159" s="550"/>
      <c r="U159" s="548" t="s">
        <v>12</v>
      </c>
      <c r="V159" s="549"/>
      <c r="W159" s="550"/>
      <c r="X159" s="88"/>
      <c r="Y159" s="89"/>
      <c r="AA159" s="88"/>
    </row>
    <row r="160" spans="1:27" s="7" customFormat="1" ht="24" customHeight="1" x14ac:dyDescent="0.2">
      <c r="A160" s="551"/>
      <c r="B160" s="551"/>
      <c r="C160" s="551"/>
      <c r="D160" s="551"/>
      <c r="E160" s="552"/>
      <c r="F160" s="159" t="s">
        <v>1649</v>
      </c>
      <c r="G160" s="160" t="s">
        <v>1495</v>
      </c>
      <c r="H160" s="160" t="s">
        <v>1496</v>
      </c>
      <c r="I160" s="160" t="s">
        <v>1649</v>
      </c>
      <c r="J160" s="160" t="s">
        <v>1495</v>
      </c>
      <c r="K160" s="160" t="s">
        <v>1496</v>
      </c>
      <c r="L160" s="160" t="s">
        <v>1649</v>
      </c>
      <c r="M160" s="160" t="s">
        <v>1495</v>
      </c>
      <c r="N160" s="160" t="s">
        <v>1496</v>
      </c>
      <c r="O160" s="160" t="s">
        <v>1649</v>
      </c>
      <c r="P160" s="160" t="s">
        <v>1495</v>
      </c>
      <c r="Q160" s="160" t="s">
        <v>1496</v>
      </c>
      <c r="R160" s="160" t="s">
        <v>1649</v>
      </c>
      <c r="S160" s="160" t="s">
        <v>1495</v>
      </c>
      <c r="T160" s="160" t="s">
        <v>1496</v>
      </c>
      <c r="U160" s="160" t="s">
        <v>1649</v>
      </c>
      <c r="V160" s="160" t="s">
        <v>1495</v>
      </c>
      <c r="W160" s="160" t="s">
        <v>1496</v>
      </c>
      <c r="X160" s="88"/>
      <c r="Y160" s="89"/>
      <c r="AA160" s="88"/>
    </row>
    <row r="161" spans="1:25" ht="24" customHeight="1" x14ac:dyDescent="0.2">
      <c r="A161" s="34" t="s">
        <v>986</v>
      </c>
      <c r="B161" s="35"/>
      <c r="C161" s="35"/>
      <c r="D161" s="35"/>
      <c r="E161" s="57"/>
      <c r="F161" s="266">
        <f t="shared" ref="F161:N162" si="222">F162</f>
        <v>7620632943.1700001</v>
      </c>
      <c r="G161" s="266">
        <f t="shared" si="222"/>
        <v>4981325317.1999998</v>
      </c>
      <c r="H161" s="266">
        <f t="shared" si="222"/>
        <v>2594636672.1999998</v>
      </c>
      <c r="I161" s="266">
        <f t="shared" si="222"/>
        <v>800000000</v>
      </c>
      <c r="J161" s="266">
        <f t="shared" si="222"/>
        <v>400000000</v>
      </c>
      <c r="K161" s="266">
        <f t="shared" si="222"/>
        <v>400000000</v>
      </c>
      <c r="L161" s="266">
        <f t="shared" si="222"/>
        <v>39669979027.420006</v>
      </c>
      <c r="M161" s="266">
        <f t="shared" si="222"/>
        <v>34616729464.719994</v>
      </c>
      <c r="N161" s="266">
        <f t="shared" si="222"/>
        <v>28985131233.699997</v>
      </c>
      <c r="O161" s="266">
        <f t="shared" ref="O161:W162" si="223">O162</f>
        <v>6208618945</v>
      </c>
      <c r="P161" s="266">
        <f t="shared" si="223"/>
        <v>5610481489</v>
      </c>
      <c r="Q161" s="266">
        <f t="shared" si="223"/>
        <v>5181373489</v>
      </c>
      <c r="R161" s="266">
        <f t="shared" si="223"/>
        <v>4231367766.21</v>
      </c>
      <c r="S161" s="266">
        <f t="shared" si="223"/>
        <v>2023151864.3299999</v>
      </c>
      <c r="T161" s="266">
        <f t="shared" si="223"/>
        <v>1512242456.3299999</v>
      </c>
      <c r="U161" s="266">
        <f t="shared" si="223"/>
        <v>58530598681.800003</v>
      </c>
      <c r="V161" s="266">
        <f t="shared" si="223"/>
        <v>47631688135.249992</v>
      </c>
      <c r="W161" s="266">
        <f t="shared" si="223"/>
        <v>38673383851.229996</v>
      </c>
      <c r="Y161" s="16"/>
    </row>
    <row r="162" spans="1:25" ht="24" customHeight="1" x14ac:dyDescent="0.2">
      <c r="A162" s="65"/>
      <c r="B162" s="63">
        <v>1</v>
      </c>
      <c r="C162" s="51" t="s">
        <v>136</v>
      </c>
      <c r="D162" s="51"/>
      <c r="E162" s="132"/>
      <c r="F162" s="151">
        <f t="shared" si="222"/>
        <v>7620632943.1700001</v>
      </c>
      <c r="G162" s="151">
        <f t="shared" si="222"/>
        <v>4981325317.1999998</v>
      </c>
      <c r="H162" s="151">
        <f t="shared" si="222"/>
        <v>2594636672.1999998</v>
      </c>
      <c r="I162" s="151">
        <f t="shared" si="222"/>
        <v>800000000</v>
      </c>
      <c r="J162" s="151">
        <f t="shared" si="222"/>
        <v>400000000</v>
      </c>
      <c r="K162" s="151">
        <f t="shared" si="222"/>
        <v>400000000</v>
      </c>
      <c r="L162" s="151">
        <f t="shared" si="222"/>
        <v>39669979027.420006</v>
      </c>
      <c r="M162" s="151">
        <f t="shared" si="222"/>
        <v>34616729464.719994</v>
      </c>
      <c r="N162" s="151">
        <f t="shared" si="222"/>
        <v>28985131233.699997</v>
      </c>
      <c r="O162" s="151">
        <f t="shared" si="223"/>
        <v>6208618945</v>
      </c>
      <c r="P162" s="151">
        <f t="shared" si="223"/>
        <v>5610481489</v>
      </c>
      <c r="Q162" s="151">
        <f t="shared" si="223"/>
        <v>5181373489</v>
      </c>
      <c r="R162" s="151">
        <f t="shared" si="223"/>
        <v>4231367766.21</v>
      </c>
      <c r="S162" s="151">
        <f t="shared" si="223"/>
        <v>2023151864.3299999</v>
      </c>
      <c r="T162" s="151">
        <f t="shared" si="223"/>
        <v>1512242456.3299999</v>
      </c>
      <c r="U162" s="151">
        <f>U163</f>
        <v>58530598681.800003</v>
      </c>
      <c r="V162" s="151">
        <f t="shared" si="223"/>
        <v>47631688135.249992</v>
      </c>
      <c r="W162" s="151">
        <f t="shared" si="223"/>
        <v>38673383851.229996</v>
      </c>
    </row>
    <row r="163" spans="1:25" ht="24" customHeight="1" x14ac:dyDescent="0.2">
      <c r="A163" s="65"/>
      <c r="B163" s="73"/>
      <c r="C163" s="54">
        <v>19</v>
      </c>
      <c r="D163" s="52" t="s">
        <v>147</v>
      </c>
      <c r="E163" s="125"/>
      <c r="F163" s="150">
        <f t="shared" ref="F163:U163" si="224">SUM(F164:F166)</f>
        <v>7620632943.1700001</v>
      </c>
      <c r="G163" s="150">
        <f t="shared" ref="G163:H163" si="225">SUM(G164:G166)</f>
        <v>4981325317.1999998</v>
      </c>
      <c r="H163" s="150">
        <f t="shared" si="225"/>
        <v>2594636672.1999998</v>
      </c>
      <c r="I163" s="150">
        <f t="shared" si="224"/>
        <v>800000000</v>
      </c>
      <c r="J163" s="150">
        <f t="shared" ref="J163:K163" si="226">SUM(J164:J166)</f>
        <v>400000000</v>
      </c>
      <c r="K163" s="150">
        <f t="shared" si="226"/>
        <v>400000000</v>
      </c>
      <c r="L163" s="150">
        <f t="shared" si="224"/>
        <v>39669979027.420006</v>
      </c>
      <c r="M163" s="150">
        <f t="shared" ref="M163:N163" si="227">SUM(M164:M166)</f>
        <v>34616729464.719994</v>
      </c>
      <c r="N163" s="150">
        <f t="shared" si="227"/>
        <v>28985131233.699997</v>
      </c>
      <c r="O163" s="150">
        <f t="shared" si="224"/>
        <v>6208618945</v>
      </c>
      <c r="P163" s="150">
        <f t="shared" ref="P163:Q163" si="228">SUM(P164:P166)</f>
        <v>5610481489</v>
      </c>
      <c r="Q163" s="150">
        <f t="shared" si="228"/>
        <v>5181373489</v>
      </c>
      <c r="R163" s="150">
        <f t="shared" si="224"/>
        <v>4231367766.21</v>
      </c>
      <c r="S163" s="150">
        <f t="shared" ref="S163:T163" si="229">SUM(S164:S166)</f>
        <v>2023151864.3299999</v>
      </c>
      <c r="T163" s="150">
        <f t="shared" si="229"/>
        <v>1512242456.3299999</v>
      </c>
      <c r="U163" s="150">
        <f t="shared" si="224"/>
        <v>58530598681.800003</v>
      </c>
      <c r="V163" s="150">
        <f t="shared" ref="V163:W163" si="230">SUM(V164:V166)</f>
        <v>47631688135.249992</v>
      </c>
      <c r="W163" s="150">
        <f t="shared" si="230"/>
        <v>38673383851.229996</v>
      </c>
    </row>
    <row r="164" spans="1:25" s="33" customFormat="1" ht="35.25" customHeight="1" x14ac:dyDescent="0.2">
      <c r="A164" s="72"/>
      <c r="B164" s="58"/>
      <c r="C164" s="58"/>
      <c r="D164" s="58">
        <v>1903</v>
      </c>
      <c r="E164" s="295" t="s">
        <v>987</v>
      </c>
      <c r="F164" s="300">
        <f>SUM('SGTO POAI -SEPTIEMBRE-2021'!AL200:AL221)</f>
        <v>1389901448</v>
      </c>
      <c r="G164" s="300">
        <f>SUM('SGTO POAI -SEPTIEMBRE-2021'!AM200:AM221)</f>
        <v>1067803270</v>
      </c>
      <c r="H164" s="300">
        <f>SUM('SGTO POAI -SEPTIEMBRE-2021'!AN200:AN221)</f>
        <v>747760789</v>
      </c>
      <c r="I164" s="300">
        <f>SUM('SGTO POAI -SEPTIEMBRE-2021'!AI200:AI221)</f>
        <v>0</v>
      </c>
      <c r="J164" s="300">
        <f>SUM('SGTO POAI -SEPTIEMBRE-2021'!AJ200:AJ221)</f>
        <v>0</v>
      </c>
      <c r="K164" s="300">
        <f>SUM('SGTO POAI -SEPTIEMBRE-2021'!AK200:AK221)</f>
        <v>0</v>
      </c>
      <c r="L164" s="300">
        <f>SUM('SGTO POAI -SEPTIEMBRE-2021'!AO200:AO221)</f>
        <v>91081005</v>
      </c>
      <c r="M164" s="300">
        <f>SUM('SGTO POAI -SEPTIEMBRE-2021'!AP200:AP221)</f>
        <v>46170000</v>
      </c>
      <c r="N164" s="300">
        <f>SUM('SGTO POAI -SEPTIEMBRE-2021'!AQ200:AQ221)</f>
        <v>37100000</v>
      </c>
      <c r="O164" s="300">
        <f>SUM('SGTO POAI -SEPTIEMBRE-2021'!BD200:BD221)</f>
        <v>252324569</v>
      </c>
      <c r="P164" s="300">
        <f>SUM('SGTO POAI -SEPTIEMBRE-2021'!BE200:BE221)</f>
        <v>194599569</v>
      </c>
      <c r="Q164" s="300">
        <f>SUM('SGTO POAI -SEPTIEMBRE-2021'!BF200:BF221)</f>
        <v>161723069</v>
      </c>
      <c r="R164" s="300">
        <f>SUM('SGTO POAI -SEPTIEMBRE-2021'!BJ200:BJ221)</f>
        <v>1449359713.21</v>
      </c>
      <c r="S164" s="300">
        <f>SUM('SGTO POAI -SEPTIEMBRE-2021'!BK200:BK221)</f>
        <v>515090898.32999998</v>
      </c>
      <c r="T164" s="300">
        <f>SUM('SGTO POAI -SEPTIEMBRE-2021'!BL200:BL221)</f>
        <v>483523398.32999998</v>
      </c>
      <c r="U164" s="300">
        <f t="shared" ref="U164:W166" si="231">F164+I164+L164+O164+R164</f>
        <v>3182666735.21</v>
      </c>
      <c r="V164" s="300">
        <f t="shared" si="231"/>
        <v>1823663737.3299999</v>
      </c>
      <c r="W164" s="300">
        <f t="shared" si="231"/>
        <v>1430107256.3299999</v>
      </c>
    </row>
    <row r="165" spans="1:25" s="33" customFormat="1" ht="31.5" customHeight="1" x14ac:dyDescent="0.2">
      <c r="A165" s="72"/>
      <c r="B165" s="58"/>
      <c r="C165" s="58"/>
      <c r="D165" s="58">
        <v>1905</v>
      </c>
      <c r="E165" s="295" t="s">
        <v>768</v>
      </c>
      <c r="F165" s="300">
        <f>SUM('SGTO POAI -SEPTIEMBRE-2021'!AL222:AL250)</f>
        <v>4489864641.7600002</v>
      </c>
      <c r="G165" s="300">
        <f>SUM('SGTO POAI -SEPTIEMBRE-2021'!AM222:AM250)</f>
        <v>2326365236</v>
      </c>
      <c r="H165" s="300">
        <f>SUM('SGTO POAI -SEPTIEMBRE-2021'!AN222:AN250)</f>
        <v>1315534136</v>
      </c>
      <c r="I165" s="300">
        <f>SUM('SGTO POAI -SEPTIEMBRE-2021'!AI222:AI250)</f>
        <v>0</v>
      </c>
      <c r="J165" s="300">
        <f>SUM('SGTO POAI -SEPTIEMBRE-2021'!AJ222:AJ250)</f>
        <v>0</v>
      </c>
      <c r="K165" s="300">
        <f>SUM('SGTO POAI -SEPTIEMBRE-2021'!AK222:AK250)</f>
        <v>0</v>
      </c>
      <c r="L165" s="300">
        <f>SUM('SGTO POAI -SEPTIEMBRE-2021'!AO222:AO250)</f>
        <v>0</v>
      </c>
      <c r="M165" s="300">
        <f>SUM('SGTO POAI -SEPTIEMBRE-2021'!AP222:AP250)</f>
        <v>0</v>
      </c>
      <c r="N165" s="300">
        <f>SUM('SGTO POAI -SEPTIEMBRE-2021'!AQ222:AQ250)</f>
        <v>0</v>
      </c>
      <c r="O165" s="300">
        <f>SUM('SGTO POAI -SEPTIEMBRE-2021'!BD222:BD250)</f>
        <v>1551904376</v>
      </c>
      <c r="P165" s="300">
        <f>SUM('SGTO POAI -SEPTIEMBRE-2021'!BE222:BE250)</f>
        <v>1210995990</v>
      </c>
      <c r="Q165" s="300">
        <f>SUM('SGTO POAI -SEPTIEMBRE-2021'!BF222:BF250)</f>
        <v>819473990</v>
      </c>
      <c r="R165" s="300">
        <f>SUM('SGTO POAI -SEPTIEMBRE-2021'!BJ222:BJ250)</f>
        <v>402351388</v>
      </c>
      <c r="S165" s="300">
        <f>SUM('SGTO POAI -SEPTIEMBRE-2021'!BK222:BK250)</f>
        <v>309554190</v>
      </c>
      <c r="T165" s="300">
        <f>SUM('SGTO POAI -SEPTIEMBRE-2021'!BL222:BL250)</f>
        <v>266369090</v>
      </c>
      <c r="U165" s="300">
        <f t="shared" si="231"/>
        <v>6444120405.7600002</v>
      </c>
      <c r="V165" s="300">
        <f t="shared" si="231"/>
        <v>3846915416</v>
      </c>
      <c r="W165" s="300">
        <f t="shared" si="231"/>
        <v>2401377216</v>
      </c>
    </row>
    <row r="166" spans="1:25" s="33" customFormat="1" ht="57.75" customHeight="1" x14ac:dyDescent="0.2">
      <c r="A166" s="72"/>
      <c r="B166" s="58"/>
      <c r="C166" s="58"/>
      <c r="D166" s="58">
        <v>1906</v>
      </c>
      <c r="E166" s="295" t="s">
        <v>148</v>
      </c>
      <c r="F166" s="300">
        <f>SUM('SGTO POAI -SEPTIEMBRE-2021'!AL251:AL260)</f>
        <v>1740866853.4100001</v>
      </c>
      <c r="G166" s="300">
        <f>SUM('SGTO POAI -SEPTIEMBRE-2021'!AM251:AM260)</f>
        <v>1587156811.2</v>
      </c>
      <c r="H166" s="300">
        <f>SUM('SGTO POAI -SEPTIEMBRE-2021'!AN251:AN260)</f>
        <v>531341747.19999999</v>
      </c>
      <c r="I166" s="300">
        <f>SUM('SGTO POAI -SEPTIEMBRE-2021'!AI251:AI260)</f>
        <v>800000000</v>
      </c>
      <c r="J166" s="300">
        <f>SUM('SGTO POAI -SEPTIEMBRE-2021'!AJ251:AJ260)</f>
        <v>400000000</v>
      </c>
      <c r="K166" s="300">
        <f>SUM('SGTO POAI -SEPTIEMBRE-2021'!AK251:AK260)</f>
        <v>400000000</v>
      </c>
      <c r="L166" s="300">
        <f>SUM('SGTO POAI -SEPTIEMBRE-2021'!AO251:AO260)</f>
        <v>39578898022.420006</v>
      </c>
      <c r="M166" s="300">
        <f>SUM('SGTO POAI -SEPTIEMBRE-2021'!AP251:AP260)</f>
        <v>34570559464.719994</v>
      </c>
      <c r="N166" s="300">
        <f>SUM('SGTO POAI -SEPTIEMBRE-2021'!AQ251:AQ260)</f>
        <v>28948031233.699997</v>
      </c>
      <c r="O166" s="300">
        <f>SUM('SGTO POAI -SEPTIEMBRE-2021'!BD251:BD260)</f>
        <v>4404390000</v>
      </c>
      <c r="P166" s="300">
        <f>SUM('SGTO POAI -SEPTIEMBRE-2021'!BE251:BE260)</f>
        <v>4204885930</v>
      </c>
      <c r="Q166" s="300">
        <f>SUM('SGTO POAI -SEPTIEMBRE-2021'!BF251:BF260)</f>
        <v>4200176430</v>
      </c>
      <c r="R166" s="300">
        <f>SUM('SGTO POAI -SEPTIEMBRE-2021'!BJ251:BJ260)</f>
        <v>2379656665</v>
      </c>
      <c r="S166" s="300">
        <f>SUM('SGTO POAI -SEPTIEMBRE-2021'!BK251:BK260)</f>
        <v>1198506776</v>
      </c>
      <c r="T166" s="300">
        <f>SUM('SGTO POAI -SEPTIEMBRE-2021'!BL251:BL260)</f>
        <v>762349968</v>
      </c>
      <c r="U166" s="300">
        <f t="shared" si="231"/>
        <v>48903811540.830002</v>
      </c>
      <c r="V166" s="300">
        <f t="shared" si="231"/>
        <v>41961108981.919991</v>
      </c>
      <c r="W166" s="300">
        <f t="shared" si="231"/>
        <v>34841899378.899994</v>
      </c>
    </row>
    <row r="167" spans="1:25" s="7" customFormat="1" x14ac:dyDescent="0.2">
      <c r="A167" s="45"/>
      <c r="B167" s="126"/>
      <c r="C167" s="126"/>
      <c r="D167" s="126"/>
      <c r="E167" s="146"/>
      <c r="F167" s="127"/>
      <c r="G167" s="38"/>
      <c r="H167" s="14"/>
      <c r="I167" s="14"/>
      <c r="J167" s="14"/>
      <c r="K167" s="14"/>
      <c r="L167" s="44"/>
    </row>
    <row r="168" spans="1:25" s="7" customFormat="1" ht="24" customHeight="1" x14ac:dyDescent="0.2">
      <c r="A168" s="551" t="s">
        <v>4</v>
      </c>
      <c r="B168" s="551" t="s">
        <v>5</v>
      </c>
      <c r="C168" s="551" t="s">
        <v>6</v>
      </c>
      <c r="D168" s="551" t="s">
        <v>1359</v>
      </c>
      <c r="E168" s="552" t="s">
        <v>7</v>
      </c>
      <c r="F168" s="568" t="s">
        <v>1360</v>
      </c>
      <c r="G168" s="568"/>
      <c r="H168" s="569"/>
      <c r="I168" s="14"/>
      <c r="J168" s="14"/>
      <c r="K168" s="14"/>
      <c r="L168" s="44"/>
    </row>
    <row r="169" spans="1:25" s="7" customFormat="1" ht="24" customHeight="1" x14ac:dyDescent="0.2">
      <c r="A169" s="551"/>
      <c r="B169" s="551"/>
      <c r="C169" s="551"/>
      <c r="D169" s="551"/>
      <c r="E169" s="552"/>
      <c r="F169" s="292" t="s">
        <v>1649</v>
      </c>
      <c r="G169" s="160" t="s">
        <v>1495</v>
      </c>
      <c r="H169" s="160" t="s">
        <v>1496</v>
      </c>
      <c r="I169" s="14"/>
      <c r="J169" s="14"/>
      <c r="K169" s="14"/>
      <c r="L169" s="44"/>
    </row>
    <row r="170" spans="1:25" s="6" customFormat="1" ht="24" customHeight="1" x14ac:dyDescent="0.25">
      <c r="A170" s="34" t="s">
        <v>1201</v>
      </c>
      <c r="B170" s="35"/>
      <c r="C170" s="35"/>
      <c r="D170" s="35"/>
      <c r="E170" s="57"/>
      <c r="F170" s="267">
        <f>F171+F175+F179</f>
        <v>1196000000</v>
      </c>
      <c r="G170" s="267">
        <f t="shared" ref="G170:H170" si="232">G171+G175+G179</f>
        <v>665187500</v>
      </c>
      <c r="H170" s="267">
        <f t="shared" si="232"/>
        <v>366524167</v>
      </c>
      <c r="I170" s="5"/>
      <c r="J170" s="5"/>
      <c r="K170" s="5"/>
      <c r="L170" s="42"/>
    </row>
    <row r="171" spans="1:25" s="6" customFormat="1" ht="24" customHeight="1" x14ac:dyDescent="0.25">
      <c r="A171" s="62"/>
      <c r="B171" s="63">
        <v>1</v>
      </c>
      <c r="C171" s="51" t="s">
        <v>136</v>
      </c>
      <c r="D171" s="51"/>
      <c r="E171" s="132"/>
      <c r="F171" s="151">
        <f>F172</f>
        <v>820000000</v>
      </c>
      <c r="G171" s="151">
        <f t="shared" ref="G171:H171" si="233">G172</f>
        <v>369828667</v>
      </c>
      <c r="H171" s="151">
        <f t="shared" si="233"/>
        <v>221105334</v>
      </c>
      <c r="I171" s="5"/>
      <c r="J171" s="5"/>
      <c r="K171" s="5"/>
      <c r="L171" s="42"/>
    </row>
    <row r="172" spans="1:25" s="6" customFormat="1" ht="24" customHeight="1" x14ac:dyDescent="0.25">
      <c r="A172" s="62"/>
      <c r="B172" s="73"/>
      <c r="C172" s="54">
        <v>23</v>
      </c>
      <c r="D172" s="52" t="s">
        <v>1202</v>
      </c>
      <c r="E172" s="125"/>
      <c r="F172" s="150">
        <f>SUM(F173:F174)</f>
        <v>820000000</v>
      </c>
      <c r="G172" s="150">
        <f t="shared" ref="G172:H172" si="234">SUM(G173:G174)</f>
        <v>369828667</v>
      </c>
      <c r="H172" s="150">
        <f t="shared" si="234"/>
        <v>221105334</v>
      </c>
      <c r="I172" s="5"/>
      <c r="J172" s="5"/>
      <c r="K172" s="5"/>
      <c r="L172" s="42"/>
    </row>
    <row r="173" spans="1:25" s="321" customFormat="1" ht="57" customHeight="1" x14ac:dyDescent="0.25">
      <c r="A173" s="340"/>
      <c r="B173" s="58"/>
      <c r="C173" s="58"/>
      <c r="D173" s="74">
        <v>2301</v>
      </c>
      <c r="E173" s="295" t="s">
        <v>1203</v>
      </c>
      <c r="F173" s="300">
        <f>SUM('SGTO POAI -SEPTIEMBRE-2021'!BD261:BD269)</f>
        <v>674000000</v>
      </c>
      <c r="G173" s="300">
        <f>SUM('SGTO POAI -SEPTIEMBRE-2021'!BE261:BE269)</f>
        <v>276633333</v>
      </c>
      <c r="H173" s="300">
        <f>SUM('SGTO POAI -SEPTIEMBRE-2021'!BF261:BF269)</f>
        <v>136465000</v>
      </c>
      <c r="L173" s="343"/>
    </row>
    <row r="174" spans="1:25" s="321" customFormat="1" ht="90.75" customHeight="1" x14ac:dyDescent="0.25">
      <c r="A174" s="340"/>
      <c r="B174" s="58"/>
      <c r="C174" s="58"/>
      <c r="D174" s="74">
        <v>2302</v>
      </c>
      <c r="E174" s="295" t="s">
        <v>1492</v>
      </c>
      <c r="F174" s="300">
        <f>SUM('SGTO POAI -SEPTIEMBRE-2021'!BD270:BD274)</f>
        <v>146000000</v>
      </c>
      <c r="G174" s="300">
        <f>SUM('SGTO POAI -SEPTIEMBRE-2021'!BE270:BE274)</f>
        <v>93195334</v>
      </c>
      <c r="H174" s="300">
        <f>SUM('SGTO POAI -SEPTIEMBRE-2021'!BF270:BF274)</f>
        <v>84640334</v>
      </c>
      <c r="L174" s="343"/>
    </row>
    <row r="175" spans="1:25" s="6" customFormat="1" ht="24" customHeight="1" x14ac:dyDescent="0.25">
      <c r="A175" s="62"/>
      <c r="B175" s="63">
        <v>2</v>
      </c>
      <c r="C175" s="51" t="s">
        <v>400</v>
      </c>
      <c r="D175" s="51"/>
      <c r="E175" s="132"/>
      <c r="F175" s="151">
        <f>F176</f>
        <v>78000000</v>
      </c>
      <c r="G175" s="151">
        <f t="shared" ref="G175:H175" si="235">G176</f>
        <v>49778833</v>
      </c>
      <c r="H175" s="151">
        <f t="shared" si="235"/>
        <v>25868833</v>
      </c>
      <c r="I175" s="5"/>
      <c r="J175" s="5"/>
      <c r="K175" s="5"/>
      <c r="L175" s="42"/>
    </row>
    <row r="176" spans="1:25" s="6" customFormat="1" ht="24" customHeight="1" x14ac:dyDescent="0.25">
      <c r="A176" s="62"/>
      <c r="B176" s="73"/>
      <c r="C176" s="54">
        <v>39</v>
      </c>
      <c r="D176" s="52" t="s">
        <v>1488</v>
      </c>
      <c r="E176" s="125"/>
      <c r="F176" s="150">
        <f>SUM(F177:F178)</f>
        <v>78000000</v>
      </c>
      <c r="G176" s="150">
        <f t="shared" ref="G176:H176" si="236">SUM(G177:G178)</f>
        <v>49778833</v>
      </c>
      <c r="H176" s="150">
        <f t="shared" si="236"/>
        <v>25868833</v>
      </c>
      <c r="I176" s="5"/>
      <c r="J176" s="5"/>
      <c r="K176" s="5"/>
      <c r="L176" s="42"/>
    </row>
    <row r="177" spans="1:24" s="321" customFormat="1" ht="46.5" customHeight="1" x14ac:dyDescent="0.25">
      <c r="A177" s="340"/>
      <c r="B177" s="58"/>
      <c r="C177" s="58"/>
      <c r="D177" s="74" t="s">
        <v>1243</v>
      </c>
      <c r="E177" s="295" t="s">
        <v>1244</v>
      </c>
      <c r="F177" s="300">
        <f>SUM('SGTO POAI -SEPTIEMBRE-2021'!BD275:BD277)</f>
        <v>60000000</v>
      </c>
      <c r="G177" s="300">
        <f>SUM('SGTO POAI -SEPTIEMBRE-2021'!BE275:BE277)</f>
        <v>43178833</v>
      </c>
      <c r="H177" s="300">
        <f>SUM('SGTO POAI -SEPTIEMBRE-2021'!BF275:BF277)</f>
        <v>25868833</v>
      </c>
      <c r="L177" s="343"/>
    </row>
    <row r="178" spans="1:24" s="321" customFormat="1" ht="41.25" customHeight="1" x14ac:dyDescent="0.25">
      <c r="A178" s="340"/>
      <c r="B178" s="58"/>
      <c r="C178" s="58"/>
      <c r="D178" s="74">
        <v>3904</v>
      </c>
      <c r="E178" s="295" t="s">
        <v>759</v>
      </c>
      <c r="F178" s="300">
        <f>'SGTO POAI -SEPTIEMBRE-2021'!BD278</f>
        <v>18000000</v>
      </c>
      <c r="G178" s="300">
        <f>'SGTO POAI -SEPTIEMBRE-2021'!BE278</f>
        <v>6600000</v>
      </c>
      <c r="H178" s="300">
        <f>'SGTO POAI -SEPTIEMBRE-2021'!BF278</f>
        <v>0</v>
      </c>
      <c r="L178" s="343"/>
    </row>
    <row r="179" spans="1:24" s="6" customFormat="1" ht="24" customHeight="1" x14ac:dyDescent="0.25">
      <c r="A179" s="62"/>
      <c r="B179" s="63">
        <v>4</v>
      </c>
      <c r="C179" s="51" t="s">
        <v>37</v>
      </c>
      <c r="D179" s="51"/>
      <c r="E179" s="132"/>
      <c r="F179" s="151">
        <f>F180</f>
        <v>298000000</v>
      </c>
      <c r="G179" s="151">
        <f t="shared" ref="G179:H180" si="237">G180</f>
        <v>245580000</v>
      </c>
      <c r="H179" s="151">
        <f t="shared" si="237"/>
        <v>119550000</v>
      </c>
      <c r="I179" s="5"/>
      <c r="J179" s="5"/>
      <c r="K179" s="5"/>
      <c r="L179" s="42"/>
    </row>
    <row r="180" spans="1:24" s="6" customFormat="1" ht="24" customHeight="1" x14ac:dyDescent="0.25">
      <c r="A180" s="62"/>
      <c r="B180" s="73"/>
      <c r="C180" s="54">
        <v>23</v>
      </c>
      <c r="D180" s="52" t="s">
        <v>1202</v>
      </c>
      <c r="E180" s="52"/>
      <c r="F180" s="150">
        <f>F181</f>
        <v>298000000</v>
      </c>
      <c r="G180" s="150">
        <f t="shared" si="237"/>
        <v>245580000</v>
      </c>
      <c r="H180" s="150">
        <f t="shared" si="237"/>
        <v>119550000</v>
      </c>
      <c r="I180" s="5"/>
      <c r="J180" s="5"/>
      <c r="K180" s="5"/>
      <c r="L180" s="42"/>
    </row>
    <row r="181" spans="1:24" s="321" customFormat="1" ht="72" customHeight="1" x14ac:dyDescent="0.25">
      <c r="A181" s="340"/>
      <c r="B181" s="58"/>
      <c r="C181" s="58"/>
      <c r="D181" s="74">
        <v>2302</v>
      </c>
      <c r="E181" s="295" t="s">
        <v>1492</v>
      </c>
      <c r="F181" s="300">
        <f>SUM('SGTO POAI -SEPTIEMBRE-2021'!BD279:BD284)</f>
        <v>298000000</v>
      </c>
      <c r="G181" s="300">
        <f>SUM('SGTO POAI -SEPTIEMBRE-2021'!BE279:BE284)</f>
        <v>245580000</v>
      </c>
      <c r="H181" s="300">
        <f>SUM('SGTO POAI -SEPTIEMBRE-2021'!BF279:BF284)</f>
        <v>119550000</v>
      </c>
      <c r="L181" s="343"/>
    </row>
    <row r="182" spans="1:24" s="7" customFormat="1" ht="18.75" customHeight="1" x14ac:dyDescent="0.2">
      <c r="A182" s="45"/>
      <c r="B182" s="126"/>
      <c r="C182" s="126"/>
      <c r="D182" s="126"/>
      <c r="E182" s="146"/>
      <c r="F182" s="127"/>
      <c r="G182" s="38"/>
      <c r="H182" s="14"/>
      <c r="I182" s="14"/>
      <c r="J182" s="14"/>
      <c r="K182" s="14"/>
      <c r="L182" s="44"/>
    </row>
    <row r="183" spans="1:24" s="22" customFormat="1" ht="30" customHeight="1" x14ac:dyDescent="0.25">
      <c r="A183" s="138" t="s">
        <v>1276</v>
      </c>
      <c r="B183" s="139"/>
      <c r="C183" s="166"/>
      <c r="D183" s="167"/>
      <c r="E183" s="168"/>
      <c r="F183" s="141">
        <f>F170+U161+L139+AB128+F120+L98+L89+R81+L57+U30+L23+F15+F7</f>
        <v>300874324699.38007</v>
      </c>
      <c r="G183" s="141">
        <f>G170+V161+M139+AC128+G120+M98+M89+S81+M57+V30+M23+G15+G7</f>
        <v>199543937171.59998</v>
      </c>
      <c r="H183" s="141">
        <f>H170+W161+N139+AD128+H120+N98+N89+T81+N57+W30+N23+H15+H7</f>
        <v>178726340061.36996</v>
      </c>
      <c r="I183" s="21"/>
      <c r="J183" s="21"/>
      <c r="K183" s="21"/>
      <c r="L183" s="47"/>
    </row>
    <row r="184" spans="1:24" s="7" customFormat="1" ht="24" customHeight="1" x14ac:dyDescent="0.2">
      <c r="A184" s="45"/>
      <c r="B184" s="126"/>
      <c r="C184" s="126"/>
      <c r="D184" s="126"/>
      <c r="E184" s="146"/>
      <c r="F184" s="127"/>
      <c r="G184" s="38"/>
      <c r="H184" s="14"/>
      <c r="I184" s="14"/>
      <c r="J184" s="14"/>
      <c r="K184" s="14"/>
      <c r="L184" s="44"/>
    </row>
    <row r="185" spans="1:24" ht="24" customHeight="1" x14ac:dyDescent="0.2">
      <c r="A185" s="551" t="s">
        <v>4</v>
      </c>
      <c r="B185" s="551" t="s">
        <v>5</v>
      </c>
      <c r="C185" s="551" t="s">
        <v>6</v>
      </c>
      <c r="D185" s="551" t="s">
        <v>1359</v>
      </c>
      <c r="E185" s="552" t="s">
        <v>7</v>
      </c>
      <c r="F185" s="552" t="s">
        <v>1563</v>
      </c>
      <c r="G185" s="552"/>
      <c r="H185" s="552"/>
      <c r="I185" s="549" t="s">
        <v>1360</v>
      </c>
      <c r="J185" s="549"/>
      <c r="K185" s="550"/>
      <c r="L185" s="553" t="s">
        <v>1372</v>
      </c>
      <c r="M185" s="554"/>
      <c r="N185" s="555"/>
      <c r="O185" s="553" t="s">
        <v>1373</v>
      </c>
      <c r="P185" s="554"/>
      <c r="Q185" s="555"/>
      <c r="R185" s="553" t="s">
        <v>12</v>
      </c>
      <c r="S185" s="554"/>
      <c r="T185" s="555"/>
      <c r="U185" s="342"/>
      <c r="V185" s="2"/>
      <c r="W185" s="40"/>
    </row>
    <row r="186" spans="1:24" ht="24" customHeight="1" x14ac:dyDescent="0.2">
      <c r="A186" s="551"/>
      <c r="B186" s="551"/>
      <c r="C186" s="551"/>
      <c r="D186" s="551"/>
      <c r="E186" s="552"/>
      <c r="F186" s="344" t="s">
        <v>1649</v>
      </c>
      <c r="G186" s="345" t="s">
        <v>1495</v>
      </c>
      <c r="H186" s="345" t="s">
        <v>1496</v>
      </c>
      <c r="I186" s="159" t="s">
        <v>1649</v>
      </c>
      <c r="J186" s="160" t="s">
        <v>1495</v>
      </c>
      <c r="K186" s="160" t="s">
        <v>1496</v>
      </c>
      <c r="L186" s="160" t="s">
        <v>1649</v>
      </c>
      <c r="M186" s="160" t="s">
        <v>1495</v>
      </c>
      <c r="N186" s="160" t="s">
        <v>1496</v>
      </c>
      <c r="O186" s="160" t="s">
        <v>1649</v>
      </c>
      <c r="P186" s="160" t="s">
        <v>1495</v>
      </c>
      <c r="Q186" s="160" t="s">
        <v>1496</v>
      </c>
      <c r="R186" s="160" t="s">
        <v>1649</v>
      </c>
      <c r="S186" s="160" t="s">
        <v>1495</v>
      </c>
      <c r="T186" s="160" t="s">
        <v>1496</v>
      </c>
      <c r="U186" s="342"/>
      <c r="V186" s="2"/>
      <c r="W186" s="40"/>
    </row>
    <row r="187" spans="1:24" ht="24" customHeight="1" x14ac:dyDescent="0.2">
      <c r="A187" s="34" t="s">
        <v>1277</v>
      </c>
      <c r="B187" s="35"/>
      <c r="C187" s="35"/>
      <c r="D187" s="35"/>
      <c r="E187" s="57"/>
      <c r="F187" s="266">
        <f t="shared" ref="F187:F188" si="238">F188</f>
        <v>6651616460</v>
      </c>
      <c r="G187" s="377"/>
      <c r="H187" s="377"/>
      <c r="I187" s="266">
        <f t="shared" ref="I187:T188" si="239">I188</f>
        <v>1047130260.64</v>
      </c>
      <c r="J187" s="266">
        <f t="shared" si="239"/>
        <v>304547846.81999999</v>
      </c>
      <c r="K187" s="266">
        <f t="shared" si="239"/>
        <v>203553445</v>
      </c>
      <c r="L187" s="266">
        <f t="shared" si="239"/>
        <v>4406313085.3899994</v>
      </c>
      <c r="M187" s="266">
        <f t="shared" si="239"/>
        <v>3084085925.04</v>
      </c>
      <c r="N187" s="266">
        <f t="shared" si="239"/>
        <v>2344782930.8599997</v>
      </c>
      <c r="O187" s="266">
        <f t="shared" si="239"/>
        <v>1000000000</v>
      </c>
      <c r="P187" s="266">
        <f t="shared" si="239"/>
        <v>417652434</v>
      </c>
      <c r="Q187" s="266">
        <f t="shared" si="239"/>
        <v>191886769</v>
      </c>
      <c r="R187" s="266">
        <f t="shared" si="239"/>
        <v>13105059806.029999</v>
      </c>
      <c r="S187" s="266">
        <f t="shared" si="239"/>
        <v>3806286205.8599997</v>
      </c>
      <c r="T187" s="266">
        <f t="shared" si="239"/>
        <v>2740223144.8599997</v>
      </c>
      <c r="U187" s="342"/>
      <c r="V187" s="2"/>
      <c r="W187" s="40"/>
    </row>
    <row r="188" spans="1:24" ht="24" customHeight="1" x14ac:dyDescent="0.2">
      <c r="A188" s="65"/>
      <c r="B188" s="63">
        <v>1</v>
      </c>
      <c r="C188" s="51" t="s">
        <v>136</v>
      </c>
      <c r="D188" s="51"/>
      <c r="E188" s="132"/>
      <c r="F188" s="151">
        <f t="shared" si="238"/>
        <v>6651616460</v>
      </c>
      <c r="G188" s="378"/>
      <c r="H188" s="378"/>
      <c r="I188" s="151">
        <f t="shared" si="239"/>
        <v>1047130260.64</v>
      </c>
      <c r="J188" s="151">
        <f t="shared" si="239"/>
        <v>304547846.81999999</v>
      </c>
      <c r="K188" s="151">
        <f t="shared" si="239"/>
        <v>203553445</v>
      </c>
      <c r="L188" s="151">
        <f t="shared" si="239"/>
        <v>4406313085.3899994</v>
      </c>
      <c r="M188" s="151">
        <f t="shared" si="239"/>
        <v>3084085925.04</v>
      </c>
      <c r="N188" s="151">
        <f t="shared" si="239"/>
        <v>2344782930.8599997</v>
      </c>
      <c r="O188" s="151">
        <f t="shared" si="239"/>
        <v>1000000000</v>
      </c>
      <c r="P188" s="151">
        <f t="shared" si="239"/>
        <v>417652434</v>
      </c>
      <c r="Q188" s="151">
        <f t="shared" si="239"/>
        <v>191886769</v>
      </c>
      <c r="R188" s="151">
        <f t="shared" si="239"/>
        <v>13105059806.029999</v>
      </c>
      <c r="S188" s="151">
        <f t="shared" si="239"/>
        <v>3806286205.8599997</v>
      </c>
      <c r="T188" s="151">
        <f t="shared" si="239"/>
        <v>2740223144.8599997</v>
      </c>
      <c r="U188" s="342"/>
      <c r="V188" s="2"/>
      <c r="W188" s="2"/>
      <c r="X188" s="2"/>
    </row>
    <row r="189" spans="1:24" ht="24" customHeight="1" x14ac:dyDescent="0.2">
      <c r="A189" s="65"/>
      <c r="B189" s="73"/>
      <c r="C189" s="54">
        <v>43</v>
      </c>
      <c r="D189" s="52" t="s">
        <v>176</v>
      </c>
      <c r="E189" s="125"/>
      <c r="F189" s="150">
        <f>SUM(F190:F191)</f>
        <v>6651616460</v>
      </c>
      <c r="G189" s="150"/>
      <c r="H189" s="150"/>
      <c r="I189" s="150">
        <f>SUM(I190:I191)</f>
        <v>1047130260.64</v>
      </c>
      <c r="J189" s="150">
        <f t="shared" ref="J189:K189" si="240">SUM(J190:J191)</f>
        <v>304547846.81999999</v>
      </c>
      <c r="K189" s="150">
        <f t="shared" si="240"/>
        <v>203553445</v>
      </c>
      <c r="L189" s="150">
        <f>SUM(L190:L191)</f>
        <v>4406313085.3899994</v>
      </c>
      <c r="M189" s="150">
        <f t="shared" ref="M189:N189" si="241">SUM(M190:M191)</f>
        <v>3084085925.04</v>
      </c>
      <c r="N189" s="150">
        <f t="shared" si="241"/>
        <v>2344782930.8599997</v>
      </c>
      <c r="O189" s="150">
        <f>SUM(O190:O191)</f>
        <v>1000000000</v>
      </c>
      <c r="P189" s="150">
        <f t="shared" ref="P189:Q189" si="242">SUM(P190:P191)</f>
        <v>417652434</v>
      </c>
      <c r="Q189" s="150">
        <f t="shared" si="242"/>
        <v>191886769</v>
      </c>
      <c r="R189" s="150">
        <f>SUM(R190:R191)</f>
        <v>13105059806.029999</v>
      </c>
      <c r="S189" s="150">
        <f t="shared" ref="S189:T189" si="243">SUM(S190:S191)</f>
        <v>3806286205.8599997</v>
      </c>
      <c r="T189" s="150">
        <f t="shared" si="243"/>
        <v>2740223144.8599997</v>
      </c>
      <c r="U189" s="342"/>
      <c r="V189" s="2"/>
      <c r="W189" s="40"/>
    </row>
    <row r="190" spans="1:24" s="33" customFormat="1" ht="60" customHeight="1" x14ac:dyDescent="0.2">
      <c r="A190" s="72"/>
      <c r="B190" s="58"/>
      <c r="C190" s="58"/>
      <c r="D190" s="58">
        <v>4301</v>
      </c>
      <c r="E190" s="329" t="s">
        <v>177</v>
      </c>
      <c r="F190" s="66">
        <f>SUM('SGTO POAI -SEPTIEMBRE-2021'!Z285:Z288)</f>
        <v>2117742469</v>
      </c>
      <c r="G190" s="66">
        <f>SUM('SGTO POAI -SEPTIEMBRE-2021'!AA285:AA288)</f>
        <v>0</v>
      </c>
      <c r="H190" s="66">
        <f>SUM('SGTO POAI -SEPTIEMBRE-2021'!AB285:AB288)</f>
        <v>0</v>
      </c>
      <c r="I190" s="300">
        <f>SUM('SGTO POAI -SEPTIEMBRE-2021'!BD285:BD288)</f>
        <v>136127636</v>
      </c>
      <c r="J190" s="300">
        <f>SUM('SGTO POAI -SEPTIEMBRE-2021'!BE285:BE288)</f>
        <v>100563965.81999999</v>
      </c>
      <c r="K190" s="300">
        <f>SUM('SGTO POAI -SEPTIEMBRE-2021'!BF285:BF288)</f>
        <v>49144231</v>
      </c>
      <c r="L190" s="300">
        <f>SUM('SGTO POAI -SEPTIEMBRE-2021'!BG285:BG288)</f>
        <v>2073001578.98</v>
      </c>
      <c r="M190" s="300">
        <f>SUM('SGTO POAI -SEPTIEMBRE-2021'!BH285:BH288)</f>
        <v>1317694899.8600001</v>
      </c>
      <c r="N190" s="300">
        <f>SUM('SGTO POAI -SEPTIEMBRE-2021'!BI285:BI288)</f>
        <v>1199903905.8599999</v>
      </c>
      <c r="O190" s="300">
        <f>SUM('SGTO POAI -SEPTIEMBRE-2021'!BJ285:BJ288)</f>
        <v>1000000000</v>
      </c>
      <c r="P190" s="300">
        <f>SUM('SGTO POAI -SEPTIEMBRE-2021'!BK285:BK288)</f>
        <v>417652434</v>
      </c>
      <c r="Q190" s="300">
        <f>SUM('SGTO POAI -SEPTIEMBRE-2021'!BL285:BL288)</f>
        <v>191886769</v>
      </c>
      <c r="R190" s="300">
        <f>I190+L190+O190+F190</f>
        <v>5326871683.9799995</v>
      </c>
      <c r="S190" s="300">
        <f t="shared" ref="S190:T190" si="244">J190+M190+P190+G190</f>
        <v>1835911299.6800001</v>
      </c>
      <c r="T190" s="300">
        <f t="shared" si="244"/>
        <v>1440934905.8599999</v>
      </c>
      <c r="U190" s="342"/>
      <c r="W190" s="43"/>
    </row>
    <row r="191" spans="1:24" s="33" customFormat="1" ht="37.5" customHeight="1" x14ac:dyDescent="0.2">
      <c r="A191" s="72"/>
      <c r="B191" s="58"/>
      <c r="C191" s="58"/>
      <c r="D191" s="58">
        <v>4302</v>
      </c>
      <c r="E191" s="329" t="s">
        <v>1291</v>
      </c>
      <c r="F191" s="66">
        <f>SUM('SGTO POAI -SEPTIEMBRE-2021'!Z289:Z290)</f>
        <v>4533873991</v>
      </c>
      <c r="G191" s="66">
        <f>SUM('SGTO POAI -SEPTIEMBRE-2021'!AA289:AA290)</f>
        <v>0</v>
      </c>
      <c r="H191" s="66">
        <f>SUM('SGTO POAI -SEPTIEMBRE-2021'!AB289:AB290)</f>
        <v>0</v>
      </c>
      <c r="I191" s="300">
        <f>SUM('SGTO POAI -SEPTIEMBRE-2021'!BD289:BD290)</f>
        <v>911002624.63999999</v>
      </c>
      <c r="J191" s="300">
        <f>SUM('SGTO POAI -SEPTIEMBRE-2021'!BE289:BE290)</f>
        <v>203983881</v>
      </c>
      <c r="K191" s="300">
        <f>SUM('SGTO POAI -SEPTIEMBRE-2021'!BF289:BF290)</f>
        <v>154409214</v>
      </c>
      <c r="L191" s="300">
        <f>SUM('SGTO POAI -SEPTIEMBRE-2021'!BG289:BG290)</f>
        <v>2333311506.4099998</v>
      </c>
      <c r="M191" s="300">
        <f>SUM('SGTO POAI -SEPTIEMBRE-2021'!BH289:BH290)</f>
        <v>1766391025.1799998</v>
      </c>
      <c r="N191" s="300">
        <f>SUM('SGTO POAI -SEPTIEMBRE-2021'!BI289:BI290)</f>
        <v>1144879025</v>
      </c>
      <c r="O191" s="300">
        <f>SUM('SGTO POAI -SEPTIEMBRE-2021'!BJ289:BJ290)</f>
        <v>0</v>
      </c>
      <c r="P191" s="300">
        <f>SUM('SGTO POAI -SEPTIEMBRE-2021'!BK289:BK290)</f>
        <v>0</v>
      </c>
      <c r="Q191" s="300">
        <f>SUM('SGTO POAI -SEPTIEMBRE-2021'!BL289:BL290)</f>
        <v>0</v>
      </c>
      <c r="R191" s="300">
        <f>I191+L191+O191+F191</f>
        <v>7778188122.0499992</v>
      </c>
      <c r="S191" s="300">
        <f t="shared" ref="S191" si="245">J191+M191+P191+G191</f>
        <v>1970374906.1799998</v>
      </c>
      <c r="T191" s="300">
        <f t="shared" ref="T191" si="246">K191+N191+Q191+H191</f>
        <v>1299288239</v>
      </c>
      <c r="U191" s="342"/>
      <c r="W191" s="43"/>
    </row>
    <row r="192" spans="1:24" s="7" customFormat="1" ht="18.75" customHeight="1" x14ac:dyDescent="0.2">
      <c r="A192" s="45"/>
      <c r="B192" s="126"/>
      <c r="C192" s="126"/>
      <c r="D192" s="126"/>
      <c r="E192" s="146"/>
      <c r="F192" s="127"/>
      <c r="G192" s="38"/>
      <c r="H192" s="14"/>
      <c r="I192" s="14"/>
      <c r="J192" s="14"/>
      <c r="K192" s="14"/>
      <c r="L192" s="44"/>
    </row>
    <row r="193" spans="1:16" ht="24" customHeight="1" x14ac:dyDescent="0.2">
      <c r="A193" s="551" t="s">
        <v>4</v>
      </c>
      <c r="B193" s="551" t="s">
        <v>5</v>
      </c>
      <c r="C193" s="551" t="s">
        <v>6</v>
      </c>
      <c r="D193" s="551" t="s">
        <v>1359</v>
      </c>
      <c r="E193" s="552" t="s">
        <v>7</v>
      </c>
      <c r="F193" s="549" t="s">
        <v>1509</v>
      </c>
      <c r="G193" s="549"/>
      <c r="H193" s="550"/>
      <c r="I193" s="553" t="s">
        <v>1372</v>
      </c>
      <c r="J193" s="554"/>
      <c r="K193" s="555"/>
      <c r="L193" s="553" t="s">
        <v>12</v>
      </c>
      <c r="M193" s="554"/>
      <c r="N193" s="555"/>
      <c r="O193" s="2"/>
      <c r="P193" s="40"/>
    </row>
    <row r="194" spans="1:16" ht="24" customHeight="1" x14ac:dyDescent="0.2">
      <c r="A194" s="551"/>
      <c r="B194" s="551"/>
      <c r="C194" s="551"/>
      <c r="D194" s="551"/>
      <c r="E194" s="552"/>
      <c r="F194" s="159" t="s">
        <v>1649</v>
      </c>
      <c r="G194" s="160" t="s">
        <v>1495</v>
      </c>
      <c r="H194" s="160" t="s">
        <v>1496</v>
      </c>
      <c r="I194" s="160" t="s">
        <v>1649</v>
      </c>
      <c r="J194" s="160" t="s">
        <v>1495</v>
      </c>
      <c r="K194" s="160" t="s">
        <v>1496</v>
      </c>
      <c r="L194" s="160" t="s">
        <v>1649</v>
      </c>
      <c r="M194" s="160" t="s">
        <v>1495</v>
      </c>
      <c r="N194" s="160" t="s">
        <v>1496</v>
      </c>
      <c r="O194" s="2"/>
      <c r="P194" s="40"/>
    </row>
    <row r="195" spans="1:16" s="7" customFormat="1" ht="24" customHeight="1" x14ac:dyDescent="0.2">
      <c r="A195" s="34" t="s">
        <v>1303</v>
      </c>
      <c r="B195" s="35"/>
      <c r="C195" s="35"/>
      <c r="D195" s="35"/>
      <c r="E195" s="57"/>
      <c r="F195" s="266">
        <f>F196+F200</f>
        <v>1048381184.0599999</v>
      </c>
      <c r="G195" s="266">
        <f t="shared" ref="G195:H195" si="247">G196+G200</f>
        <v>280414216.00744987</v>
      </c>
      <c r="H195" s="266">
        <f t="shared" si="247"/>
        <v>28342499.899999999</v>
      </c>
      <c r="I195" s="266">
        <f>I196+I200</f>
        <v>1146743496.02</v>
      </c>
      <c r="J195" s="266">
        <f t="shared" ref="J195:K195" si="248">J196+J200</f>
        <v>660280267.34459996</v>
      </c>
      <c r="K195" s="266">
        <f t="shared" si="248"/>
        <v>455203315.84600002</v>
      </c>
      <c r="L195" s="266">
        <f>L196+L200</f>
        <v>2195124680.0799999</v>
      </c>
      <c r="M195" s="266">
        <f t="shared" ref="M195:N195" si="249">M196+M200</f>
        <v>940694483.35205007</v>
      </c>
      <c r="N195" s="266">
        <f t="shared" si="249"/>
        <v>483545815.74599999</v>
      </c>
      <c r="O195" s="14"/>
      <c r="P195" s="44"/>
    </row>
    <row r="196" spans="1:16" s="7" customFormat="1" ht="24" customHeight="1" x14ac:dyDescent="0.2">
      <c r="A196" s="134"/>
      <c r="B196" s="63">
        <v>1</v>
      </c>
      <c r="C196" s="51" t="s">
        <v>136</v>
      </c>
      <c r="D196" s="51"/>
      <c r="E196" s="132"/>
      <c r="F196" s="151">
        <f>F197</f>
        <v>637311286.8499999</v>
      </c>
      <c r="G196" s="151">
        <f t="shared" ref="G196:H196" si="250">G197</f>
        <v>125312138.8459999</v>
      </c>
      <c r="H196" s="151">
        <f t="shared" si="250"/>
        <v>21574999.899999999</v>
      </c>
      <c r="I196" s="151">
        <f>I197</f>
        <v>0</v>
      </c>
      <c r="J196" s="151">
        <f t="shared" ref="J196:K196" si="251">J197</f>
        <v>0</v>
      </c>
      <c r="K196" s="151">
        <f t="shared" si="251"/>
        <v>0</v>
      </c>
      <c r="L196" s="151">
        <f>L197</f>
        <v>637311286.8499999</v>
      </c>
      <c r="M196" s="151">
        <f t="shared" ref="M196:N196" si="252">M197</f>
        <v>125312138.8459999</v>
      </c>
      <c r="N196" s="151">
        <f t="shared" si="252"/>
        <v>21574999.899999999</v>
      </c>
      <c r="O196" s="14"/>
      <c r="P196" s="44"/>
    </row>
    <row r="197" spans="1:16" s="7" customFormat="1" ht="24" customHeight="1" x14ac:dyDescent="0.2">
      <c r="A197" s="134"/>
      <c r="B197" s="73"/>
      <c r="C197" s="54">
        <v>43</v>
      </c>
      <c r="D197" s="52" t="s">
        <v>176</v>
      </c>
      <c r="E197" s="125"/>
      <c r="F197" s="150">
        <f>SUM(F198:F199)</f>
        <v>637311286.8499999</v>
      </c>
      <c r="G197" s="150">
        <f t="shared" ref="G197:H197" si="253">SUM(G198:G199)</f>
        <v>125312138.8459999</v>
      </c>
      <c r="H197" s="150">
        <f t="shared" si="253"/>
        <v>21574999.899999999</v>
      </c>
      <c r="I197" s="150">
        <f>SUM(I198:I199)</f>
        <v>0</v>
      </c>
      <c r="J197" s="150">
        <f t="shared" ref="J197:K197" si="254">SUM(J198:J199)</f>
        <v>0</v>
      </c>
      <c r="K197" s="150">
        <f t="shared" si="254"/>
        <v>0</v>
      </c>
      <c r="L197" s="150">
        <f>SUM(L198:L199)</f>
        <v>637311286.8499999</v>
      </c>
      <c r="M197" s="150">
        <f t="shared" ref="M197:N197" si="255">SUM(M198:M199)</f>
        <v>125312138.8459999</v>
      </c>
      <c r="N197" s="150">
        <f t="shared" si="255"/>
        <v>21574999.899999999</v>
      </c>
      <c r="O197" s="14"/>
      <c r="P197" s="44"/>
    </row>
    <row r="198" spans="1:16" s="37" customFormat="1" ht="63.75" customHeight="1" x14ac:dyDescent="0.2">
      <c r="A198" s="135"/>
      <c r="B198" s="74"/>
      <c r="C198" s="74"/>
      <c r="D198" s="58">
        <v>4301</v>
      </c>
      <c r="E198" s="295" t="s">
        <v>177</v>
      </c>
      <c r="F198" s="300">
        <f>'SGTO POAI -SEPTIEMBRE-2021'!Z291</f>
        <v>308302422.89999998</v>
      </c>
      <c r="G198" s="300">
        <f>'SGTO POAI -SEPTIEMBRE-2021'!AA291</f>
        <v>83625087.285999894</v>
      </c>
      <c r="H198" s="300">
        <f>'SGTO POAI -SEPTIEMBRE-2021'!AB291</f>
        <v>6574999.8999999985</v>
      </c>
      <c r="I198" s="300">
        <f>'SGTO POAI -SEPTIEMBRE-2021'!BG291</f>
        <v>0</v>
      </c>
      <c r="J198" s="300">
        <f>'SGTO POAI -SEPTIEMBRE-2021'!BH291</f>
        <v>0</v>
      </c>
      <c r="K198" s="300">
        <f>'SGTO POAI -SEPTIEMBRE-2021'!BI291</f>
        <v>0</v>
      </c>
      <c r="L198" s="300">
        <f>I198+F198</f>
        <v>308302422.89999998</v>
      </c>
      <c r="M198" s="300">
        <f t="shared" ref="M198:N199" si="256">J198+G198</f>
        <v>83625087.285999894</v>
      </c>
      <c r="N198" s="300">
        <f t="shared" si="256"/>
        <v>6574999.8999999985</v>
      </c>
      <c r="P198" s="46"/>
    </row>
    <row r="199" spans="1:16" s="37" customFormat="1" ht="66.75" customHeight="1" x14ac:dyDescent="0.2">
      <c r="A199" s="135"/>
      <c r="B199" s="74"/>
      <c r="C199" s="74"/>
      <c r="D199" s="58">
        <v>2201</v>
      </c>
      <c r="E199" s="295" t="s">
        <v>277</v>
      </c>
      <c r="F199" s="300">
        <f>'SGTO POAI -SEPTIEMBRE-2021'!Z292</f>
        <v>329008863.94999999</v>
      </c>
      <c r="G199" s="300">
        <f>'SGTO POAI -SEPTIEMBRE-2021'!AA292</f>
        <v>41687051.560000002</v>
      </c>
      <c r="H199" s="300">
        <f>'SGTO POAI -SEPTIEMBRE-2021'!AB292</f>
        <v>15000000</v>
      </c>
      <c r="I199" s="300">
        <f>'SGTO POAI -SEPTIEMBRE-2021'!BG292</f>
        <v>0</v>
      </c>
      <c r="J199" s="300">
        <f>'SGTO POAI -SEPTIEMBRE-2021'!BH292</f>
        <v>0</v>
      </c>
      <c r="K199" s="300">
        <f>'SGTO POAI -SEPTIEMBRE-2021'!BI292</f>
        <v>0</v>
      </c>
      <c r="L199" s="300">
        <f>I199+F199</f>
        <v>329008863.94999999</v>
      </c>
      <c r="M199" s="300">
        <f t="shared" si="256"/>
        <v>41687051.560000002</v>
      </c>
      <c r="N199" s="300">
        <f t="shared" si="256"/>
        <v>15000000</v>
      </c>
      <c r="P199" s="46"/>
    </row>
    <row r="200" spans="1:16" s="7" customFormat="1" ht="24" customHeight="1" x14ac:dyDescent="0.2">
      <c r="A200" s="134"/>
      <c r="B200" s="63">
        <v>3</v>
      </c>
      <c r="C200" s="51" t="s">
        <v>186</v>
      </c>
      <c r="D200" s="51"/>
      <c r="E200" s="132"/>
      <c r="F200" s="151">
        <f>F201+F203</f>
        <v>411069897.20999998</v>
      </c>
      <c r="G200" s="151">
        <f t="shared" ref="G200:H200" si="257">G201+G203</f>
        <v>155102077.16145</v>
      </c>
      <c r="H200" s="151">
        <f t="shared" si="257"/>
        <v>6767500</v>
      </c>
      <c r="I200" s="151">
        <f>I201+I203</f>
        <v>1146743496.02</v>
      </c>
      <c r="J200" s="151">
        <f t="shared" ref="J200:K200" si="258">J201+J203</f>
        <v>660280267.34459996</v>
      </c>
      <c r="K200" s="151">
        <f t="shared" si="258"/>
        <v>455203315.84600002</v>
      </c>
      <c r="L200" s="151">
        <f>L201+L203</f>
        <v>1557813393.23</v>
      </c>
      <c r="M200" s="151">
        <f t="shared" ref="M200:N200" si="259">M201+M203</f>
        <v>815382344.50605011</v>
      </c>
      <c r="N200" s="151">
        <f t="shared" si="259"/>
        <v>461970815.84600002</v>
      </c>
      <c r="O200" s="14"/>
      <c r="P200" s="44"/>
    </row>
    <row r="201" spans="1:16" s="7" customFormat="1" ht="24" customHeight="1" x14ac:dyDescent="0.2">
      <c r="A201" s="134"/>
      <c r="B201" s="73"/>
      <c r="C201" s="130">
        <v>24</v>
      </c>
      <c r="D201" s="52" t="s">
        <v>187</v>
      </c>
      <c r="E201" s="129"/>
      <c r="F201" s="150">
        <f>F202</f>
        <v>0</v>
      </c>
      <c r="G201" s="150">
        <f t="shared" ref="G201:H201" si="260">G202</f>
        <v>0</v>
      </c>
      <c r="H201" s="150">
        <f t="shared" si="260"/>
        <v>0</v>
      </c>
      <c r="I201" s="150">
        <f>I202</f>
        <v>348896731.19999999</v>
      </c>
      <c r="J201" s="150">
        <f t="shared" ref="J201:K201" si="261">J202</f>
        <v>118726877.62840003</v>
      </c>
      <c r="K201" s="150">
        <f t="shared" si="261"/>
        <v>99450239.376000002</v>
      </c>
      <c r="L201" s="150">
        <f>L202</f>
        <v>348896731.19999999</v>
      </c>
      <c r="M201" s="150">
        <f t="shared" ref="M201:N201" si="262">M202</f>
        <v>118726877.62840003</v>
      </c>
      <c r="N201" s="150">
        <f t="shared" si="262"/>
        <v>99450239.376000002</v>
      </c>
      <c r="O201" s="14"/>
      <c r="P201" s="44"/>
    </row>
    <row r="202" spans="1:16" s="7" customFormat="1" ht="46.5" customHeight="1" x14ac:dyDescent="0.2">
      <c r="A202" s="134"/>
      <c r="B202" s="60"/>
      <c r="C202" s="60"/>
      <c r="D202" s="58">
        <v>2402</v>
      </c>
      <c r="E202" s="336" t="s">
        <v>188</v>
      </c>
      <c r="F202" s="334">
        <f>'SGTO POAI -SEPTIEMBRE-2021'!Z293</f>
        <v>0</v>
      </c>
      <c r="G202" s="334">
        <f>'SGTO POAI -SEPTIEMBRE-2021'!AA293</f>
        <v>0</v>
      </c>
      <c r="H202" s="334">
        <f>'SGTO POAI -SEPTIEMBRE-2021'!AB293</f>
        <v>0</v>
      </c>
      <c r="I202" s="334">
        <f>'SGTO POAI -SEPTIEMBRE-2021'!BG293</f>
        <v>348896731.19999999</v>
      </c>
      <c r="J202" s="334">
        <f>'SGTO POAI -SEPTIEMBRE-2021'!BH293</f>
        <v>118726877.62840003</v>
      </c>
      <c r="K202" s="334">
        <f>'SGTO POAI -SEPTIEMBRE-2021'!BI293</f>
        <v>99450239.376000002</v>
      </c>
      <c r="L202" s="300">
        <f>I202+F202</f>
        <v>348896731.19999999</v>
      </c>
      <c r="M202" s="300">
        <f t="shared" ref="M202:N202" si="263">J202+G202</f>
        <v>118726877.62840003</v>
      </c>
      <c r="N202" s="300">
        <f t="shared" si="263"/>
        <v>99450239.376000002</v>
      </c>
      <c r="O202" s="14"/>
      <c r="P202" s="44"/>
    </row>
    <row r="203" spans="1:16" s="7" customFormat="1" ht="24" customHeight="1" x14ac:dyDescent="0.2">
      <c r="A203" s="134"/>
      <c r="B203" s="68"/>
      <c r="C203" s="128">
        <v>40</v>
      </c>
      <c r="D203" s="52" t="s">
        <v>221</v>
      </c>
      <c r="E203" s="129"/>
      <c r="F203" s="150">
        <f>F204</f>
        <v>411069897.20999998</v>
      </c>
      <c r="G203" s="150">
        <f t="shared" ref="G203:H203" si="264">G204</f>
        <v>155102077.16145</v>
      </c>
      <c r="H203" s="150">
        <f t="shared" si="264"/>
        <v>6767500</v>
      </c>
      <c r="I203" s="150">
        <f>I204</f>
        <v>797846764.82000005</v>
      </c>
      <c r="J203" s="150">
        <f t="shared" ref="J203:K203" si="265">J204</f>
        <v>541553389.71619999</v>
      </c>
      <c r="K203" s="150">
        <f t="shared" si="265"/>
        <v>355753076.47000003</v>
      </c>
      <c r="L203" s="150">
        <f>L204</f>
        <v>1208916662.03</v>
      </c>
      <c r="M203" s="150">
        <f t="shared" ref="M203:N203" si="266">M204</f>
        <v>696655466.87765002</v>
      </c>
      <c r="N203" s="150">
        <f t="shared" si="266"/>
        <v>362520576.47000003</v>
      </c>
      <c r="O203" s="14"/>
      <c r="P203" s="44"/>
    </row>
    <row r="204" spans="1:16" s="7" customFormat="1" ht="44.25" customHeight="1" x14ac:dyDescent="0.2">
      <c r="A204" s="134"/>
      <c r="B204" s="60"/>
      <c r="C204" s="60"/>
      <c r="D204" s="58">
        <v>4001</v>
      </c>
      <c r="E204" s="336" t="s">
        <v>222</v>
      </c>
      <c r="F204" s="334">
        <f>SUM('SGTO POAI -SEPTIEMBRE-2021'!Z294:Z300)</f>
        <v>411069897.20999998</v>
      </c>
      <c r="G204" s="334">
        <f>SUM('SGTO POAI -SEPTIEMBRE-2021'!AA294:AA300)</f>
        <v>155102077.16145</v>
      </c>
      <c r="H204" s="334">
        <f>SUM('SGTO POAI -SEPTIEMBRE-2021'!AB294:AB300)</f>
        <v>6767500</v>
      </c>
      <c r="I204" s="334">
        <f>SUM('SGTO POAI -SEPTIEMBRE-2021'!BG294:BG300)</f>
        <v>797846764.82000005</v>
      </c>
      <c r="J204" s="334">
        <f>SUM('SGTO POAI -SEPTIEMBRE-2021'!BH294:BH300)</f>
        <v>541553389.71619999</v>
      </c>
      <c r="K204" s="334">
        <f>SUM('SGTO POAI -SEPTIEMBRE-2021'!BI294:BI300)</f>
        <v>355753076.47000003</v>
      </c>
      <c r="L204" s="300">
        <f>I204+F204</f>
        <v>1208916662.03</v>
      </c>
      <c r="M204" s="300">
        <f t="shared" ref="M204:N204" si="267">J204+G204</f>
        <v>696655466.87765002</v>
      </c>
      <c r="N204" s="300">
        <f t="shared" si="267"/>
        <v>362520576.47000003</v>
      </c>
      <c r="O204" s="14"/>
      <c r="P204" s="44"/>
    </row>
    <row r="205" spans="1:16" s="7" customFormat="1" ht="18.75" customHeight="1" x14ac:dyDescent="0.2">
      <c r="A205" s="45"/>
      <c r="B205" s="126"/>
      <c r="C205" s="126"/>
      <c r="D205" s="126"/>
      <c r="E205" s="146"/>
      <c r="F205" s="127"/>
      <c r="G205" s="38"/>
      <c r="H205" s="14"/>
      <c r="I205" s="14"/>
      <c r="J205" s="14"/>
      <c r="K205" s="14"/>
      <c r="L205" s="44"/>
    </row>
    <row r="206" spans="1:16" ht="24" customHeight="1" x14ac:dyDescent="0.2">
      <c r="A206" s="551" t="s">
        <v>4</v>
      </c>
      <c r="B206" s="551" t="s">
        <v>5</v>
      </c>
      <c r="C206" s="551" t="s">
        <v>6</v>
      </c>
      <c r="D206" s="551" t="s">
        <v>1359</v>
      </c>
      <c r="E206" s="552" t="s">
        <v>7</v>
      </c>
      <c r="F206" s="556" t="s">
        <v>1374</v>
      </c>
      <c r="G206" s="554"/>
      <c r="H206" s="555"/>
    </row>
    <row r="207" spans="1:16" ht="24" customHeight="1" x14ac:dyDescent="0.2">
      <c r="A207" s="551"/>
      <c r="B207" s="551"/>
      <c r="C207" s="551"/>
      <c r="D207" s="551"/>
      <c r="E207" s="552"/>
      <c r="F207" s="159" t="s">
        <v>1649</v>
      </c>
      <c r="G207" s="160" t="s">
        <v>1495</v>
      </c>
      <c r="H207" s="160" t="s">
        <v>1496</v>
      </c>
    </row>
    <row r="208" spans="1:16" ht="24" customHeight="1" x14ac:dyDescent="0.2">
      <c r="A208" s="34" t="s">
        <v>1337</v>
      </c>
      <c r="B208" s="35"/>
      <c r="C208" s="35"/>
      <c r="D208" s="35"/>
      <c r="E208" s="57"/>
      <c r="F208" s="266">
        <f>F209</f>
        <v>110210000</v>
      </c>
      <c r="G208" s="266">
        <f t="shared" ref="G208:H210" si="268">G209</f>
        <v>87445000</v>
      </c>
      <c r="H208" s="266">
        <f t="shared" si="268"/>
        <v>68700000</v>
      </c>
    </row>
    <row r="209" spans="1:12" ht="24" customHeight="1" x14ac:dyDescent="0.2">
      <c r="A209" s="65"/>
      <c r="B209" s="63">
        <v>3</v>
      </c>
      <c r="C209" s="51" t="s">
        <v>186</v>
      </c>
      <c r="D209" s="51"/>
      <c r="E209" s="132"/>
      <c r="F209" s="151">
        <f>F210</f>
        <v>110210000</v>
      </c>
      <c r="G209" s="151">
        <f t="shared" si="268"/>
        <v>87445000</v>
      </c>
      <c r="H209" s="151">
        <f t="shared" si="268"/>
        <v>68700000</v>
      </c>
    </row>
    <row r="210" spans="1:12" ht="24" customHeight="1" x14ac:dyDescent="0.2">
      <c r="A210" s="65"/>
      <c r="B210" s="73"/>
      <c r="C210" s="54">
        <v>24</v>
      </c>
      <c r="D210" s="143" t="s">
        <v>187</v>
      </c>
      <c r="E210" s="129"/>
      <c r="F210" s="365">
        <f>F211</f>
        <v>110210000</v>
      </c>
      <c r="G210" s="365">
        <f t="shared" si="268"/>
        <v>87445000</v>
      </c>
      <c r="H210" s="365">
        <f t="shared" si="268"/>
        <v>68700000</v>
      </c>
    </row>
    <row r="211" spans="1:12" s="33" customFormat="1" ht="47.25" customHeight="1" x14ac:dyDescent="0.2">
      <c r="A211" s="72"/>
      <c r="B211" s="58"/>
      <c r="C211" s="58"/>
      <c r="D211" s="58">
        <v>2409</v>
      </c>
      <c r="E211" s="329" t="s">
        <v>1338</v>
      </c>
      <c r="F211" s="300">
        <f>SUM('SGTO POAI -SEPTIEMBRE-2021'!BG301:BG304)</f>
        <v>110210000</v>
      </c>
      <c r="G211" s="300">
        <f>SUM('SGTO POAI -SEPTIEMBRE-2021'!BH301:BH304)</f>
        <v>87445000</v>
      </c>
      <c r="H211" s="300">
        <f>SUM('SGTO POAI -SEPTIEMBRE-2021'!BI301:BI304)</f>
        <v>68700000</v>
      </c>
      <c r="L211" s="43"/>
    </row>
    <row r="212" spans="1:12" s="39" customFormat="1" ht="23.25" customHeight="1" x14ac:dyDescent="0.2">
      <c r="A212" s="1"/>
      <c r="B212" s="9"/>
      <c r="C212" s="9"/>
      <c r="D212" s="9"/>
      <c r="E212" s="10"/>
      <c r="F212" s="271"/>
      <c r="G212" s="379"/>
      <c r="H212" s="380"/>
      <c r="I212" s="14"/>
      <c r="J212" s="14"/>
      <c r="K212" s="14"/>
      <c r="L212" s="44"/>
    </row>
    <row r="213" spans="1:12" s="28" customFormat="1" ht="30" customHeight="1" x14ac:dyDescent="0.25">
      <c r="A213" s="148" t="s">
        <v>1355</v>
      </c>
      <c r="B213" s="149"/>
      <c r="C213" s="149"/>
      <c r="D213" s="149"/>
      <c r="E213" s="149"/>
      <c r="F213" s="381">
        <f>R187+L195+F208</f>
        <v>15410394486.109999</v>
      </c>
      <c r="G213" s="382">
        <f>S187+M195+G208</f>
        <v>4834425689.2120495</v>
      </c>
      <c r="H213" s="382">
        <f>T187+N195+H208</f>
        <v>3292468960.6059995</v>
      </c>
      <c r="L213" s="48"/>
    </row>
    <row r="214" spans="1:12" s="28" customFormat="1" ht="16.5" thickBot="1" x14ac:dyDescent="0.3">
      <c r="A214" s="25"/>
      <c r="B214" s="26"/>
      <c r="C214" s="26"/>
      <c r="D214" s="26"/>
      <c r="E214" s="27"/>
      <c r="F214" s="273"/>
      <c r="G214" s="273"/>
      <c r="H214" s="273"/>
      <c r="L214" s="48"/>
    </row>
    <row r="215" spans="1:12" s="33" customFormat="1" ht="30" customHeight="1" thickBot="1" x14ac:dyDescent="0.25">
      <c r="A215" s="77" t="s">
        <v>1356</v>
      </c>
      <c r="B215" s="78"/>
      <c r="C215" s="78"/>
      <c r="D215" s="79"/>
      <c r="E215" s="80"/>
      <c r="F215" s="383">
        <f>F213+F183</f>
        <v>316284719185.49005</v>
      </c>
      <c r="G215" s="383">
        <f t="shared" ref="G215:H215" si="269">G213+G183</f>
        <v>204378362860.81201</v>
      </c>
      <c r="H215" s="383">
        <f t="shared" si="269"/>
        <v>182018809021.97595</v>
      </c>
      <c r="L215" s="43"/>
    </row>
  </sheetData>
  <sheetProtection algorithmName="SHA-512" hashValue="VTBcjHiv+SKiJqajMVN6YFBxUIxJbJT18Nb7VcwoduyXNd7/NHBzH17aNMX5uWPLErchojQxr8lkvPgqNcz+iQ==" saltValue="9afyamEUF/293bBF+3CqPQ==" spinCount="100000" sheet="1" objects="1" scenarios="1"/>
  <mergeCells count="129">
    <mergeCell ref="A206:A207"/>
    <mergeCell ref="B206:B207"/>
    <mergeCell ref="C206:C207"/>
    <mergeCell ref="D206:D207"/>
    <mergeCell ref="A193:A194"/>
    <mergeCell ref="B193:B194"/>
    <mergeCell ref="C193:C194"/>
    <mergeCell ref="D193:D194"/>
    <mergeCell ref="I185:K185"/>
    <mergeCell ref="A185:A186"/>
    <mergeCell ref="B185:B186"/>
    <mergeCell ref="C185:C186"/>
    <mergeCell ref="D185:D186"/>
    <mergeCell ref="F185:H185"/>
    <mergeCell ref="R185:T185"/>
    <mergeCell ref="O185:Q185"/>
    <mergeCell ref="L185:N185"/>
    <mergeCell ref="E206:E207"/>
    <mergeCell ref="E193:E194"/>
    <mergeCell ref="F193:H193"/>
    <mergeCell ref="I193:K193"/>
    <mergeCell ref="L193:N193"/>
    <mergeCell ref="F206:H206"/>
    <mergeCell ref="E185:E186"/>
    <mergeCell ref="O159:Q159"/>
    <mergeCell ref="R159:T159"/>
    <mergeCell ref="U159:W159"/>
    <mergeCell ref="F168:H168"/>
    <mergeCell ref="F137:H137"/>
    <mergeCell ref="I137:K137"/>
    <mergeCell ref="L137:N137"/>
    <mergeCell ref="A159:A160"/>
    <mergeCell ref="B159:B160"/>
    <mergeCell ref="C159:C160"/>
    <mergeCell ref="D159:D160"/>
    <mergeCell ref="E159:E160"/>
    <mergeCell ref="F159:H159"/>
    <mergeCell ref="I159:K159"/>
    <mergeCell ref="L159:N159"/>
    <mergeCell ref="I126:K126"/>
    <mergeCell ref="L126:N126"/>
    <mergeCell ref="O126:Q126"/>
    <mergeCell ref="S126:U126"/>
    <mergeCell ref="AB126:AD126"/>
    <mergeCell ref="V126:X126"/>
    <mergeCell ref="F118:H118"/>
    <mergeCell ref="A126:A127"/>
    <mergeCell ref="B126:B127"/>
    <mergeCell ref="C126:C127"/>
    <mergeCell ref="D126:D127"/>
    <mergeCell ref="E126:E127"/>
    <mergeCell ref="F126:H126"/>
    <mergeCell ref="A118:A119"/>
    <mergeCell ref="B118:B119"/>
    <mergeCell ref="C118:C119"/>
    <mergeCell ref="D118:D119"/>
    <mergeCell ref="E118:E119"/>
    <mergeCell ref="A5:A6"/>
    <mergeCell ref="A1:N3"/>
    <mergeCell ref="E96:E97"/>
    <mergeCell ref="D96:D97"/>
    <mergeCell ref="C96:C97"/>
    <mergeCell ref="B96:B97"/>
    <mergeCell ref="A96:A97"/>
    <mergeCell ref="F96:H96"/>
    <mergeCell ref="E87:E88"/>
    <mergeCell ref="F87:H87"/>
    <mergeCell ref="I87:K87"/>
    <mergeCell ref="L87:N87"/>
    <mergeCell ref="A21:A22"/>
    <mergeCell ref="B21:B22"/>
    <mergeCell ref="C21:C22"/>
    <mergeCell ref="D21:D22"/>
    <mergeCell ref="E21:E22"/>
    <mergeCell ref="A79:A80"/>
    <mergeCell ref="A87:A88"/>
    <mergeCell ref="B87:B88"/>
    <mergeCell ref="C87:C88"/>
    <mergeCell ref="D87:D88"/>
    <mergeCell ref="A28:A29"/>
    <mergeCell ref="A13:A14"/>
    <mergeCell ref="U28:W28"/>
    <mergeCell ref="E28:E29"/>
    <mergeCell ref="D28:D29"/>
    <mergeCell ref="C28:C29"/>
    <mergeCell ref="B28:B29"/>
    <mergeCell ref="O28:Q28"/>
    <mergeCell ref="F28:H28"/>
    <mergeCell ref="I28:K28"/>
    <mergeCell ref="B13:B14"/>
    <mergeCell ref="I79:K79"/>
    <mergeCell ref="B5:B6"/>
    <mergeCell ref="C5:C6"/>
    <mergeCell ref="D5:D6"/>
    <mergeCell ref="E5:E6"/>
    <mergeCell ref="F5:H5"/>
    <mergeCell ref="L21:N21"/>
    <mergeCell ref="I21:K21"/>
    <mergeCell ref="F21:H21"/>
    <mergeCell ref="L28:N28"/>
    <mergeCell ref="C13:C14"/>
    <mergeCell ref="D13:D14"/>
    <mergeCell ref="E13:E14"/>
    <mergeCell ref="F13:H13"/>
    <mergeCell ref="F79:H79"/>
    <mergeCell ref="O79:Q79"/>
    <mergeCell ref="I96:K96"/>
    <mergeCell ref="L96:N96"/>
    <mergeCell ref="R28:T28"/>
    <mergeCell ref="Y126:AA126"/>
    <mergeCell ref="A168:A169"/>
    <mergeCell ref="B168:B169"/>
    <mergeCell ref="C168:C169"/>
    <mergeCell ref="D168:D169"/>
    <mergeCell ref="E168:E169"/>
    <mergeCell ref="A55:A56"/>
    <mergeCell ref="B55:B56"/>
    <mergeCell ref="C55:C56"/>
    <mergeCell ref="D55:D56"/>
    <mergeCell ref="R79:T79"/>
    <mergeCell ref="E79:E80"/>
    <mergeCell ref="D79:D80"/>
    <mergeCell ref="C79:C80"/>
    <mergeCell ref="B79:B80"/>
    <mergeCell ref="E55:E56"/>
    <mergeCell ref="F55:H55"/>
    <mergeCell ref="I55:K55"/>
    <mergeCell ref="L55:N55"/>
    <mergeCell ref="L79:N7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H73"/>
  <sheetViews>
    <sheetView showGridLines="0" zoomScale="70" zoomScaleNormal="70" workbookViewId="0">
      <selection activeCell="C4" sqref="C4:BQ4"/>
    </sheetView>
  </sheetViews>
  <sheetFormatPr baseColWidth="10" defaultColWidth="11.42578125" defaultRowHeight="15" x14ac:dyDescent="0.25"/>
  <cols>
    <col min="3" max="3" width="64.42578125" customWidth="1"/>
    <col min="4" max="4" width="30.85546875" customWidth="1"/>
    <col min="5" max="5" width="27.28515625" customWidth="1"/>
    <col min="6" max="6" width="23" customWidth="1"/>
    <col min="7" max="7" width="27.28515625" customWidth="1"/>
    <col min="8" max="8" width="24.5703125" customWidth="1"/>
  </cols>
  <sheetData>
    <row r="1" spans="2:8" ht="69.75" customHeight="1" x14ac:dyDescent="0.25">
      <c r="B1" s="572" t="s">
        <v>1680</v>
      </c>
      <c r="C1" s="573"/>
      <c r="D1" s="573"/>
      <c r="E1" s="573"/>
      <c r="F1" s="573"/>
      <c r="G1" s="573"/>
      <c r="H1" s="573"/>
    </row>
    <row r="2" spans="2:8" ht="15.75" x14ac:dyDescent="0.25">
      <c r="B2" s="93" t="s">
        <v>1359</v>
      </c>
      <c r="C2" s="92" t="s">
        <v>6</v>
      </c>
      <c r="D2" s="368" t="s">
        <v>1649</v>
      </c>
      <c r="E2" s="368" t="s">
        <v>1495</v>
      </c>
      <c r="F2" s="93" t="s">
        <v>1511</v>
      </c>
      <c r="G2" s="93" t="s">
        <v>1496</v>
      </c>
      <c r="H2" s="93" t="s">
        <v>1513</v>
      </c>
    </row>
    <row r="3" spans="2:8" ht="15.75" x14ac:dyDescent="0.25">
      <c r="B3" s="63">
        <v>1</v>
      </c>
      <c r="C3" s="51" t="s">
        <v>136</v>
      </c>
      <c r="D3" s="151">
        <f>SUM(D4:D21)</f>
        <v>275100369403.52002</v>
      </c>
      <c r="E3" s="151">
        <f t="shared" ref="E3:G3" si="0">SUM(E4:E21)</f>
        <v>186630499223.46997</v>
      </c>
      <c r="F3" s="252">
        <f>E3/D3</f>
        <v>0.67840875542307422</v>
      </c>
      <c r="G3" s="151">
        <f t="shared" si="0"/>
        <v>171303709021.75998</v>
      </c>
      <c r="H3" s="197">
        <f>G3/F3</f>
        <v>252508104667.56183</v>
      </c>
    </row>
    <row r="4" spans="2:8" ht="21" customHeight="1" x14ac:dyDescent="0.25">
      <c r="B4" s="58">
        <v>1202</v>
      </c>
      <c r="C4" s="361" t="s">
        <v>138</v>
      </c>
      <c r="D4" s="195">
        <f>'RESUMEN POR UNIDAD'!E27+'RESUMEN POR UNIDAD'!E52</f>
        <v>173750000</v>
      </c>
      <c r="E4" s="195">
        <f>'RESUMEN POR UNIDAD'!F27+'RESUMEN POR UNIDAD'!F52</f>
        <v>121917000</v>
      </c>
      <c r="F4" s="251">
        <f>E4/D4</f>
        <v>0.70168057553956831</v>
      </c>
      <c r="G4" s="195">
        <f>'RESUMEN POR UNIDAD'!G27+'RESUMEN POR UNIDAD'!G52</f>
        <v>108377000</v>
      </c>
      <c r="H4" s="385">
        <f>G4/E4</f>
        <v>0.88894083679880576</v>
      </c>
    </row>
    <row r="5" spans="2:8" ht="36.75" customHeight="1" x14ac:dyDescent="0.25">
      <c r="B5" s="58">
        <v>1203</v>
      </c>
      <c r="C5" s="361" t="s">
        <v>265</v>
      </c>
      <c r="D5" s="195">
        <f>'RESUMEN POR UNIDAD'!E53</f>
        <v>69028401</v>
      </c>
      <c r="E5" s="195">
        <f>'RESUMEN POR UNIDAD'!F53</f>
        <v>46455000</v>
      </c>
      <c r="F5" s="251">
        <f t="shared" ref="F5:F49" si="1">E5/D5</f>
        <v>0.67298386355494455</v>
      </c>
      <c r="G5" s="195">
        <f>'RESUMEN POR UNIDAD'!G53</f>
        <v>40415000</v>
      </c>
      <c r="H5" s="385">
        <f>G5/E5</f>
        <v>0.8699817027230653</v>
      </c>
    </row>
    <row r="6" spans="2:8" ht="40.5" customHeight="1" x14ac:dyDescent="0.25">
      <c r="B6" s="58">
        <v>1206</v>
      </c>
      <c r="C6" s="336" t="s">
        <v>271</v>
      </c>
      <c r="D6" s="195">
        <f>'RESUMEN POR UNIDAD'!E54</f>
        <v>36000000</v>
      </c>
      <c r="E6" s="195">
        <f>'RESUMEN POR UNIDAD'!F54</f>
        <v>10000000</v>
      </c>
      <c r="F6" s="251">
        <f t="shared" si="1"/>
        <v>0.27777777777777779</v>
      </c>
      <c r="G6" s="195">
        <f>'RESUMEN POR UNIDAD'!G54</f>
        <v>10000000</v>
      </c>
      <c r="H6" s="385">
        <f t="shared" ref="H6:H21" si="2">G6/E6</f>
        <v>1</v>
      </c>
    </row>
    <row r="7" spans="2:8" ht="27.75" customHeight="1" x14ac:dyDescent="0.25">
      <c r="B7" s="58">
        <v>1903</v>
      </c>
      <c r="C7" s="361" t="s">
        <v>987</v>
      </c>
      <c r="D7" s="195">
        <f>'RESUMEN POR UNIDAD'!E142</f>
        <v>3182666735.21</v>
      </c>
      <c r="E7" s="195">
        <f>'RESUMEN POR UNIDAD'!F142</f>
        <v>1823663737.3299999</v>
      </c>
      <c r="F7" s="251">
        <f t="shared" si="1"/>
        <v>0.57299864832051606</v>
      </c>
      <c r="G7" s="195">
        <f>'RESUMEN POR UNIDAD'!G142</f>
        <v>1430107256.3299999</v>
      </c>
      <c r="H7" s="385">
        <f t="shared" si="2"/>
        <v>0.7841946007128483</v>
      </c>
    </row>
    <row r="8" spans="2:8" ht="25.5" customHeight="1" x14ac:dyDescent="0.25">
      <c r="B8" s="58">
        <v>1905</v>
      </c>
      <c r="C8" s="361" t="s">
        <v>768</v>
      </c>
      <c r="D8" s="195">
        <f>'RESUMEN POR UNIDAD'!E122+'RESUMEN POR UNIDAD'!E143</f>
        <v>6614120405.7600002</v>
      </c>
      <c r="E8" s="195">
        <f>'RESUMEN POR UNIDAD'!F122+'RESUMEN POR UNIDAD'!F143</f>
        <v>3995678966</v>
      </c>
      <c r="F8" s="251">
        <f t="shared" si="1"/>
        <v>0.6041134301879818</v>
      </c>
      <c r="G8" s="195">
        <f>'RESUMEN POR UNIDAD'!G122+'RESUMEN POR UNIDAD'!G143</f>
        <v>2498657883</v>
      </c>
      <c r="H8" s="385">
        <f t="shared" si="2"/>
        <v>0.6253399995999579</v>
      </c>
    </row>
    <row r="9" spans="2:8" ht="38.25" customHeight="1" x14ac:dyDescent="0.25">
      <c r="B9" s="58">
        <v>1906</v>
      </c>
      <c r="C9" s="336" t="s">
        <v>148</v>
      </c>
      <c r="D9" s="195">
        <f>'RESUMEN POR UNIDAD'!E29+'RESUMEN POR UNIDAD'!E144</f>
        <v>49000558519.830002</v>
      </c>
      <c r="E9" s="195">
        <f>'RESUMEN POR UNIDAD'!F29+'RESUMEN POR UNIDAD'!F144</f>
        <v>41964208981.919998</v>
      </c>
      <c r="F9" s="251">
        <f t="shared" si="1"/>
        <v>0.85640266661322917</v>
      </c>
      <c r="G9" s="195">
        <f>'RESUMEN POR UNIDAD'!G29+'RESUMEN POR UNIDAD'!G144</f>
        <v>34843999378.899994</v>
      </c>
      <c r="H9" s="385">
        <f t="shared" si="2"/>
        <v>0.83032660984774664</v>
      </c>
    </row>
    <row r="10" spans="2:8" ht="39" customHeight="1" x14ac:dyDescent="0.25">
      <c r="B10" s="58">
        <v>2201</v>
      </c>
      <c r="C10" s="361" t="s">
        <v>157</v>
      </c>
      <c r="D10" s="195">
        <f>'RESUMEN POR UNIDAD'!E31+'RESUMEN POR UNIDAD'!E56+'RESUMEN POR UNIDAD'!E113</f>
        <v>197284451798.70004</v>
      </c>
      <c r="E10" s="195">
        <f>'RESUMEN POR UNIDAD'!F31+'RESUMEN POR UNIDAD'!F56+'RESUMEN POR UNIDAD'!F113</f>
        <v>130413913092.87</v>
      </c>
      <c r="F10" s="251">
        <f t="shared" si="1"/>
        <v>0.66104506413885233</v>
      </c>
      <c r="G10" s="195">
        <f>'RESUMEN POR UNIDAD'!G31+'RESUMEN POR UNIDAD'!G56+'RESUMEN POR UNIDAD'!G113</f>
        <v>127041383376.37</v>
      </c>
      <c r="H10" s="385">
        <f t="shared" si="2"/>
        <v>0.97413980121815402</v>
      </c>
    </row>
    <row r="11" spans="2:8" ht="37.5" customHeight="1" x14ac:dyDescent="0.25">
      <c r="B11" s="58">
        <v>2202</v>
      </c>
      <c r="C11" s="336" t="s">
        <v>1487</v>
      </c>
      <c r="D11" s="195">
        <f>'RESUMEN POR UNIDAD'!E114</f>
        <v>404217269</v>
      </c>
      <c r="E11" s="195">
        <f>'RESUMEN POR UNIDAD'!F114</f>
        <v>103510812</v>
      </c>
      <c r="F11" s="251">
        <f t="shared" si="1"/>
        <v>0.25607716428364669</v>
      </c>
      <c r="G11" s="195">
        <f>'RESUMEN POR UNIDAD'!G114</f>
        <v>53212188</v>
      </c>
      <c r="H11" s="385">
        <v>0</v>
      </c>
    </row>
    <row r="12" spans="2:8" ht="49.5" customHeight="1" x14ac:dyDescent="0.25">
      <c r="B12" s="58">
        <v>2301</v>
      </c>
      <c r="C12" s="361" t="s">
        <v>1203</v>
      </c>
      <c r="D12" s="195">
        <f>'RESUMEN POR UNIDAD'!E149</f>
        <v>674000000</v>
      </c>
      <c r="E12" s="195">
        <f>'RESUMEN POR UNIDAD'!F149</f>
        <v>276633333</v>
      </c>
      <c r="F12" s="251">
        <f t="shared" si="1"/>
        <v>0.41043521216617213</v>
      </c>
      <c r="G12" s="195">
        <f>'RESUMEN POR UNIDAD'!G149</f>
        <v>136465000</v>
      </c>
      <c r="H12" s="385">
        <f t="shared" si="2"/>
        <v>0.49330642305495415</v>
      </c>
    </row>
    <row r="13" spans="2:8" ht="63" customHeight="1" x14ac:dyDescent="0.25">
      <c r="B13" s="58">
        <v>2302</v>
      </c>
      <c r="C13" s="336" t="s">
        <v>1492</v>
      </c>
      <c r="D13" s="195">
        <f>'RESUMEN POR UNIDAD'!E150</f>
        <v>146000000</v>
      </c>
      <c r="E13" s="195">
        <f>'RESUMEN POR UNIDAD'!F150</f>
        <v>93195334</v>
      </c>
      <c r="F13" s="251">
        <f t="shared" si="1"/>
        <v>0.63832420547945201</v>
      </c>
      <c r="G13" s="195">
        <f>'RESUMEN POR UNIDAD'!G150</f>
        <v>84640334</v>
      </c>
      <c r="H13" s="385">
        <f t="shared" si="2"/>
        <v>0.90820355877473435</v>
      </c>
    </row>
    <row r="14" spans="2:8" ht="39" customHeight="1" x14ac:dyDescent="0.25">
      <c r="B14" s="58">
        <v>3301</v>
      </c>
      <c r="C14" s="336" t="s">
        <v>167</v>
      </c>
      <c r="D14" s="195">
        <f>'RESUMEN POR UNIDAD'!E33+'RESUMEN POR UNIDAD'!E74+'RESUMEN POR UNIDAD'!E124</f>
        <v>3838659083.0199995</v>
      </c>
      <c r="E14" s="195">
        <f>'RESUMEN POR UNIDAD'!F33+'RESUMEN POR UNIDAD'!F74+'RESUMEN POR UNIDAD'!F124</f>
        <v>2921600794.5299997</v>
      </c>
      <c r="F14" s="251">
        <f t="shared" si="1"/>
        <v>0.76109931393841834</v>
      </c>
      <c r="G14" s="195">
        <f>'RESUMEN POR UNIDAD'!G33+'RESUMEN POR UNIDAD'!G74+'RESUMEN POR UNIDAD'!G124</f>
        <v>1685204477.0900002</v>
      </c>
      <c r="H14" s="385">
        <f t="shared" si="2"/>
        <v>0.57680860446271209</v>
      </c>
    </row>
    <row r="15" spans="2:8" ht="37.5" customHeight="1" x14ac:dyDescent="0.25">
      <c r="B15" s="58">
        <v>3302</v>
      </c>
      <c r="C15" s="336" t="s">
        <v>389</v>
      </c>
      <c r="D15" s="195">
        <f>'RESUMEN POR UNIDAD'!E75</f>
        <v>274198236.30000001</v>
      </c>
      <c r="E15" s="195">
        <f>'RESUMEN POR UNIDAD'!F75</f>
        <v>85565000</v>
      </c>
      <c r="F15" s="251">
        <f t="shared" si="1"/>
        <v>0.31205525299726372</v>
      </c>
      <c r="G15" s="195">
        <f>'RESUMEN POR UNIDAD'!G75</f>
        <v>46478874</v>
      </c>
      <c r="H15" s="385">
        <f t="shared" si="2"/>
        <v>0.54319960264126688</v>
      </c>
    </row>
    <row r="16" spans="2:8" ht="38.25" customHeight="1" x14ac:dyDescent="0.25">
      <c r="B16" s="58">
        <v>4101</v>
      </c>
      <c r="C16" s="336" t="s">
        <v>285</v>
      </c>
      <c r="D16" s="195">
        <f>'RESUMEN POR UNIDAD'!E58</f>
        <v>547707113</v>
      </c>
      <c r="E16" s="195">
        <f>'RESUMEN POR UNIDAD'!F58</f>
        <v>245932969</v>
      </c>
      <c r="F16" s="251">
        <f t="shared" si="1"/>
        <v>0.4490227772521187</v>
      </c>
      <c r="G16" s="195">
        <f>'RESUMEN POR UNIDAD'!G58</f>
        <v>163409101.94999999</v>
      </c>
      <c r="H16" s="385">
        <f t="shared" si="2"/>
        <v>0.66444569272044196</v>
      </c>
    </row>
    <row r="17" spans="2:8" ht="57.75" customHeight="1" x14ac:dyDescent="0.25">
      <c r="B17" s="58">
        <v>4102</v>
      </c>
      <c r="C17" s="336" t="s">
        <v>785</v>
      </c>
      <c r="D17" s="195">
        <f>'RESUMEN POR UNIDAD'!E126</f>
        <v>1014562889</v>
      </c>
      <c r="E17" s="195">
        <f>'RESUMEN POR UNIDAD'!F126</f>
        <v>444972344</v>
      </c>
      <c r="F17" s="251">
        <f t="shared" si="1"/>
        <v>0.43858527531850222</v>
      </c>
      <c r="G17" s="195">
        <f>'RESUMEN POR UNIDAD'!G126</f>
        <v>235470733</v>
      </c>
      <c r="H17" s="385">
        <f t="shared" si="2"/>
        <v>0.52918060228929642</v>
      </c>
    </row>
    <row r="18" spans="2:8" ht="42.75" customHeight="1" x14ac:dyDescent="0.25">
      <c r="B18" s="58">
        <v>4103</v>
      </c>
      <c r="C18" s="336" t="s">
        <v>302</v>
      </c>
      <c r="D18" s="195">
        <f>'RESUMEN POR UNIDAD'!E59+'RESUMEN POR UNIDAD'!E127</f>
        <v>267821343</v>
      </c>
      <c r="E18" s="195">
        <f>'RESUMEN POR UNIDAD'!F59+'RESUMEN POR UNIDAD'!F127</f>
        <v>141927741</v>
      </c>
      <c r="F18" s="251">
        <f t="shared" si="1"/>
        <v>0.52993439361552297</v>
      </c>
      <c r="G18" s="195">
        <f>'RESUMEN POR UNIDAD'!G59+'RESUMEN POR UNIDAD'!G127</f>
        <v>60448387.509999998</v>
      </c>
      <c r="H18" s="385">
        <f t="shared" si="2"/>
        <v>0.42590960078762896</v>
      </c>
    </row>
    <row r="19" spans="2:8" ht="45" x14ac:dyDescent="0.25">
      <c r="B19" s="58">
        <v>4104</v>
      </c>
      <c r="C19" s="336" t="s">
        <v>893</v>
      </c>
      <c r="D19" s="195">
        <f>'RESUMEN POR UNIDAD'!E128</f>
        <v>4237965007.0100002</v>
      </c>
      <c r="E19" s="195">
        <f>'RESUMEN POR UNIDAD'!F128</f>
        <v>2387010068.25</v>
      </c>
      <c r="F19" s="251">
        <f t="shared" si="1"/>
        <v>0.56324440251433328</v>
      </c>
      <c r="G19" s="195">
        <f>'RESUMEN POR UNIDAD'!G128</f>
        <v>2360174333.25</v>
      </c>
      <c r="H19" s="385">
        <f t="shared" si="2"/>
        <v>0.98875759455020895</v>
      </c>
    </row>
    <row r="20" spans="2:8" ht="52.5" customHeight="1" x14ac:dyDescent="0.25">
      <c r="B20" s="58">
        <v>4301</v>
      </c>
      <c r="C20" s="336" t="s">
        <v>177</v>
      </c>
      <c r="D20" s="195">
        <f>'RESUMEN POR UNIDAD'!E35</f>
        <v>2885783074.3600001</v>
      </c>
      <c r="E20" s="195">
        <f>'RESUMEN POR UNIDAD'!F35</f>
        <v>553075216.24000001</v>
      </c>
      <c r="F20" s="251">
        <f t="shared" si="1"/>
        <v>0.19165515979147507</v>
      </c>
      <c r="G20" s="195">
        <f>'RESUMEN POR UNIDAD'!G35</f>
        <v>262794700</v>
      </c>
      <c r="H20" s="385">
        <f t="shared" si="2"/>
        <v>0.47515182796757893</v>
      </c>
    </row>
    <row r="21" spans="2:8" ht="41.25" customHeight="1" x14ac:dyDescent="0.25">
      <c r="B21" s="58">
        <v>4501</v>
      </c>
      <c r="C21" s="336" t="s">
        <v>311</v>
      </c>
      <c r="D21" s="195">
        <f>'RESUMEN POR UNIDAD'!E61</f>
        <v>4448879528.3299999</v>
      </c>
      <c r="E21" s="195">
        <f>'RESUMEN POR UNIDAD'!F61</f>
        <v>1001238833.33</v>
      </c>
      <c r="F21" s="251">
        <f t="shared" si="1"/>
        <v>0.22505415733427164</v>
      </c>
      <c r="G21" s="195">
        <f>'RESUMEN POR UNIDAD'!G61</f>
        <v>242470998.36000001</v>
      </c>
      <c r="H21" s="385">
        <f t="shared" si="2"/>
        <v>0.24217098886743196</v>
      </c>
    </row>
    <row r="22" spans="2:8" ht="15.75" x14ac:dyDescent="0.25">
      <c r="B22" s="63">
        <v>2</v>
      </c>
      <c r="C22" s="51" t="s">
        <v>400</v>
      </c>
      <c r="D22" s="151">
        <f>SUM(D23:D34)</f>
        <v>5779941822.2399998</v>
      </c>
      <c r="E22" s="151">
        <f t="shared" ref="E22:G22" si="3">SUM(E23:E34)</f>
        <v>3654330639</v>
      </c>
      <c r="F22" s="251">
        <f t="shared" si="1"/>
        <v>0.63224349853123174</v>
      </c>
      <c r="G22" s="151">
        <f t="shared" si="3"/>
        <v>1539630363</v>
      </c>
      <c r="H22" s="252">
        <f>G22/E22</f>
        <v>0.42131665552335368</v>
      </c>
    </row>
    <row r="23" spans="2:8" ht="41.25" customHeight="1" x14ac:dyDescent="0.25">
      <c r="B23" s="58">
        <v>1702</v>
      </c>
      <c r="C23" s="336" t="s">
        <v>452</v>
      </c>
      <c r="D23" s="195">
        <f>'RESUMEN POR UNIDAD'!E87</f>
        <v>1574659112.6300001</v>
      </c>
      <c r="E23" s="195">
        <f>'RESUMEN POR UNIDAD'!F87</f>
        <v>700482500</v>
      </c>
      <c r="F23" s="251">
        <f t="shared" si="1"/>
        <v>0.44484707476150326</v>
      </c>
      <c r="G23" s="195">
        <f>'RESUMEN POR UNIDAD'!G87</f>
        <v>550120000</v>
      </c>
      <c r="H23" s="385">
        <f>G23/E23</f>
        <v>0.78534438761853431</v>
      </c>
    </row>
    <row r="24" spans="2:8" ht="36.75" customHeight="1" x14ac:dyDescent="0.25">
      <c r="B24" s="58">
        <v>1703</v>
      </c>
      <c r="C24" s="336" t="s">
        <v>500</v>
      </c>
      <c r="D24" s="195">
        <f>'RESUMEN POR UNIDAD'!E88+'RESUMEN POR UNIDAD'!E131</f>
        <v>343000000</v>
      </c>
      <c r="E24" s="195">
        <f>'RESUMEN POR UNIDAD'!F88+'RESUMEN POR UNIDAD'!F131</f>
        <v>342995000</v>
      </c>
      <c r="F24" s="251">
        <f t="shared" si="1"/>
        <v>0.99998542274052482</v>
      </c>
      <c r="G24" s="195">
        <f>'RESUMEN POR UNIDAD'!G88+'RESUMEN POR UNIDAD'!G131</f>
        <v>327890000</v>
      </c>
      <c r="H24" s="385">
        <f t="shared" ref="H24:H33" si="4">G24/E24</f>
        <v>0.95596145716409864</v>
      </c>
    </row>
    <row r="25" spans="2:8" ht="36.75" customHeight="1" x14ac:dyDescent="0.25">
      <c r="B25" s="58">
        <v>1704</v>
      </c>
      <c r="C25" s="336" t="s">
        <v>507</v>
      </c>
      <c r="D25" s="195">
        <f>'RESUMEN POR UNIDAD'!E89</f>
        <v>70000000</v>
      </c>
      <c r="E25" s="195">
        <f>'RESUMEN POR UNIDAD'!F89</f>
        <v>53580000</v>
      </c>
      <c r="F25" s="251">
        <f t="shared" si="1"/>
        <v>0.76542857142857146</v>
      </c>
      <c r="G25" s="195">
        <f>'RESUMEN POR UNIDAD'!G89</f>
        <v>44925000</v>
      </c>
      <c r="H25" s="385">
        <f t="shared" si="4"/>
        <v>0.83846584546472569</v>
      </c>
    </row>
    <row r="26" spans="2:8" ht="43.5" customHeight="1" x14ac:dyDescent="0.25">
      <c r="B26" s="58">
        <v>1706</v>
      </c>
      <c r="C26" s="336" t="s">
        <v>516</v>
      </c>
      <c r="D26" s="195">
        <f>'RESUMEN POR UNIDAD'!E90</f>
        <v>20000000</v>
      </c>
      <c r="E26" s="195">
        <f>'RESUMEN POR UNIDAD'!F90</f>
        <v>20000000</v>
      </c>
      <c r="F26" s="251">
        <f t="shared" si="1"/>
        <v>1</v>
      </c>
      <c r="G26" s="195">
        <f>'RESUMEN POR UNIDAD'!G90</f>
        <v>0</v>
      </c>
      <c r="H26" s="385">
        <v>0</v>
      </c>
    </row>
    <row r="27" spans="2:8" ht="39.75" customHeight="1" x14ac:dyDescent="0.25">
      <c r="B27" s="58">
        <v>1707</v>
      </c>
      <c r="C27" s="336" t="s">
        <v>523</v>
      </c>
      <c r="D27" s="195">
        <f>'RESUMEN POR UNIDAD'!E91</f>
        <v>43000000</v>
      </c>
      <c r="E27" s="195">
        <f>'RESUMEN POR UNIDAD'!F91</f>
        <v>26210000</v>
      </c>
      <c r="F27" s="251">
        <f t="shared" si="1"/>
        <v>0.60953488372093023</v>
      </c>
      <c r="G27" s="195">
        <f>'RESUMEN POR UNIDAD'!G91</f>
        <v>2885000</v>
      </c>
      <c r="H27" s="385">
        <v>0</v>
      </c>
    </row>
    <row r="28" spans="2:8" ht="40.5" customHeight="1" x14ac:dyDescent="0.25">
      <c r="B28" s="58">
        <v>1708</v>
      </c>
      <c r="C28" s="336" t="s">
        <v>530</v>
      </c>
      <c r="D28" s="195">
        <f>'RESUMEN POR UNIDAD'!E92</f>
        <v>40000000</v>
      </c>
      <c r="E28" s="195">
        <f>'RESUMEN POR UNIDAD'!F92</f>
        <v>17555000</v>
      </c>
      <c r="F28" s="251">
        <f t="shared" si="1"/>
        <v>0.43887500000000002</v>
      </c>
      <c r="G28" s="195">
        <f>'RESUMEN POR UNIDAD'!G92</f>
        <v>14670000</v>
      </c>
      <c r="H28" s="385">
        <f t="shared" si="4"/>
        <v>0.83565935630874399</v>
      </c>
    </row>
    <row r="29" spans="2:8" ht="38.25" customHeight="1" x14ac:dyDescent="0.25">
      <c r="B29" s="58">
        <v>1709</v>
      </c>
      <c r="C29" s="336" t="s">
        <v>539</v>
      </c>
      <c r="D29" s="195">
        <f>'RESUMEN POR UNIDAD'!E93</f>
        <v>108000000</v>
      </c>
      <c r="E29" s="195">
        <f>'RESUMEN POR UNIDAD'!F93</f>
        <v>35433654</v>
      </c>
      <c r="F29" s="251">
        <f t="shared" si="1"/>
        <v>0.32808938888888889</v>
      </c>
      <c r="G29" s="195">
        <f>'RESUMEN POR UNIDAD'!G93</f>
        <v>35433654</v>
      </c>
      <c r="H29" s="385">
        <f t="shared" si="4"/>
        <v>1</v>
      </c>
    </row>
    <row r="30" spans="2:8" ht="39" customHeight="1" x14ac:dyDescent="0.25">
      <c r="B30" s="58">
        <v>3502</v>
      </c>
      <c r="C30" s="336" t="s">
        <v>402</v>
      </c>
      <c r="D30" s="195">
        <f>'RESUMEN POR UNIDAD'!E80+'RESUMEN POR UNIDAD'!E95</f>
        <v>3220087709.6100001</v>
      </c>
      <c r="E30" s="195">
        <f>'RESUMEN POR UNIDAD'!F80+'RESUMEN POR UNIDAD'!F95</f>
        <v>2276732701</v>
      </c>
      <c r="F30" s="251">
        <f t="shared" si="1"/>
        <v>0.70704058594594799</v>
      </c>
      <c r="G30" s="195">
        <f>'RESUMEN POR UNIDAD'!G80+'RESUMEN POR UNIDAD'!G95</f>
        <v>454698900</v>
      </c>
      <c r="H30" s="385">
        <f t="shared" si="4"/>
        <v>0.19971553964164721</v>
      </c>
    </row>
    <row r="31" spans="2:8" ht="39" customHeight="1" x14ac:dyDescent="0.25">
      <c r="B31" s="58">
        <v>3602</v>
      </c>
      <c r="C31" s="336" t="s">
        <v>434</v>
      </c>
      <c r="D31" s="195">
        <f>'RESUMEN POR UNIDAD'!E82</f>
        <v>237500000</v>
      </c>
      <c r="E31" s="195">
        <f>'RESUMEN POR UNIDAD'!F82</f>
        <v>102467951</v>
      </c>
      <c r="F31" s="251">
        <f t="shared" si="1"/>
        <v>0.43144400421052631</v>
      </c>
      <c r="G31" s="195">
        <f>'RESUMEN POR UNIDAD'!G82</f>
        <v>68468976</v>
      </c>
      <c r="H31" s="385">
        <f t="shared" si="4"/>
        <v>0.66819893763660798</v>
      </c>
    </row>
    <row r="32" spans="2:8" ht="35.25" customHeight="1" x14ac:dyDescent="0.25">
      <c r="B32" s="58">
        <v>3604</v>
      </c>
      <c r="C32" s="361" t="s">
        <v>932</v>
      </c>
      <c r="D32" s="195">
        <f>'RESUMEN POR UNIDAD'!E133</f>
        <v>38195000</v>
      </c>
      <c r="E32" s="195">
        <f>'RESUMEN POR UNIDAD'!F133</f>
        <v>29095000</v>
      </c>
      <c r="F32" s="251">
        <f t="shared" si="1"/>
        <v>0.76174892001570882</v>
      </c>
      <c r="G32" s="195">
        <f>'RESUMEN POR UNIDAD'!G133</f>
        <v>14670000</v>
      </c>
      <c r="H32" s="385">
        <f t="shared" si="4"/>
        <v>0.50421034542017529</v>
      </c>
    </row>
    <row r="33" spans="2:8" ht="37.5" customHeight="1" x14ac:dyDescent="0.25">
      <c r="B33" s="58">
        <v>3903</v>
      </c>
      <c r="C33" s="336" t="s">
        <v>1244</v>
      </c>
      <c r="D33" s="195">
        <f>'RESUMEN POR UNIDAD'!E153</f>
        <v>60000000</v>
      </c>
      <c r="E33" s="195">
        <f>'RESUMEN POR UNIDAD'!F153</f>
        <v>43178833</v>
      </c>
      <c r="F33" s="251">
        <f t="shared" si="1"/>
        <v>0.71964721666666664</v>
      </c>
      <c r="G33" s="195">
        <f>'RESUMEN POR UNIDAD'!G153</f>
        <v>25868833</v>
      </c>
      <c r="H33" s="385">
        <f t="shared" si="4"/>
        <v>0.59910912830830787</v>
      </c>
    </row>
    <row r="34" spans="2:8" ht="41.25" customHeight="1" x14ac:dyDescent="0.25">
      <c r="B34" s="58">
        <v>3904</v>
      </c>
      <c r="C34" s="336" t="s">
        <v>759</v>
      </c>
      <c r="D34" s="195">
        <f>'RESUMEN POR UNIDAD'!E154+'RESUMEN POR UNIDAD'!E117</f>
        <v>25500000</v>
      </c>
      <c r="E34" s="195">
        <f>'RESUMEN POR UNIDAD'!F154+'RESUMEN POR UNIDAD'!F117</f>
        <v>6600000</v>
      </c>
      <c r="F34" s="251">
        <f t="shared" si="1"/>
        <v>0.25882352941176473</v>
      </c>
      <c r="G34" s="195">
        <f>'RESUMEN POR UNIDAD'!G154+'RESUMEN POR UNIDAD'!G117</f>
        <v>0</v>
      </c>
      <c r="H34" s="385">
        <v>0</v>
      </c>
    </row>
    <row r="35" spans="2:8" ht="15.75" x14ac:dyDescent="0.25">
      <c r="B35" s="63">
        <v>3</v>
      </c>
      <c r="C35" s="51" t="s">
        <v>186</v>
      </c>
      <c r="D35" s="151">
        <f>SUM(D36:D44)</f>
        <v>13095806049.780001</v>
      </c>
      <c r="E35" s="151">
        <f t="shared" ref="E35:G35" si="5">SUM(E36:E44)</f>
        <v>4563540083.4700003</v>
      </c>
      <c r="F35" s="251">
        <f t="shared" si="1"/>
        <v>0.34847340179924735</v>
      </c>
      <c r="G35" s="151">
        <f t="shared" si="5"/>
        <v>3069121969.1900001</v>
      </c>
      <c r="H35" s="252">
        <f>G35/E35</f>
        <v>0.67253095470924784</v>
      </c>
    </row>
    <row r="36" spans="2:8" ht="21.75" customHeight="1" x14ac:dyDescent="0.25">
      <c r="B36" s="58">
        <v>2402</v>
      </c>
      <c r="C36" s="336" t="s">
        <v>188</v>
      </c>
      <c r="D36" s="195">
        <f>'RESUMEN POR UNIDAD'!E38</f>
        <v>4783689004</v>
      </c>
      <c r="E36" s="195">
        <f>'RESUMEN POR UNIDAD'!F38</f>
        <v>328261201</v>
      </c>
      <c r="F36" s="251">
        <f t="shared" si="1"/>
        <v>6.8620932657937478E-2</v>
      </c>
      <c r="G36" s="195">
        <f>'RESUMEN POR UNIDAD'!G38</f>
        <v>244745182.34999999</v>
      </c>
      <c r="H36" s="385">
        <f>G36/E36</f>
        <v>0.74558059741577565</v>
      </c>
    </row>
    <row r="37" spans="2:8" ht="36" customHeight="1" x14ac:dyDescent="0.25">
      <c r="B37" s="58">
        <v>3201</v>
      </c>
      <c r="C37" s="336" t="s">
        <v>558</v>
      </c>
      <c r="D37" s="195">
        <f>'RESUMEN POR UNIDAD'!E98</f>
        <v>82000000</v>
      </c>
      <c r="E37" s="195">
        <f>'RESUMEN POR UNIDAD'!F98</f>
        <v>24147833</v>
      </c>
      <c r="F37" s="251">
        <f t="shared" si="1"/>
        <v>0.29448576829268291</v>
      </c>
      <c r="G37" s="195">
        <f>'RESUMEN POR UNIDAD'!G98</f>
        <v>19197833</v>
      </c>
      <c r="H37" s="385">
        <f t="shared" ref="H37:H44" si="6">G37/E37</f>
        <v>0.79501266221279565</v>
      </c>
    </row>
    <row r="38" spans="2:8" ht="35.25" customHeight="1" x14ac:dyDescent="0.25">
      <c r="B38" s="58">
        <v>3202</v>
      </c>
      <c r="C38" s="336" t="s">
        <v>568</v>
      </c>
      <c r="D38" s="195">
        <f>'RESUMEN POR UNIDAD'!E99</f>
        <v>1235631389</v>
      </c>
      <c r="E38" s="195">
        <f>'RESUMEN POR UNIDAD'!F99</f>
        <v>452705832</v>
      </c>
      <c r="F38" s="251">
        <f t="shared" si="1"/>
        <v>0.36637611833928574</v>
      </c>
      <c r="G38" s="195">
        <f>'RESUMEN POR UNIDAD'!G99</f>
        <v>255478801</v>
      </c>
      <c r="H38" s="385">
        <f t="shared" si="6"/>
        <v>0.56433733109053474</v>
      </c>
    </row>
    <row r="39" spans="2:8" ht="43.5" customHeight="1" x14ac:dyDescent="0.25">
      <c r="B39" s="58">
        <v>3204</v>
      </c>
      <c r="C39" s="336" t="s">
        <v>599</v>
      </c>
      <c r="D39" s="195">
        <f>'RESUMEN POR UNIDAD'!E100</f>
        <v>120000000</v>
      </c>
      <c r="E39" s="195">
        <f>'RESUMEN POR UNIDAD'!F100</f>
        <v>43295000</v>
      </c>
      <c r="F39" s="251">
        <f t="shared" si="1"/>
        <v>0.36079166666666668</v>
      </c>
      <c r="G39" s="195">
        <f>'RESUMEN POR UNIDAD'!G100</f>
        <v>31340000</v>
      </c>
      <c r="H39" s="385">
        <f t="shared" si="6"/>
        <v>0.72387111675713134</v>
      </c>
    </row>
    <row r="40" spans="2:8" ht="36" customHeight="1" x14ac:dyDescent="0.25">
      <c r="B40" s="58">
        <v>3205</v>
      </c>
      <c r="C40" s="336" t="s">
        <v>208</v>
      </c>
      <c r="D40" s="195">
        <f>'RESUMEN POR UNIDAD'!E101+'RESUMEN POR UNIDAD'!E40+'RESUMEN POR UNIDAD'!E64</f>
        <v>2588958067</v>
      </c>
      <c r="E40" s="195">
        <f>'RESUMEN POR UNIDAD'!F101+'RESUMEN POR UNIDAD'!F40+'RESUMEN POR UNIDAD'!F64</f>
        <v>456122775.47000003</v>
      </c>
      <c r="F40" s="251">
        <f t="shared" si="1"/>
        <v>0.17618005532184622</v>
      </c>
      <c r="G40" s="195">
        <f>'RESUMEN POR UNIDAD'!G101+'RESUMEN POR UNIDAD'!G40+'RESUMEN POR UNIDAD'!G64</f>
        <v>256523127.84</v>
      </c>
      <c r="H40" s="385">
        <f t="shared" si="6"/>
        <v>0.56239929605723438</v>
      </c>
    </row>
    <row r="41" spans="2:8" ht="45" x14ac:dyDescent="0.25">
      <c r="B41" s="58">
        <v>3206</v>
      </c>
      <c r="C41" s="336" t="s">
        <v>618</v>
      </c>
      <c r="D41" s="195">
        <f>'RESUMEN POR UNIDAD'!E102</f>
        <v>118000000</v>
      </c>
      <c r="E41" s="195">
        <f>'RESUMEN POR UNIDAD'!F102</f>
        <v>5000000</v>
      </c>
      <c r="F41" s="251">
        <f t="shared" si="1"/>
        <v>4.2372881355932202E-2</v>
      </c>
      <c r="G41" s="195">
        <f>'RESUMEN POR UNIDAD'!G102</f>
        <v>0</v>
      </c>
      <c r="H41" s="385">
        <v>0</v>
      </c>
    </row>
    <row r="42" spans="2:8" ht="24" customHeight="1" x14ac:dyDescent="0.25">
      <c r="B42" s="58">
        <v>4001</v>
      </c>
      <c r="C42" s="336" t="s">
        <v>222</v>
      </c>
      <c r="D42" s="195">
        <f>'RESUMEN POR UNIDAD'!E42</f>
        <v>120000000.09999999</v>
      </c>
      <c r="E42" s="195">
        <f>'RESUMEN POR UNIDAD'!F42</f>
        <v>0</v>
      </c>
      <c r="F42" s="251">
        <f t="shared" si="1"/>
        <v>0</v>
      </c>
      <c r="G42" s="195">
        <f>'RESUMEN POR UNIDAD'!G42</f>
        <v>0</v>
      </c>
      <c r="H42" s="385">
        <v>0</v>
      </c>
    </row>
    <row r="43" spans="2:8" ht="34.5" customHeight="1" x14ac:dyDescent="0.25">
      <c r="B43" s="58">
        <v>4003</v>
      </c>
      <c r="C43" s="336" t="s">
        <v>230</v>
      </c>
      <c r="D43" s="195">
        <f>'RESUMEN POR UNIDAD'!E43</f>
        <v>3500159641.6800003</v>
      </c>
      <c r="E43" s="195">
        <f>'RESUMEN POR UNIDAD'!F43</f>
        <v>3038291337</v>
      </c>
      <c r="F43" s="251">
        <f t="shared" si="1"/>
        <v>0.86804364601543904</v>
      </c>
      <c r="G43" s="195">
        <f>'RESUMEN POR UNIDAD'!G43</f>
        <v>2162951384</v>
      </c>
      <c r="H43" s="385">
        <v>0</v>
      </c>
    </row>
    <row r="44" spans="2:8" ht="33" customHeight="1" x14ac:dyDescent="0.25">
      <c r="B44" s="58">
        <v>4503</v>
      </c>
      <c r="C44" s="336" t="s">
        <v>1481</v>
      </c>
      <c r="D44" s="195">
        <f>'RESUMEN POR UNIDAD'!E66</f>
        <v>547367948</v>
      </c>
      <c r="E44" s="195">
        <f>'RESUMEN POR UNIDAD'!F66</f>
        <v>215716105</v>
      </c>
      <c r="F44" s="251">
        <f t="shared" si="1"/>
        <v>0.39409707087927626</v>
      </c>
      <c r="G44" s="195">
        <f>'RESUMEN POR UNIDAD'!G66</f>
        <v>98885641</v>
      </c>
      <c r="H44" s="385">
        <f t="shared" si="6"/>
        <v>0.45840639019511314</v>
      </c>
    </row>
    <row r="45" spans="2:8" ht="15.75" x14ac:dyDescent="0.25">
      <c r="B45" s="63">
        <v>4</v>
      </c>
      <c r="C45" s="51" t="s">
        <v>37</v>
      </c>
      <c r="D45" s="151">
        <f>SUM(D46:D48)</f>
        <v>6898207423.8400002</v>
      </c>
      <c r="E45" s="151">
        <f t="shared" ref="E45:G45" si="7">SUM(E46:E48)</f>
        <v>4695567225.6599998</v>
      </c>
      <c r="F45" s="251">
        <f t="shared" si="1"/>
        <v>0.68069382915803012</v>
      </c>
      <c r="G45" s="151">
        <f t="shared" si="7"/>
        <v>2813878707.4200001</v>
      </c>
      <c r="H45" s="252">
        <f>G45/E45</f>
        <v>0.59926278811277944</v>
      </c>
    </row>
    <row r="46" spans="2:8" ht="74.25" customHeight="1" x14ac:dyDescent="0.25">
      <c r="B46" s="94">
        <v>2302</v>
      </c>
      <c r="C46" s="97" t="s">
        <v>1492</v>
      </c>
      <c r="D46" s="369">
        <f>'RESUMEN POR UNIDAD'!E157</f>
        <v>298000000</v>
      </c>
      <c r="E46" s="369">
        <f>'RESUMEN POR UNIDAD'!F157</f>
        <v>245580000</v>
      </c>
      <c r="F46" s="251">
        <f t="shared" si="1"/>
        <v>0.82409395973154365</v>
      </c>
      <c r="G46" s="195">
        <f>'RESUMEN POR UNIDAD'!G157</f>
        <v>119550000</v>
      </c>
      <c r="H46" s="385">
        <f>G46/E46</f>
        <v>0.48680674322013195</v>
      </c>
    </row>
    <row r="47" spans="2:8" ht="39.75" customHeight="1" x14ac:dyDescent="0.25">
      <c r="B47" s="94">
        <v>4502</v>
      </c>
      <c r="C47" s="97" t="s">
        <v>60</v>
      </c>
      <c r="D47" s="369">
        <f>'RESUMEN POR UNIDAD'!E11+'RESUMEN POR UNIDAD'!E16+'RESUMEN POR UNIDAD'!E47+'RESUMEN POR UNIDAD'!E69+'RESUMEN POR UNIDAD'!E108+'RESUMEN POR UNIDAD'!E136</f>
        <v>1127291930</v>
      </c>
      <c r="E47" s="369">
        <f>'RESUMEN POR UNIDAD'!F11+'RESUMEN POR UNIDAD'!F16+'RESUMEN POR UNIDAD'!F47+'RESUMEN POR UNIDAD'!F69+'RESUMEN POR UNIDAD'!F108+'RESUMEN POR UNIDAD'!F136</f>
        <v>730860219</v>
      </c>
      <c r="F47" s="251">
        <f t="shared" si="1"/>
        <v>0.64833269852291053</v>
      </c>
      <c r="G47" s="195">
        <f>'RESUMEN POR UNIDAD'!G11+'RESUMEN POR UNIDAD'!G16+'RESUMEN POR UNIDAD'!G47+'RESUMEN POR UNIDAD'!G69+'RESUMEN POR UNIDAD'!G108+'RESUMEN POR UNIDAD'!G136</f>
        <v>455103327.32999998</v>
      </c>
      <c r="H47" s="385">
        <f>G47/E47</f>
        <v>0.62269544230043805</v>
      </c>
    </row>
    <row r="48" spans="2:8" ht="54.75" customHeight="1" x14ac:dyDescent="0.25">
      <c r="B48" s="94">
        <v>4599</v>
      </c>
      <c r="C48" s="96" t="s">
        <v>39</v>
      </c>
      <c r="D48" s="369">
        <f>'RESUMEN POR UNIDAD'!E10+'RESUMEN POR UNIDAD'!E17+'RESUMEN POR UNIDAD'!E22+'RESUMEN POR UNIDAD'!E46+'RESUMEN POR UNIDAD'!E107+'RESUMEN POR UNIDAD'!E137</f>
        <v>5472915493.8400002</v>
      </c>
      <c r="E48" s="369">
        <f>'RESUMEN POR UNIDAD'!F10+'RESUMEN POR UNIDAD'!F17+'RESUMEN POR UNIDAD'!F22+'RESUMEN POR UNIDAD'!F46+'RESUMEN POR UNIDAD'!F107+'RESUMEN POR UNIDAD'!F137</f>
        <v>3719127006.6599998</v>
      </c>
      <c r="F48" s="251">
        <f t="shared" si="1"/>
        <v>0.67955133070226204</v>
      </c>
      <c r="G48" s="195">
        <f>'RESUMEN POR UNIDAD'!G10+'RESUMEN POR UNIDAD'!G17+'RESUMEN POR UNIDAD'!G22+'RESUMEN POR UNIDAD'!G46+'RESUMEN POR UNIDAD'!G107+'RESUMEN POR UNIDAD'!G137</f>
        <v>2239225380.0900002</v>
      </c>
      <c r="H48" s="385">
        <f>G48/E48</f>
        <v>0.60208360082355983</v>
      </c>
    </row>
    <row r="49" spans="2:8" ht="15.75" x14ac:dyDescent="0.25">
      <c r="B49" s="90"/>
      <c r="C49" s="29" t="s">
        <v>1376</v>
      </c>
      <c r="D49" s="170">
        <f>D45+D35+D22+D3</f>
        <v>300874324699.38</v>
      </c>
      <c r="E49" s="170">
        <f t="shared" ref="E49:G49" si="8">E45+E35+E22+E3</f>
        <v>199543937171.59998</v>
      </c>
      <c r="F49" s="251">
        <f t="shared" si="1"/>
        <v>0.66321357720029861</v>
      </c>
      <c r="G49" s="170">
        <f t="shared" si="8"/>
        <v>178726340061.37</v>
      </c>
      <c r="H49" s="254">
        <f>G49/E49</f>
        <v>0.89567411866626812</v>
      </c>
    </row>
    <row r="51" spans="2:8" ht="45.75" customHeight="1" x14ac:dyDescent="0.25">
      <c r="B51" s="574" t="s">
        <v>1681</v>
      </c>
      <c r="C51" s="575"/>
      <c r="D51" s="575"/>
      <c r="E51" s="575"/>
      <c r="F51" s="575"/>
      <c r="G51" s="575"/>
      <c r="H51" s="576"/>
    </row>
    <row r="52" spans="2:8" ht="15.75" x14ac:dyDescent="0.25">
      <c r="B52" s="275">
        <v>1</v>
      </c>
      <c r="C52" s="289" t="s">
        <v>136</v>
      </c>
      <c r="D52" s="387">
        <f>SUM(D53:D55)</f>
        <v>13742371092.879999</v>
      </c>
      <c r="E52" s="387">
        <f t="shared" ref="E52:G52" si="9">SUM(E53:E55)</f>
        <v>3931598344.7059999</v>
      </c>
      <c r="F52" s="388">
        <f t="shared" ref="F52:F60" si="10">E52/D52</f>
        <v>0.28609315802445356</v>
      </c>
      <c r="G52" s="387">
        <f t="shared" si="9"/>
        <v>2761798144.7600002</v>
      </c>
      <c r="H52" s="389">
        <f>G52/E52</f>
        <v>0.70246192581671874</v>
      </c>
    </row>
    <row r="53" spans="2:8" ht="45" x14ac:dyDescent="0.25">
      <c r="B53" s="58">
        <v>2201</v>
      </c>
      <c r="C53" s="361" t="s">
        <v>277</v>
      </c>
      <c r="D53" s="195">
        <f>'RESUMEN POR UNIDAD'!E172</f>
        <v>329008863.94999999</v>
      </c>
      <c r="E53" s="195">
        <f>'RESUMEN POR UNIDAD'!F172</f>
        <v>41687051.560000002</v>
      </c>
      <c r="F53" s="251">
        <f t="shared" si="10"/>
        <v>0.12670494970717644</v>
      </c>
      <c r="G53" s="195">
        <f>'RESUMEN POR UNIDAD'!G172</f>
        <v>15000000</v>
      </c>
      <c r="H53" s="385">
        <v>0</v>
      </c>
    </row>
    <row r="54" spans="2:8" ht="51.75" customHeight="1" x14ac:dyDescent="0.25">
      <c r="B54" s="58">
        <v>4301</v>
      </c>
      <c r="C54" s="361" t="s">
        <v>177</v>
      </c>
      <c r="D54" s="195">
        <f>'RESUMEN POR UNIDAD'!E170+'RESUMEN POR UNIDAD'!E164</f>
        <v>5635174106.8799992</v>
      </c>
      <c r="E54" s="195">
        <f>'RESUMEN POR UNIDAD'!F170+'RESUMEN POR UNIDAD'!F164</f>
        <v>1919536386.9660001</v>
      </c>
      <c r="F54" s="251">
        <f t="shared" si="10"/>
        <v>0.34063479682418918</v>
      </c>
      <c r="G54" s="195">
        <f>'RESUMEN POR UNIDAD'!G170+'RESUMEN POR UNIDAD'!G164</f>
        <v>1447509905.76</v>
      </c>
      <c r="H54" s="385">
        <f t="shared" ref="H54:H55" si="11">G54/E54</f>
        <v>0.75409349652804425</v>
      </c>
    </row>
    <row r="55" spans="2:8" ht="32.25" customHeight="1" x14ac:dyDescent="0.25">
      <c r="B55" s="58">
        <v>4302</v>
      </c>
      <c r="C55" s="361" t="s">
        <v>1291</v>
      </c>
      <c r="D55" s="195">
        <f>'RESUMEN POR UNIDAD'!E165</f>
        <v>7778188122.0500002</v>
      </c>
      <c r="E55" s="195">
        <f>'RESUMEN POR UNIDAD'!F165</f>
        <v>1970374906.1799998</v>
      </c>
      <c r="F55" s="251">
        <f t="shared" si="10"/>
        <v>0.25332055168404599</v>
      </c>
      <c r="G55" s="195">
        <f>'RESUMEN POR UNIDAD'!G165</f>
        <v>1299288239</v>
      </c>
      <c r="H55" s="385">
        <f t="shared" si="11"/>
        <v>0.65941168603235656</v>
      </c>
    </row>
    <row r="56" spans="2:8" ht="15.75" x14ac:dyDescent="0.25">
      <c r="B56" s="63">
        <v>3</v>
      </c>
      <c r="C56" s="51" t="s">
        <v>186</v>
      </c>
      <c r="D56" s="151">
        <f>SUM(D57:D59)</f>
        <v>1668023393.23</v>
      </c>
      <c r="E56" s="151">
        <f t="shared" ref="E56:G56" si="12">SUM(E57:E59)</f>
        <v>902827344.50605011</v>
      </c>
      <c r="F56" s="251">
        <f t="shared" si="10"/>
        <v>0.54125580502668724</v>
      </c>
      <c r="G56" s="151">
        <f t="shared" si="12"/>
        <v>530670815.84600002</v>
      </c>
      <c r="H56" s="252">
        <f>G56/E56</f>
        <v>0.58778770833125094</v>
      </c>
    </row>
    <row r="57" spans="2:8" ht="24" customHeight="1" x14ac:dyDescent="0.25">
      <c r="B57" s="58">
        <v>2402</v>
      </c>
      <c r="C57" s="386" t="s">
        <v>188</v>
      </c>
      <c r="D57" s="195">
        <f>'RESUMEN POR UNIDAD'!E175</f>
        <v>348896731.19999999</v>
      </c>
      <c r="E57" s="195">
        <f>'RESUMEN POR UNIDAD'!F175</f>
        <v>118726877.62840003</v>
      </c>
      <c r="F57" s="251">
        <f t="shared" si="10"/>
        <v>0.34029231864697973</v>
      </c>
      <c r="G57" s="195">
        <f>'RESUMEN POR UNIDAD'!G175</f>
        <v>99450239.376000002</v>
      </c>
      <c r="H57" s="385">
        <v>0</v>
      </c>
    </row>
    <row r="58" spans="2:8" ht="23.25" customHeight="1" x14ac:dyDescent="0.25">
      <c r="B58" s="58">
        <v>2409</v>
      </c>
      <c r="C58" s="375" t="s">
        <v>1338</v>
      </c>
      <c r="D58" s="195">
        <f>'RESUMEN POR UNIDAD'!E182</f>
        <v>110210000</v>
      </c>
      <c r="E58" s="195">
        <f>'RESUMEN POR UNIDAD'!F182</f>
        <v>87445000</v>
      </c>
      <c r="F58" s="251">
        <f t="shared" si="10"/>
        <v>0.79343979675165588</v>
      </c>
      <c r="G58" s="195">
        <f>'RESUMEN POR UNIDAD'!G182</f>
        <v>68700000</v>
      </c>
      <c r="H58" s="385">
        <f t="shared" ref="H58" si="13">G58/E58</f>
        <v>0.78563668591686198</v>
      </c>
    </row>
    <row r="59" spans="2:8" ht="23.25" customHeight="1" x14ac:dyDescent="0.25">
      <c r="B59" s="58">
        <v>4001</v>
      </c>
      <c r="C59" s="375" t="s">
        <v>222</v>
      </c>
      <c r="D59" s="195">
        <f>'RESUMEN POR UNIDAD'!E177</f>
        <v>1208916662.03</v>
      </c>
      <c r="E59" s="195">
        <f>'RESUMEN POR UNIDAD'!F177</f>
        <v>696655466.87765002</v>
      </c>
      <c r="F59" s="251">
        <f t="shared" si="10"/>
        <v>0.57626426101848371</v>
      </c>
      <c r="G59" s="195">
        <f>'RESUMEN POR UNIDAD'!G177</f>
        <v>362520576.47000003</v>
      </c>
      <c r="H59" s="385">
        <v>0</v>
      </c>
    </row>
    <row r="60" spans="2:8" ht="15.75" x14ac:dyDescent="0.25">
      <c r="B60" s="90"/>
      <c r="C60" s="29" t="s">
        <v>1377</v>
      </c>
      <c r="D60" s="170">
        <f>D52+D56</f>
        <v>15410394486.109999</v>
      </c>
      <c r="E60" s="170">
        <f t="shared" ref="E60:G60" si="14">E52+E56</f>
        <v>4834425689.2120495</v>
      </c>
      <c r="F60" s="251">
        <f t="shared" si="10"/>
        <v>0.31371200092051565</v>
      </c>
      <c r="G60" s="170">
        <f t="shared" si="14"/>
        <v>3292468960.6060004</v>
      </c>
      <c r="H60" s="254">
        <f>G60/E60</f>
        <v>0.68104655490994448</v>
      </c>
    </row>
    <row r="61" spans="2:8" x14ac:dyDescent="0.25">
      <c r="D61" s="370"/>
      <c r="E61" s="370"/>
      <c r="G61" s="370"/>
    </row>
    <row r="62" spans="2:8" ht="15.75" x14ac:dyDescent="0.25">
      <c r="B62" s="570" t="s">
        <v>1378</v>
      </c>
      <c r="C62" s="571"/>
      <c r="D62" s="371">
        <f>D60+D49</f>
        <v>316284719185.48999</v>
      </c>
      <c r="E62" s="371">
        <f t="shared" ref="E62:G62" si="15">E60+E49</f>
        <v>204378362860.81201</v>
      </c>
      <c r="F62" s="251">
        <f t="shared" ref="F62" si="16">E62/D62</f>
        <v>0.6461847521029026</v>
      </c>
      <c r="G62" s="371">
        <f t="shared" si="15"/>
        <v>182018809021.97598</v>
      </c>
      <c r="H62" s="255">
        <f>G62/E62</f>
        <v>0.89059725537549406</v>
      </c>
    </row>
    <row r="67" spans="3:4" ht="15.75" x14ac:dyDescent="0.25">
      <c r="C67" s="264" t="s">
        <v>1550</v>
      </c>
      <c r="D67" s="261"/>
    </row>
    <row r="68" spans="3:4" x14ac:dyDescent="0.25">
      <c r="C68" s="256" t="s">
        <v>1551</v>
      </c>
      <c r="D68" s="262"/>
    </row>
    <row r="69" spans="3:4" x14ac:dyDescent="0.25">
      <c r="C69" s="257" t="s">
        <v>1552</v>
      </c>
      <c r="D69" s="262"/>
    </row>
    <row r="70" spans="3:4" x14ac:dyDescent="0.25">
      <c r="C70" s="258" t="s">
        <v>1553</v>
      </c>
      <c r="D70" s="262"/>
    </row>
    <row r="71" spans="3:4" x14ac:dyDescent="0.25">
      <c r="C71" s="259" t="s">
        <v>1554</v>
      </c>
      <c r="D71" s="262"/>
    </row>
    <row r="72" spans="3:4" x14ac:dyDescent="0.25">
      <c r="C72" s="260" t="s">
        <v>1555</v>
      </c>
      <c r="D72" s="262"/>
    </row>
    <row r="73" spans="3:4" x14ac:dyDescent="0.25">
      <c r="D73" s="263"/>
    </row>
  </sheetData>
  <sheetProtection algorithmName="SHA-512" hashValue="SAg1zNREe/IrG1V9fd4WyQeHgrujmA3xjtUQ06K+C9Xc812HpXNuAjDe3bdAhZ4IoUDyihmjFRZPHTUDVcC7Pw==" saltValue="UwP2bp3z83fMSMWiOp1ANQ==" spinCount="100000" sheet="1" objects="1" scenarios="1"/>
  <mergeCells count="3">
    <mergeCell ref="B62:C62"/>
    <mergeCell ref="B1:H1"/>
    <mergeCell ref="B51:H51"/>
  </mergeCells>
  <conditionalFormatting sqref="F4:F49">
    <cfRule type="cellIs" dxfId="64" priority="11" operator="between">
      <formula>0</formula>
      <formula>0.3999</formula>
    </cfRule>
    <cfRule type="cellIs" dxfId="63" priority="12" operator="between">
      <formula>0.4</formula>
      <formula>0.59</formula>
    </cfRule>
    <cfRule type="cellIs" dxfId="62" priority="13" operator="between">
      <formula>0.6</formula>
      <formula>0.69</formula>
    </cfRule>
    <cfRule type="cellIs" dxfId="61" priority="14" operator="between">
      <formula>0.7</formula>
      <formula>0.79</formula>
    </cfRule>
    <cfRule type="cellIs" dxfId="60" priority="15" operator="between">
      <formula>0.8</formula>
      <formula>1</formula>
    </cfRule>
  </conditionalFormatting>
  <conditionalFormatting sqref="F52:F60">
    <cfRule type="cellIs" dxfId="59" priority="6" operator="between">
      <formula>0</formula>
      <formula>0.3999</formula>
    </cfRule>
    <cfRule type="cellIs" dxfId="58" priority="7" operator="between">
      <formula>0.4</formula>
      <formula>0.59</formula>
    </cfRule>
    <cfRule type="cellIs" dxfId="57" priority="8" operator="between">
      <formula>0.6</formula>
      <formula>0.69</formula>
    </cfRule>
    <cfRule type="cellIs" dxfId="56" priority="9" operator="between">
      <formula>0.7</formula>
      <formula>0.79</formula>
    </cfRule>
    <cfRule type="cellIs" dxfId="55" priority="10" operator="between">
      <formula>0.8</formula>
      <formula>1</formula>
    </cfRule>
  </conditionalFormatting>
  <conditionalFormatting sqref="F62">
    <cfRule type="cellIs" dxfId="54" priority="1" operator="between">
      <formula>0</formula>
      <formula>0.3999</formula>
    </cfRule>
    <cfRule type="cellIs" dxfId="53" priority="2" operator="between">
      <formula>0.4</formula>
      <formula>0.59</formula>
    </cfRule>
    <cfRule type="cellIs" dxfId="52" priority="3" operator="between">
      <formula>0.6</formula>
      <formula>0.69</formula>
    </cfRule>
    <cfRule type="cellIs" dxfId="51" priority="4" operator="between">
      <formula>0.7</formula>
      <formula>0.79</formula>
    </cfRule>
    <cfRule type="cellIs" dxfId="50" priority="5" operator="between">
      <formula>0.8</formula>
      <formula>1</formula>
    </cfRule>
  </conditionalFormatting>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H47"/>
  <sheetViews>
    <sheetView showGridLines="0" zoomScale="70" zoomScaleNormal="70" workbookViewId="0">
      <selection activeCell="E24" sqref="E24"/>
    </sheetView>
  </sheetViews>
  <sheetFormatPr baseColWidth="10" defaultColWidth="11.42578125" defaultRowHeight="15" x14ac:dyDescent="0.25"/>
  <cols>
    <col min="3" max="3" width="64.42578125" customWidth="1"/>
    <col min="4" max="4" width="32.7109375" customWidth="1"/>
    <col min="5" max="5" width="31.7109375" customWidth="1"/>
    <col min="6" max="6" width="25.42578125" customWidth="1"/>
    <col min="7" max="7" width="31.85546875" customWidth="1"/>
    <col min="8" max="8" width="24.140625" customWidth="1"/>
  </cols>
  <sheetData>
    <row r="1" spans="2:8" ht="67.5" customHeight="1" x14ac:dyDescent="0.25">
      <c r="B1" s="581" t="s">
        <v>1682</v>
      </c>
      <c r="C1" s="581"/>
      <c r="D1" s="581"/>
      <c r="E1" s="581"/>
      <c r="F1" s="581"/>
      <c r="G1" s="581"/>
      <c r="H1" s="581"/>
    </row>
    <row r="2" spans="2:8" ht="15.75" x14ac:dyDescent="0.25">
      <c r="B2" s="93" t="s">
        <v>1375</v>
      </c>
      <c r="C2" s="92" t="s">
        <v>1357</v>
      </c>
      <c r="D2" s="93" t="s">
        <v>1497</v>
      </c>
      <c r="E2" s="93" t="s">
        <v>1495</v>
      </c>
      <c r="F2" s="92" t="s">
        <v>1511</v>
      </c>
      <c r="G2" s="93" t="s">
        <v>1496</v>
      </c>
      <c r="H2" s="92" t="s">
        <v>1510</v>
      </c>
    </row>
    <row r="3" spans="2:8" x14ac:dyDescent="0.25">
      <c r="B3" s="94">
        <v>1</v>
      </c>
      <c r="C3" s="384" t="s">
        <v>1622</v>
      </c>
      <c r="D3" s="369">
        <f>PROGRAMAS!D3</f>
        <v>275100369403.52002</v>
      </c>
      <c r="E3" s="369">
        <f>PROGRAMAS!E3</f>
        <v>186630499223.46997</v>
      </c>
      <c r="F3" s="374">
        <f t="shared" ref="F3:F7" si="0">E3/D3</f>
        <v>0.67840875542307422</v>
      </c>
      <c r="G3" s="369">
        <f>PROGRAMAS!G3</f>
        <v>171303709021.75998</v>
      </c>
      <c r="H3" s="253">
        <f>G3/E3</f>
        <v>0.91787628353628414</v>
      </c>
    </row>
    <row r="4" spans="2:8" x14ac:dyDescent="0.25">
      <c r="B4" s="94">
        <v>2</v>
      </c>
      <c r="C4" s="95" t="s">
        <v>1629</v>
      </c>
      <c r="D4" s="369">
        <f>PROGRAMAS!D22</f>
        <v>5779941822.2399998</v>
      </c>
      <c r="E4" s="369">
        <f>PROGRAMAS!E22</f>
        <v>3654330639</v>
      </c>
      <c r="F4" s="374">
        <f t="shared" si="0"/>
        <v>0.63224349853123174</v>
      </c>
      <c r="G4" s="369">
        <f>PROGRAMAS!G22</f>
        <v>1539630363</v>
      </c>
      <c r="H4" s="253">
        <f t="shared" ref="H4:H6" si="1">G4/E4</f>
        <v>0.42131665552335368</v>
      </c>
    </row>
    <row r="5" spans="2:8" x14ac:dyDescent="0.25">
      <c r="B5" s="94">
        <v>3</v>
      </c>
      <c r="C5" s="375" t="s">
        <v>1624</v>
      </c>
      <c r="D5" s="369">
        <f>PROGRAMAS!D35</f>
        <v>13095806049.780001</v>
      </c>
      <c r="E5" s="369">
        <f>PROGRAMAS!E35</f>
        <v>4563540083.4700003</v>
      </c>
      <c r="F5" s="374">
        <f t="shared" si="0"/>
        <v>0.34847340179924735</v>
      </c>
      <c r="G5" s="369">
        <f>PROGRAMAS!G35</f>
        <v>3069121969.1900001</v>
      </c>
      <c r="H5" s="253">
        <f t="shared" si="1"/>
        <v>0.67253095470924784</v>
      </c>
    </row>
    <row r="6" spans="2:8" x14ac:dyDescent="0.25">
      <c r="B6" s="94">
        <v>4</v>
      </c>
      <c r="C6" s="384" t="s">
        <v>1620</v>
      </c>
      <c r="D6" s="369">
        <f>PROGRAMAS!D45</f>
        <v>6898207423.8400002</v>
      </c>
      <c r="E6" s="369">
        <f>PROGRAMAS!E45</f>
        <v>4695567225.6599998</v>
      </c>
      <c r="F6" s="374">
        <f t="shared" si="0"/>
        <v>0.68069382915803012</v>
      </c>
      <c r="G6" s="369">
        <f>PROGRAMAS!G45</f>
        <v>2813878707.4200001</v>
      </c>
      <c r="H6" s="253">
        <f t="shared" si="1"/>
        <v>0.59926278811277944</v>
      </c>
    </row>
    <row r="7" spans="2:8" ht="15.75" x14ac:dyDescent="0.25">
      <c r="B7" s="90"/>
      <c r="C7" s="29" t="s">
        <v>1379</v>
      </c>
      <c r="D7" s="170">
        <f>SUM(D3:D6)</f>
        <v>300874324699.38007</v>
      </c>
      <c r="E7" s="170">
        <f>SUM(E3:E6)</f>
        <v>199543937171.59998</v>
      </c>
      <c r="F7" s="251">
        <f t="shared" si="0"/>
        <v>0.6632135772002985</v>
      </c>
      <c r="G7" s="170">
        <f>SUM(G3:G6)</f>
        <v>178726340061.37</v>
      </c>
      <c r="H7" s="169">
        <f>G7/E7</f>
        <v>0.89567411866626812</v>
      </c>
    </row>
    <row r="14" spans="2:8" ht="57" customHeight="1" x14ac:dyDescent="0.25">
      <c r="B14" s="581" t="s">
        <v>1683</v>
      </c>
      <c r="C14" s="581"/>
      <c r="D14" s="581"/>
      <c r="E14" s="581"/>
      <c r="F14" s="581"/>
      <c r="G14" s="581"/>
      <c r="H14" s="581"/>
    </row>
    <row r="15" spans="2:8" ht="15.75" x14ac:dyDescent="0.25">
      <c r="B15" s="93" t="s">
        <v>1375</v>
      </c>
      <c r="C15" s="92" t="s">
        <v>1357</v>
      </c>
      <c r="D15" s="93" t="s">
        <v>1497</v>
      </c>
      <c r="E15" s="93" t="s">
        <v>1495</v>
      </c>
      <c r="F15" s="92" t="s">
        <v>1511</v>
      </c>
      <c r="G15" s="93" t="s">
        <v>1496</v>
      </c>
      <c r="H15" s="92" t="s">
        <v>1510</v>
      </c>
    </row>
    <row r="16" spans="2:8" x14ac:dyDescent="0.25">
      <c r="B16" s="94">
        <v>1</v>
      </c>
      <c r="C16" s="384" t="s">
        <v>1696</v>
      </c>
      <c r="D16" s="369">
        <f>PROGRAMAS!D52</f>
        <v>13742371092.879999</v>
      </c>
      <c r="E16" s="369">
        <f>PROGRAMAS!E52</f>
        <v>3931598344.7059999</v>
      </c>
      <c r="F16" s="374">
        <f t="shared" ref="F16:F18" si="2">E16/D16</f>
        <v>0.28609315802445356</v>
      </c>
      <c r="G16" s="369">
        <f>PROGRAMAS!G52</f>
        <v>2761798144.7600002</v>
      </c>
      <c r="H16" s="253">
        <f t="shared" ref="H16:H17" si="3">G16/E16</f>
        <v>0.70246192581671874</v>
      </c>
    </row>
    <row r="17" spans="2:8" x14ac:dyDescent="0.25">
      <c r="B17" s="94">
        <v>3</v>
      </c>
      <c r="C17" s="95" t="s">
        <v>1624</v>
      </c>
      <c r="D17" s="369">
        <f>PROGRAMAS!D56</f>
        <v>1668023393.23</v>
      </c>
      <c r="E17" s="369">
        <f>PROGRAMAS!E56</f>
        <v>902827344.50605011</v>
      </c>
      <c r="F17" s="374">
        <f t="shared" si="2"/>
        <v>0.54125580502668724</v>
      </c>
      <c r="G17" s="369">
        <f>PROGRAMAS!G56</f>
        <v>530670815.84600002</v>
      </c>
      <c r="H17" s="253">
        <f t="shared" si="3"/>
        <v>0.58778770833125094</v>
      </c>
    </row>
    <row r="18" spans="2:8" ht="15.75" x14ac:dyDescent="0.25">
      <c r="B18" s="90"/>
      <c r="C18" s="29" t="s">
        <v>1379</v>
      </c>
      <c r="D18" s="170">
        <f>SUM(D16:D17)</f>
        <v>15410394486.109999</v>
      </c>
      <c r="E18" s="170">
        <f>SUM(E16:E17)</f>
        <v>4834425689.2120495</v>
      </c>
      <c r="F18" s="251">
        <f t="shared" si="2"/>
        <v>0.31371200092051565</v>
      </c>
      <c r="G18" s="170">
        <f>SUM(G16:G17)</f>
        <v>3292468960.6060004</v>
      </c>
      <c r="H18" s="169">
        <f>G18/E18</f>
        <v>0.68104655490994448</v>
      </c>
    </row>
    <row r="30" spans="2:8" ht="60.75" customHeight="1" x14ac:dyDescent="0.25">
      <c r="B30" s="581" t="s">
        <v>1684</v>
      </c>
      <c r="C30" s="581"/>
      <c r="D30" s="581"/>
      <c r="E30" s="581"/>
      <c r="F30" s="581"/>
      <c r="G30" s="581"/>
      <c r="H30" s="581"/>
    </row>
    <row r="31" spans="2:8" ht="15.75" x14ac:dyDescent="0.25">
      <c r="B31" s="93" t="s">
        <v>1375</v>
      </c>
      <c r="C31" s="92" t="s">
        <v>1677</v>
      </c>
      <c r="D31" s="93" t="s">
        <v>1497</v>
      </c>
      <c r="E31" s="93" t="s">
        <v>1495</v>
      </c>
      <c r="F31" s="92" t="s">
        <v>1511</v>
      </c>
      <c r="G31" s="93" t="s">
        <v>1496</v>
      </c>
      <c r="H31" s="92" t="s">
        <v>1510</v>
      </c>
    </row>
    <row r="32" spans="2:8" x14ac:dyDescent="0.25">
      <c r="B32" s="94">
        <v>1</v>
      </c>
      <c r="C32" s="384" t="s">
        <v>1622</v>
      </c>
      <c r="D32" s="369">
        <f>D3+D16</f>
        <v>288842740496.40002</v>
      </c>
      <c r="E32" s="369">
        <f>E3+E16</f>
        <v>190562097568.17596</v>
      </c>
      <c r="F32" s="376">
        <f>E32/D32</f>
        <v>0.65974342038397538</v>
      </c>
      <c r="G32" s="369">
        <f>G3+G16</f>
        <v>174065507166.51999</v>
      </c>
      <c r="H32" s="253">
        <f>G32/E32</f>
        <v>0.91343194364370328</v>
      </c>
    </row>
    <row r="33" spans="2:8" x14ac:dyDescent="0.25">
      <c r="B33" s="94">
        <v>2</v>
      </c>
      <c r="C33" s="95" t="s">
        <v>1629</v>
      </c>
      <c r="D33" s="369">
        <f>D4</f>
        <v>5779941822.2399998</v>
      </c>
      <c r="E33" s="369">
        <f>E4</f>
        <v>3654330639</v>
      </c>
      <c r="F33" s="374">
        <f t="shared" ref="F33" si="4">E33/D33</f>
        <v>0.63224349853123174</v>
      </c>
      <c r="G33" s="369">
        <f>G4</f>
        <v>1539630363</v>
      </c>
      <c r="H33" s="253">
        <f t="shared" ref="H33:H35" si="5">G33/E33</f>
        <v>0.42131665552335368</v>
      </c>
    </row>
    <row r="34" spans="2:8" x14ac:dyDescent="0.25">
      <c r="B34" s="94">
        <v>3</v>
      </c>
      <c r="C34" s="95" t="s">
        <v>1624</v>
      </c>
      <c r="D34" s="369">
        <f>D5+D17</f>
        <v>14763829443.01</v>
      </c>
      <c r="E34" s="369">
        <f>E5+E17</f>
        <v>5466367427.9760504</v>
      </c>
      <c r="F34" s="374">
        <f t="shared" ref="F34" si="6">E34/D34</f>
        <v>0.37025403531494505</v>
      </c>
      <c r="G34" s="369">
        <f>G5+G17</f>
        <v>3599792785.0360003</v>
      </c>
      <c r="H34" s="253">
        <f t="shared" si="5"/>
        <v>0.65853472758029397</v>
      </c>
    </row>
    <row r="35" spans="2:8" x14ac:dyDescent="0.25">
      <c r="B35" s="94">
        <v>4</v>
      </c>
      <c r="C35" s="384" t="s">
        <v>1620</v>
      </c>
      <c r="D35" s="369">
        <f>D6</f>
        <v>6898207423.8400002</v>
      </c>
      <c r="E35" s="369">
        <f>E6</f>
        <v>4695567225.6599998</v>
      </c>
      <c r="F35" s="376">
        <f>E35/D35</f>
        <v>0.68069382915803012</v>
      </c>
      <c r="G35" s="369">
        <f>G6</f>
        <v>2813878707.4200001</v>
      </c>
      <c r="H35" s="253">
        <f t="shared" si="5"/>
        <v>0.59926278811277944</v>
      </c>
    </row>
    <row r="36" spans="2:8" ht="15.75" x14ac:dyDescent="0.25">
      <c r="B36" s="90"/>
      <c r="C36" s="29" t="s">
        <v>1379</v>
      </c>
      <c r="D36" s="170">
        <f>SUM(D32:D35)</f>
        <v>316284719185.49005</v>
      </c>
      <c r="E36" s="170">
        <f>SUM(E32:E35)</f>
        <v>204378362860.81201</v>
      </c>
      <c r="F36" s="252">
        <f>E36/D36</f>
        <v>0.64618475210290249</v>
      </c>
      <c r="G36" s="170">
        <f>SUM(G32:G35)</f>
        <v>182018809021.97601</v>
      </c>
      <c r="H36" s="169">
        <f>G36/E36</f>
        <v>0.89059725537549417</v>
      </c>
    </row>
    <row r="41" spans="2:8" ht="15.75" thickBot="1" x14ac:dyDescent="0.3"/>
    <row r="42" spans="2:8" ht="15.75" x14ac:dyDescent="0.25">
      <c r="B42" s="582" t="s">
        <v>1550</v>
      </c>
      <c r="C42" s="583"/>
    </row>
    <row r="43" spans="2:8" x14ac:dyDescent="0.25">
      <c r="B43" s="584" t="s">
        <v>1551</v>
      </c>
      <c r="C43" s="585"/>
    </row>
    <row r="44" spans="2:8" x14ac:dyDescent="0.25">
      <c r="B44" s="586" t="s">
        <v>1552</v>
      </c>
      <c r="C44" s="587"/>
    </row>
    <row r="45" spans="2:8" x14ac:dyDescent="0.25">
      <c r="B45" s="588" t="s">
        <v>1553</v>
      </c>
      <c r="C45" s="589"/>
    </row>
    <row r="46" spans="2:8" x14ac:dyDescent="0.25">
      <c r="B46" s="577" t="s">
        <v>1554</v>
      </c>
      <c r="C46" s="578"/>
    </row>
    <row r="47" spans="2:8" x14ac:dyDescent="0.25">
      <c r="B47" s="579" t="s">
        <v>1555</v>
      </c>
      <c r="C47" s="580"/>
    </row>
  </sheetData>
  <sheetProtection algorithmName="SHA-512" hashValue="OI32I6FQMbVVQbb+e1sHEeiZa4EvO4L5NKhOI1v0qdSdfpwo9TjrAyNG8s5lO4UYutMYpd4eQr9RaFHuP+BygA==" saltValue="iCRxDDnifcaTYdlrBoGaCw==" spinCount="100000" sheet="1" objects="1" scenarios="1"/>
  <mergeCells count="9">
    <mergeCell ref="B46:C46"/>
    <mergeCell ref="B47:C47"/>
    <mergeCell ref="B14:H14"/>
    <mergeCell ref="B30:H30"/>
    <mergeCell ref="B1:H1"/>
    <mergeCell ref="B42:C42"/>
    <mergeCell ref="B43:C43"/>
    <mergeCell ref="B44:C44"/>
    <mergeCell ref="B45:C45"/>
  </mergeCells>
  <conditionalFormatting sqref="F34">
    <cfRule type="cellIs" dxfId="49" priority="16" operator="between">
      <formula>0</formula>
      <formula>0.3999</formula>
    </cfRule>
    <cfRule type="cellIs" dxfId="48" priority="17" operator="between">
      <formula>0.4</formula>
      <formula>0.59</formula>
    </cfRule>
    <cfRule type="cellIs" dxfId="47" priority="18" operator="between">
      <formula>0.6</formula>
      <formula>0.69</formula>
    </cfRule>
    <cfRule type="cellIs" dxfId="46" priority="19" operator="between">
      <formula>0.7</formula>
      <formula>0.79</formula>
    </cfRule>
    <cfRule type="cellIs" dxfId="45" priority="20" operator="between">
      <formula>0.8</formula>
      <formula>1</formula>
    </cfRule>
  </conditionalFormatting>
  <conditionalFormatting sqref="F33">
    <cfRule type="cellIs" dxfId="44" priority="11" operator="between">
      <formula>0</formula>
      <formula>0.3999</formula>
    </cfRule>
    <cfRule type="cellIs" dxfId="43" priority="12" operator="between">
      <formula>0.4</formula>
      <formula>0.59</formula>
    </cfRule>
    <cfRule type="cellIs" dxfId="42" priority="13" operator="between">
      <formula>0.6</formula>
      <formula>0.69</formula>
    </cfRule>
    <cfRule type="cellIs" dxfId="41" priority="14" operator="between">
      <formula>0.7</formula>
      <formula>0.79</formula>
    </cfRule>
    <cfRule type="cellIs" dxfId="40" priority="15" operator="between">
      <formula>0.8</formula>
      <formula>1</formula>
    </cfRule>
  </conditionalFormatting>
  <conditionalFormatting sqref="F16:F18">
    <cfRule type="cellIs" dxfId="39" priority="6" operator="between">
      <formula>0</formula>
      <formula>0.3999</formula>
    </cfRule>
    <cfRule type="cellIs" dxfId="38" priority="7" operator="between">
      <formula>0.4</formula>
      <formula>0.59</formula>
    </cfRule>
    <cfRule type="cellIs" dxfId="37" priority="8" operator="between">
      <formula>0.6</formula>
      <formula>0.69</formula>
    </cfRule>
    <cfRule type="cellIs" dxfId="36" priority="9" operator="between">
      <formula>0.7</formula>
      <formula>0.79</formula>
    </cfRule>
    <cfRule type="cellIs" dxfId="35" priority="10" operator="between">
      <formula>0.8</formula>
      <formula>1</formula>
    </cfRule>
  </conditionalFormatting>
  <conditionalFormatting sqref="F3:F7">
    <cfRule type="cellIs" dxfId="34" priority="1" operator="between">
      <formula>0</formula>
      <formula>0.3999</formula>
    </cfRule>
    <cfRule type="cellIs" dxfId="33" priority="2" operator="between">
      <formula>0.4</formula>
      <formula>0.59</formula>
    </cfRule>
    <cfRule type="cellIs" dxfId="32" priority="3" operator="between">
      <formula>0.6</formula>
      <formula>0.69</formula>
    </cfRule>
    <cfRule type="cellIs" dxfId="31" priority="4" operator="between">
      <formula>0.7</formula>
      <formula>0.79</formula>
    </cfRule>
    <cfRule type="cellIs" dxfId="30" priority="5" operator="between">
      <formula>0.8</formula>
      <formula>1</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168"/>
  <sheetViews>
    <sheetView showGridLines="0" zoomScale="70" zoomScaleNormal="70" workbookViewId="0">
      <selection activeCell="C4" sqref="C4:BQ4"/>
    </sheetView>
  </sheetViews>
  <sheetFormatPr baseColWidth="10" defaultColWidth="11.42578125" defaultRowHeight="15" x14ac:dyDescent="0.2"/>
  <cols>
    <col min="1" max="1" width="20.5703125" style="7" customWidth="1"/>
    <col min="2" max="2" width="70.7109375" style="7" customWidth="1"/>
    <col min="3" max="3" width="25.7109375" style="123" customWidth="1"/>
    <col min="4" max="4" width="28.140625" style="7" customWidth="1"/>
    <col min="5" max="5" width="23.85546875" style="7" customWidth="1"/>
    <col min="6" max="6" width="29.140625" style="7" customWidth="1"/>
    <col min="7" max="7" width="22.85546875" style="7" customWidth="1"/>
    <col min="8" max="16384" width="11.42578125" style="7"/>
  </cols>
  <sheetData>
    <row r="1" spans="1:7" ht="42" customHeight="1" thickBot="1" x14ac:dyDescent="0.25">
      <c r="A1" s="597" t="s">
        <v>1685</v>
      </c>
      <c r="B1" s="598"/>
      <c r="C1" s="598"/>
      <c r="D1" s="598"/>
      <c r="E1" s="598"/>
      <c r="F1" s="598"/>
      <c r="G1" s="599"/>
    </row>
    <row r="2" spans="1:7" s="198" customFormat="1" ht="24" customHeight="1" x14ac:dyDescent="0.25">
      <c r="A2" s="590" t="s">
        <v>23</v>
      </c>
      <c r="B2" s="592" t="s">
        <v>24</v>
      </c>
      <c r="C2" s="594" t="s">
        <v>1380</v>
      </c>
      <c r="D2" s="595"/>
      <c r="E2" s="595"/>
      <c r="F2" s="595"/>
      <c r="G2" s="596"/>
    </row>
    <row r="3" spans="1:7" s="198" customFormat="1" ht="24" customHeight="1" thickBot="1" x14ac:dyDescent="0.3">
      <c r="A3" s="591"/>
      <c r="B3" s="593"/>
      <c r="C3" s="173" t="s">
        <v>1497</v>
      </c>
      <c r="D3" s="173" t="s">
        <v>1495</v>
      </c>
      <c r="E3" s="178" t="s">
        <v>1514</v>
      </c>
      <c r="F3" s="173" t="s">
        <v>1496</v>
      </c>
      <c r="G3" s="173" t="s">
        <v>1512</v>
      </c>
    </row>
    <row r="4" spans="1:7" ht="20.100000000000001" customHeight="1" thickBot="1" x14ac:dyDescent="0.25">
      <c r="A4" s="608" t="s">
        <v>36</v>
      </c>
      <c r="B4" s="609"/>
      <c r="C4" s="119">
        <f>SUM(C5:C8)</f>
        <v>476000000</v>
      </c>
      <c r="D4" s="119">
        <f t="shared" ref="D4:F4" si="0">SUM(D5:D8)</f>
        <v>161799675</v>
      </c>
      <c r="E4" s="174">
        <f>D4/C4</f>
        <v>0.33991528361344536</v>
      </c>
      <c r="F4" s="119">
        <f t="shared" si="0"/>
        <v>81107166.329999998</v>
      </c>
      <c r="G4" s="174">
        <f>F4/D4</f>
        <v>0.5012813921288779</v>
      </c>
    </row>
    <row r="5" spans="1:7" ht="90" customHeight="1" thickBot="1" x14ac:dyDescent="0.25">
      <c r="A5" s="106" t="s">
        <v>46</v>
      </c>
      <c r="B5" s="113" t="s">
        <v>1381</v>
      </c>
      <c r="C5" s="120">
        <f>'SGTO POAI -SEPTIEMBRE-2021'!BP8</f>
        <v>179885000</v>
      </c>
      <c r="D5" s="120">
        <f>'SGTO POAI -SEPTIEMBRE-2021'!BQ8</f>
        <v>39640000</v>
      </c>
      <c r="E5" s="175">
        <f>D5/C5</f>
        <v>0.22036300970064207</v>
      </c>
      <c r="F5" s="120">
        <f>'SGTO POAI -SEPTIEMBRE-2021'!BR8</f>
        <v>32140000</v>
      </c>
      <c r="G5" s="175">
        <f>F5/D5</f>
        <v>0.81079717457114031</v>
      </c>
    </row>
    <row r="6" spans="1:7" ht="90" customHeight="1" thickBot="1" x14ac:dyDescent="0.25">
      <c r="A6" s="106" t="s">
        <v>52</v>
      </c>
      <c r="B6" s="113" t="s">
        <v>53</v>
      </c>
      <c r="C6" s="120">
        <f>'SGTO POAI -SEPTIEMBRE-2021'!BP9</f>
        <v>163650000</v>
      </c>
      <c r="D6" s="120">
        <f>'SGTO POAI -SEPTIEMBRE-2021'!BQ9</f>
        <v>49100000</v>
      </c>
      <c r="E6" s="175">
        <f t="shared" ref="E6:E69" si="1">D6/C6</f>
        <v>0.30003055300947146</v>
      </c>
      <c r="F6" s="120">
        <f>'SGTO POAI -SEPTIEMBRE-2021'!BR9</f>
        <v>24060000</v>
      </c>
      <c r="G6" s="175">
        <f t="shared" ref="G6:G8" si="2">F6/D6</f>
        <v>0.49002036659877801</v>
      </c>
    </row>
    <row r="7" spans="1:7" ht="90" customHeight="1" thickBot="1" x14ac:dyDescent="0.25">
      <c r="A7" s="107" t="s">
        <v>58</v>
      </c>
      <c r="B7" s="113" t="s">
        <v>1382</v>
      </c>
      <c r="C7" s="120">
        <f>'SGTO POAI -SEPTIEMBRE-2021'!BP10</f>
        <v>50000000</v>
      </c>
      <c r="D7" s="120">
        <f>'SGTO POAI -SEPTIEMBRE-2021'!BQ10</f>
        <v>36997508</v>
      </c>
      <c r="E7" s="175">
        <f t="shared" si="1"/>
        <v>0.73995016000000002</v>
      </c>
      <c r="F7" s="120">
        <f>'SGTO POAI -SEPTIEMBRE-2021'!BR10</f>
        <v>0</v>
      </c>
      <c r="G7" s="175">
        <v>0</v>
      </c>
    </row>
    <row r="8" spans="1:7" ht="90" customHeight="1" thickBot="1" x14ac:dyDescent="0.25">
      <c r="A8" s="108" t="s">
        <v>66</v>
      </c>
      <c r="B8" s="113" t="s">
        <v>67</v>
      </c>
      <c r="C8" s="120">
        <f>'SGTO POAI -SEPTIEMBRE-2021'!BP11</f>
        <v>82465000</v>
      </c>
      <c r="D8" s="120">
        <f>'SGTO POAI -SEPTIEMBRE-2021'!BQ11</f>
        <v>36062167</v>
      </c>
      <c r="E8" s="175">
        <f t="shared" si="1"/>
        <v>0.43730269811435152</v>
      </c>
      <c r="F8" s="120">
        <f>'SGTO POAI -SEPTIEMBRE-2021'!BR11</f>
        <v>24907166.329999998</v>
      </c>
      <c r="G8" s="175">
        <f t="shared" si="2"/>
        <v>0.69067303498428145</v>
      </c>
    </row>
    <row r="9" spans="1:7" ht="16.5" thickBot="1" x14ac:dyDescent="0.25">
      <c r="A9" s="604" t="s">
        <v>69</v>
      </c>
      <c r="B9" s="605"/>
      <c r="C9" s="119">
        <f>SUM(C10:C16)</f>
        <v>986333529</v>
      </c>
      <c r="D9" s="119">
        <f t="shared" ref="D9:F9" si="3">SUM(D10:D16)</f>
        <v>687842685</v>
      </c>
      <c r="E9" s="174">
        <f>D9/C9</f>
        <v>0.69737331721590501</v>
      </c>
      <c r="F9" s="119">
        <f t="shared" si="3"/>
        <v>424005000</v>
      </c>
      <c r="G9" s="174">
        <f>F9/D9</f>
        <v>0.61642728671309488</v>
      </c>
    </row>
    <row r="10" spans="1:7" ht="90" customHeight="1" thickBot="1" x14ac:dyDescent="0.25">
      <c r="A10" s="108" t="s">
        <v>75</v>
      </c>
      <c r="B10" s="113" t="s">
        <v>1383</v>
      </c>
      <c r="C10" s="120">
        <f>'SGTO POAI -SEPTIEMBRE-2021'!BP12</f>
        <v>143333529</v>
      </c>
      <c r="D10" s="120">
        <f>'SGTO POAI -SEPTIEMBRE-2021'!BQ12</f>
        <v>45000000</v>
      </c>
      <c r="E10" s="175">
        <f t="shared" si="1"/>
        <v>0.31395305978966026</v>
      </c>
      <c r="F10" s="120">
        <f>'SGTO POAI -SEPTIEMBRE-2021'!BR12</f>
        <v>0</v>
      </c>
      <c r="G10" s="175">
        <v>0</v>
      </c>
    </row>
    <row r="11" spans="1:7" ht="90" customHeight="1" thickBot="1" x14ac:dyDescent="0.25">
      <c r="A11" s="108" t="s">
        <v>80</v>
      </c>
      <c r="B11" s="113" t="s">
        <v>1384</v>
      </c>
      <c r="C11" s="120">
        <f>'SGTO POAI -SEPTIEMBRE-2021'!BP13</f>
        <v>35000000</v>
      </c>
      <c r="D11" s="120">
        <f>'SGTO POAI -SEPTIEMBRE-2021'!BQ13</f>
        <v>8655000</v>
      </c>
      <c r="E11" s="175">
        <f t="shared" si="1"/>
        <v>0.24728571428571428</v>
      </c>
      <c r="F11" s="120">
        <f>'SGTO POAI -SEPTIEMBRE-2021'!BR13</f>
        <v>8655000</v>
      </c>
      <c r="G11" s="175">
        <f t="shared" ref="G11:G16" si="4">F11/D11</f>
        <v>1</v>
      </c>
    </row>
    <row r="12" spans="1:7" ht="90" customHeight="1" thickBot="1" x14ac:dyDescent="0.25">
      <c r="A12" s="108" t="s">
        <v>87</v>
      </c>
      <c r="B12" s="113" t="s">
        <v>1385</v>
      </c>
      <c r="C12" s="120">
        <f>'SGTO POAI -SEPTIEMBRE-2021'!BP14</f>
        <v>222682500</v>
      </c>
      <c r="D12" s="120">
        <f>'SGTO POAI -SEPTIEMBRE-2021'!BQ14</f>
        <v>161964185</v>
      </c>
      <c r="E12" s="175">
        <f t="shared" si="1"/>
        <v>0.72733234537963243</v>
      </c>
      <c r="F12" s="120">
        <f>'SGTO POAI -SEPTIEMBRE-2021'!BR14</f>
        <v>64075000</v>
      </c>
      <c r="G12" s="175">
        <f t="shared" si="4"/>
        <v>0.39561215339057831</v>
      </c>
    </row>
    <row r="13" spans="1:7" ht="90" customHeight="1" thickBot="1" x14ac:dyDescent="0.25">
      <c r="A13" s="108" t="s">
        <v>94</v>
      </c>
      <c r="B13" s="113" t="s">
        <v>1386</v>
      </c>
      <c r="C13" s="120">
        <f>'SGTO POAI -SEPTIEMBRE-2021'!BP15</f>
        <v>52000000</v>
      </c>
      <c r="D13" s="120">
        <f>'SGTO POAI -SEPTIEMBRE-2021'!BQ15</f>
        <v>40390000</v>
      </c>
      <c r="E13" s="175">
        <f t="shared" si="1"/>
        <v>0.77673076923076922</v>
      </c>
      <c r="F13" s="120">
        <f>'SGTO POAI -SEPTIEMBRE-2021'!BR15</f>
        <v>34620000</v>
      </c>
      <c r="G13" s="175">
        <f t="shared" si="4"/>
        <v>0.8571428571428571</v>
      </c>
    </row>
    <row r="14" spans="1:7" ht="90" customHeight="1" thickBot="1" x14ac:dyDescent="0.25">
      <c r="A14" s="108" t="s">
        <v>98</v>
      </c>
      <c r="B14" s="113" t="s">
        <v>1387</v>
      </c>
      <c r="C14" s="120">
        <f>'SGTO POAI -SEPTIEMBRE-2021'!BP16</f>
        <v>295900000</v>
      </c>
      <c r="D14" s="120">
        <f>'SGTO POAI -SEPTIEMBRE-2021'!BQ16</f>
        <v>250708500</v>
      </c>
      <c r="E14" s="175">
        <f t="shared" si="1"/>
        <v>0.84727441703278139</v>
      </c>
      <c r="F14" s="120">
        <f>'SGTO POAI -SEPTIEMBRE-2021'!BR16</f>
        <v>183630000</v>
      </c>
      <c r="G14" s="175">
        <f t="shared" si="4"/>
        <v>0.73244425298703475</v>
      </c>
    </row>
    <row r="15" spans="1:7" ht="90" customHeight="1" thickBot="1" x14ac:dyDescent="0.25">
      <c r="A15" s="108" t="s">
        <v>106</v>
      </c>
      <c r="B15" s="113" t="s">
        <v>1388</v>
      </c>
      <c r="C15" s="120">
        <f>'SGTO POAI -SEPTIEMBRE-2021'!BP17+'SGTO POAI -SEPTIEMBRE-2021'!BP18+'SGTO POAI -SEPTIEMBRE-2021'!BP19+'SGTO POAI -SEPTIEMBRE-2021'!BP20+'SGTO POAI -SEPTIEMBRE-2021'!BP21+'SGTO POAI -SEPTIEMBRE-2021'!BP22</f>
        <v>165417500</v>
      </c>
      <c r="D15" s="120">
        <f>'SGTO POAI -SEPTIEMBRE-2021'!BQ17+'SGTO POAI -SEPTIEMBRE-2021'!BQ18+'SGTO POAI -SEPTIEMBRE-2021'!BQ19+'SGTO POAI -SEPTIEMBRE-2021'!BQ20+'SGTO POAI -SEPTIEMBRE-2021'!BQ21+'SGTO POAI -SEPTIEMBRE-2021'!BQ22</f>
        <v>116665000</v>
      </c>
      <c r="E15" s="175">
        <f t="shared" si="1"/>
        <v>0.7052760439494008</v>
      </c>
      <c r="F15" s="120">
        <f>'SGTO POAI -SEPTIEMBRE-2021'!BR17+'SGTO POAI -SEPTIEMBRE-2021'!BR18+'SGTO POAI -SEPTIEMBRE-2021'!BR19+'SGTO POAI -SEPTIEMBRE-2021'!BR20+'SGTO POAI -SEPTIEMBRE-2021'!BR21+'SGTO POAI -SEPTIEMBRE-2021'!BR22</f>
        <v>90125000</v>
      </c>
      <c r="G15" s="175">
        <f t="shared" si="4"/>
        <v>0.77251103587194103</v>
      </c>
    </row>
    <row r="16" spans="1:7" ht="90" customHeight="1" thickBot="1" x14ac:dyDescent="0.25">
      <c r="A16" s="107" t="s">
        <v>118</v>
      </c>
      <c r="B16" s="113" t="s">
        <v>1389</v>
      </c>
      <c r="C16" s="120">
        <f>'SGTO POAI -SEPTIEMBRE-2021'!BP23</f>
        <v>72000000</v>
      </c>
      <c r="D16" s="120">
        <f>'SGTO POAI -SEPTIEMBRE-2021'!BQ23</f>
        <v>64460000</v>
      </c>
      <c r="E16" s="175">
        <f t="shared" si="1"/>
        <v>0.89527777777777773</v>
      </c>
      <c r="F16" s="120">
        <f>'SGTO POAI -SEPTIEMBRE-2021'!BR23</f>
        <v>42900000</v>
      </c>
      <c r="G16" s="175">
        <f t="shared" si="4"/>
        <v>0.66552901023890787</v>
      </c>
    </row>
    <row r="17" spans="1:7" ht="20.100000000000001" customHeight="1" thickBot="1" x14ac:dyDescent="0.25">
      <c r="A17" s="604" t="s">
        <v>121</v>
      </c>
      <c r="B17" s="605"/>
      <c r="C17" s="119">
        <f>SUM(C18:C19)</f>
        <v>2927625342.8400002</v>
      </c>
      <c r="D17" s="119">
        <f t="shared" ref="D17:F17" si="5">SUM(D18:D19)</f>
        <v>2083805502</v>
      </c>
      <c r="E17" s="174">
        <f>D17/C17</f>
        <v>0.71177328311366639</v>
      </c>
      <c r="F17" s="119">
        <f t="shared" si="5"/>
        <v>1164627547.0900002</v>
      </c>
      <c r="G17" s="174">
        <f>F17/D17</f>
        <v>0.55889455420489631</v>
      </c>
    </row>
    <row r="18" spans="1:7" ht="90" customHeight="1" thickBot="1" x14ac:dyDescent="0.25">
      <c r="A18" s="108" t="s">
        <v>126</v>
      </c>
      <c r="B18" s="114" t="s">
        <v>127</v>
      </c>
      <c r="C18" s="120">
        <f>'SGTO POAI -SEPTIEMBRE-2021'!BP24</f>
        <v>2569625342.8400002</v>
      </c>
      <c r="D18" s="120">
        <f>'SGTO POAI -SEPTIEMBRE-2021'!BQ24</f>
        <v>1825933503</v>
      </c>
      <c r="E18" s="175">
        <f t="shared" si="1"/>
        <v>0.71058355183481436</v>
      </c>
      <c r="F18" s="120">
        <f>'SGTO POAI -SEPTIEMBRE-2021'!BR24</f>
        <v>987917547.09000003</v>
      </c>
      <c r="G18" s="175">
        <f>F18/D18</f>
        <v>0.54104793272419627</v>
      </c>
    </row>
    <row r="19" spans="1:7" ht="90" customHeight="1" thickBot="1" x14ac:dyDescent="0.25">
      <c r="A19" s="108" t="s">
        <v>132</v>
      </c>
      <c r="B19" s="114" t="s">
        <v>1390</v>
      </c>
      <c r="C19" s="120">
        <f>'SGTO POAI -SEPTIEMBRE-2021'!BP25</f>
        <v>358000000</v>
      </c>
      <c r="D19" s="120">
        <f>'SGTO POAI -SEPTIEMBRE-2021'!BQ25</f>
        <v>257871999</v>
      </c>
      <c r="E19" s="175">
        <f t="shared" si="1"/>
        <v>0.72031284636871507</v>
      </c>
      <c r="F19" s="120">
        <f>'SGTO POAI -SEPTIEMBRE-2021'!BR25</f>
        <v>176710000</v>
      </c>
      <c r="G19" s="175">
        <f t="shared" ref="G19" si="6">F19/D19</f>
        <v>0.68526245844939526</v>
      </c>
    </row>
    <row r="20" spans="1:7" ht="20.100000000000001" customHeight="1" thickBot="1" x14ac:dyDescent="0.25">
      <c r="A20" s="604" t="s">
        <v>135</v>
      </c>
      <c r="B20" s="605"/>
      <c r="C20" s="119">
        <f>SUM(C21:C33)</f>
        <v>15986154634.140001</v>
      </c>
      <c r="D20" s="119">
        <f t="shared" ref="D20:F20" si="7">SUM(D21:D33)</f>
        <v>4609696684.3800001</v>
      </c>
      <c r="E20" s="174">
        <f>D20/C20</f>
        <v>0.2883555670439682</v>
      </c>
      <c r="F20" s="119">
        <f t="shared" si="7"/>
        <v>3125538394.1900001</v>
      </c>
      <c r="G20" s="174">
        <f>F20/D20</f>
        <v>0.67803558632847061</v>
      </c>
    </row>
    <row r="21" spans="1:7" ht="90" customHeight="1" thickBot="1" x14ac:dyDescent="0.25">
      <c r="A21" s="106" t="s">
        <v>144</v>
      </c>
      <c r="B21" s="115" t="s">
        <v>1391</v>
      </c>
      <c r="C21" s="120">
        <f>'SGTO POAI -SEPTIEMBRE-2021'!BP26</f>
        <v>24750000</v>
      </c>
      <c r="D21" s="120">
        <f>'SGTO POAI -SEPTIEMBRE-2021'!BQ26</f>
        <v>3932000</v>
      </c>
      <c r="E21" s="175">
        <f t="shared" si="1"/>
        <v>0.15886868686868688</v>
      </c>
      <c r="F21" s="120">
        <f>'SGTO POAI -SEPTIEMBRE-2021'!BR26</f>
        <v>3932000</v>
      </c>
      <c r="G21" s="175">
        <f>F21/D21</f>
        <v>1</v>
      </c>
    </row>
    <row r="22" spans="1:7" ht="90" customHeight="1" thickBot="1" x14ac:dyDescent="0.25">
      <c r="A22" s="106" t="s">
        <v>153</v>
      </c>
      <c r="B22" s="113" t="s">
        <v>1392</v>
      </c>
      <c r="C22" s="120">
        <f>'SGTO POAI -SEPTIEMBRE-2021'!BP27</f>
        <v>96746979</v>
      </c>
      <c r="D22" s="120">
        <f>'SGTO POAI -SEPTIEMBRE-2021'!BQ27</f>
        <v>3100000</v>
      </c>
      <c r="E22" s="175">
        <f t="shared" si="1"/>
        <v>3.2042344185238075E-2</v>
      </c>
      <c r="F22" s="120">
        <f>'SGTO POAI -SEPTIEMBRE-2021'!BR27</f>
        <v>2100000</v>
      </c>
      <c r="G22" s="175">
        <f t="shared" ref="G22:G32" si="8">F22/D22</f>
        <v>0.67741935483870963</v>
      </c>
    </row>
    <row r="23" spans="1:7" ht="90" customHeight="1" thickBot="1" x14ac:dyDescent="0.25">
      <c r="A23" s="108" t="s">
        <v>163</v>
      </c>
      <c r="B23" s="113" t="s">
        <v>1393</v>
      </c>
      <c r="C23" s="120">
        <f>'SGTO POAI -SEPTIEMBRE-2021'!BP28</f>
        <v>2083257220</v>
      </c>
      <c r="D23" s="120">
        <f>'SGTO POAI -SEPTIEMBRE-2021'!BQ28</f>
        <v>260026500</v>
      </c>
      <c r="E23" s="175">
        <f t="shared" si="1"/>
        <v>0.12481728012443898</v>
      </c>
      <c r="F23" s="120">
        <f>'SGTO POAI -SEPTIEMBRE-2021'!BR28</f>
        <v>239901500</v>
      </c>
      <c r="G23" s="175">
        <f t="shared" si="8"/>
        <v>0.92260404228030601</v>
      </c>
    </row>
    <row r="24" spans="1:7" ht="90" customHeight="1" thickBot="1" x14ac:dyDescent="0.25">
      <c r="A24" s="108" t="s">
        <v>173</v>
      </c>
      <c r="B24" s="113" t="s">
        <v>174</v>
      </c>
      <c r="C24" s="120">
        <f>'SGTO POAI -SEPTIEMBRE-2021'!BP29</f>
        <v>90000000</v>
      </c>
      <c r="D24" s="120">
        <f>'SGTO POAI -SEPTIEMBRE-2021'!BQ29</f>
        <v>9800000</v>
      </c>
      <c r="E24" s="175">
        <f t="shared" si="1"/>
        <v>0.10888888888888888</v>
      </c>
      <c r="F24" s="120">
        <f>'SGTO POAI -SEPTIEMBRE-2021'!BR29</f>
        <v>9700000</v>
      </c>
      <c r="G24" s="175">
        <f t="shared" si="8"/>
        <v>0.98979591836734693</v>
      </c>
    </row>
    <row r="25" spans="1:7" ht="90" customHeight="1" thickBot="1" x14ac:dyDescent="0.25">
      <c r="A25" s="108" t="s">
        <v>183</v>
      </c>
      <c r="B25" s="113" t="s">
        <v>1394</v>
      </c>
      <c r="C25" s="120">
        <f>'SGTO POAI -SEPTIEMBRE-2021'!BP30</f>
        <v>2885783074.3600001</v>
      </c>
      <c r="D25" s="120">
        <f>'SGTO POAI -SEPTIEMBRE-2021'!BQ30</f>
        <v>553075216.24000001</v>
      </c>
      <c r="E25" s="175">
        <f t="shared" si="1"/>
        <v>0.19165515979147507</v>
      </c>
      <c r="F25" s="120">
        <f>'SGTO POAI -SEPTIEMBRE-2021'!BR30</f>
        <v>262794700</v>
      </c>
      <c r="G25" s="175">
        <f t="shared" si="8"/>
        <v>0.47515182796757893</v>
      </c>
    </row>
    <row r="26" spans="1:7" ht="90" customHeight="1" thickBot="1" x14ac:dyDescent="0.25">
      <c r="A26" s="108" t="s">
        <v>193</v>
      </c>
      <c r="B26" s="113" t="s">
        <v>1395</v>
      </c>
      <c r="C26" s="120">
        <f>'SGTO POAI -SEPTIEMBRE-2021'!BP31+'SGTO POAI -SEPTIEMBRE-2021'!BP32</f>
        <v>4743689004</v>
      </c>
      <c r="D26" s="120">
        <f>'SGTO POAI -SEPTIEMBRE-2021'!BQ31+'SGTO POAI -SEPTIEMBRE-2021'!BQ32</f>
        <v>319261201</v>
      </c>
      <c r="E26" s="175">
        <f t="shared" si="1"/>
        <v>6.7302304331247426E-2</v>
      </c>
      <c r="F26" s="120">
        <f>'SGTO POAI -SEPTIEMBRE-2021'!BR31+'SGTO POAI -SEPTIEMBRE-2021'!BR32</f>
        <v>235745182.34999999</v>
      </c>
      <c r="G26" s="175">
        <f t="shared" si="8"/>
        <v>0.73840849314477142</v>
      </c>
    </row>
    <row r="27" spans="1:7" ht="90" customHeight="1" thickBot="1" x14ac:dyDescent="0.25">
      <c r="A27" s="108" t="s">
        <v>204</v>
      </c>
      <c r="B27" s="113" t="s">
        <v>205</v>
      </c>
      <c r="C27" s="120">
        <f>'SGTO POAI -SEPTIEMBRE-2021'!BP33</f>
        <v>40000000</v>
      </c>
      <c r="D27" s="120">
        <f>'SGTO POAI -SEPTIEMBRE-2021'!BQ33</f>
        <v>9000000</v>
      </c>
      <c r="E27" s="175">
        <f t="shared" si="1"/>
        <v>0.22500000000000001</v>
      </c>
      <c r="F27" s="120">
        <f>'SGTO POAI -SEPTIEMBRE-2021'!BR33</f>
        <v>9000000</v>
      </c>
      <c r="G27" s="175">
        <f t="shared" si="8"/>
        <v>1</v>
      </c>
    </row>
    <row r="28" spans="1:7" ht="90" customHeight="1" thickBot="1" x14ac:dyDescent="0.25">
      <c r="A28" s="108" t="s">
        <v>213</v>
      </c>
      <c r="B28" s="113" t="s">
        <v>1396</v>
      </c>
      <c r="C28" s="120">
        <f>'SGTO POAI -SEPTIEMBRE-2021'!BP34</f>
        <v>1418800000</v>
      </c>
      <c r="D28" s="120">
        <f>'SGTO POAI -SEPTIEMBRE-2021'!BQ34</f>
        <v>56500000</v>
      </c>
      <c r="E28" s="175">
        <f t="shared" si="1"/>
        <v>3.9822385114181E-2</v>
      </c>
      <c r="F28" s="120">
        <f>'SGTO POAI -SEPTIEMBRE-2021'!BR34</f>
        <v>46600000</v>
      </c>
      <c r="G28" s="175">
        <f t="shared" si="8"/>
        <v>0.82477876106194692</v>
      </c>
    </row>
    <row r="29" spans="1:7" ht="90" customHeight="1" thickBot="1" x14ac:dyDescent="0.25">
      <c r="A29" s="108" t="s">
        <v>218</v>
      </c>
      <c r="B29" s="113" t="s">
        <v>1397</v>
      </c>
      <c r="C29" s="120">
        <f>'SGTO POAI -SEPTIEMBRE-2021'!BP35</f>
        <v>844308067</v>
      </c>
      <c r="D29" s="120">
        <f>'SGTO POAI -SEPTIEMBRE-2021'!BQ35</f>
        <v>323935275.47000003</v>
      </c>
      <c r="E29" s="175">
        <f t="shared" si="1"/>
        <v>0.38366952553350414</v>
      </c>
      <c r="F29" s="120">
        <f>'SGTO POAI -SEPTIEMBRE-2021'!BR35</f>
        <v>151545627.84</v>
      </c>
      <c r="G29" s="175">
        <f t="shared" si="8"/>
        <v>0.4678268756624957</v>
      </c>
    </row>
    <row r="30" spans="1:7" ht="90" customHeight="1" thickBot="1" x14ac:dyDescent="0.25">
      <c r="A30" s="108" t="s">
        <v>227</v>
      </c>
      <c r="B30" s="113" t="s">
        <v>228</v>
      </c>
      <c r="C30" s="120">
        <f>'SGTO POAI -SEPTIEMBRE-2021'!BP36</f>
        <v>120000000.09999999</v>
      </c>
      <c r="D30" s="120">
        <f>'SGTO POAI -SEPTIEMBRE-2021'!BQ36</f>
        <v>0</v>
      </c>
      <c r="E30" s="175">
        <f t="shared" si="1"/>
        <v>0</v>
      </c>
      <c r="F30" s="120">
        <f>'SGTO POAI -SEPTIEMBRE-2021'!BR36</f>
        <v>0</v>
      </c>
      <c r="G30" s="175">
        <v>0</v>
      </c>
    </row>
    <row r="31" spans="1:7" ht="90" customHeight="1" thickBot="1" x14ac:dyDescent="0.25">
      <c r="A31" s="106" t="s">
        <v>236</v>
      </c>
      <c r="B31" s="115" t="s">
        <v>237</v>
      </c>
      <c r="C31" s="120">
        <f>'SGTO POAI -SEPTIEMBRE-2021'!BP37+'SGTO POAI -SEPTIEMBRE-2021'!BP38+'SGTO POAI -SEPTIEMBRE-2021'!BP39+'SGTO POAI -SEPTIEMBRE-2021'!BP40+'SGTO POAI -SEPTIEMBRE-2021'!BP41+'SGTO POAI -SEPTIEMBRE-2021'!BP42</f>
        <v>3500159641.6800003</v>
      </c>
      <c r="D31" s="120">
        <f>'SGTO POAI -SEPTIEMBRE-2021'!BQ37+'SGTO POAI -SEPTIEMBRE-2021'!BQ38+'SGTO POAI -SEPTIEMBRE-2021'!BQ39+'SGTO POAI -SEPTIEMBRE-2021'!BQ40+'SGTO POAI -SEPTIEMBRE-2021'!BQ41+'SGTO POAI -SEPTIEMBRE-2021'!BQ42</f>
        <v>3038291337</v>
      </c>
      <c r="E31" s="175">
        <f t="shared" si="1"/>
        <v>0.86804364601543904</v>
      </c>
      <c r="F31" s="120">
        <f>'SGTO POAI -SEPTIEMBRE-2021'!BR37+'SGTO POAI -SEPTIEMBRE-2021'!BR38+'SGTO POAI -SEPTIEMBRE-2021'!BR39+'SGTO POAI -SEPTIEMBRE-2021'!BR40+'SGTO POAI -SEPTIEMBRE-2021'!BR41+'SGTO POAI -SEPTIEMBRE-2021'!BR42</f>
        <v>2162951384</v>
      </c>
      <c r="G31" s="175">
        <v>0</v>
      </c>
    </row>
    <row r="32" spans="1:7" ht="90" customHeight="1" thickBot="1" x14ac:dyDescent="0.25">
      <c r="A32" s="108" t="s">
        <v>254</v>
      </c>
      <c r="B32" s="113" t="s">
        <v>1398</v>
      </c>
      <c r="C32" s="120">
        <f>'SGTO POAI -SEPTIEMBRE-2021'!BP43</f>
        <v>100660648</v>
      </c>
      <c r="D32" s="120">
        <f>'SGTO POAI -SEPTIEMBRE-2021'!BQ43</f>
        <v>1268000</v>
      </c>
      <c r="E32" s="175">
        <f t="shared" si="1"/>
        <v>1.2596779627327652E-2</v>
      </c>
      <c r="F32" s="120">
        <f>'SGTO POAI -SEPTIEMBRE-2021'!BR43</f>
        <v>1268000</v>
      </c>
      <c r="G32" s="175">
        <f t="shared" si="8"/>
        <v>1</v>
      </c>
    </row>
    <row r="33" spans="1:7" ht="90" customHeight="1" thickBot="1" x14ac:dyDescent="0.25">
      <c r="A33" s="108" t="s">
        <v>258</v>
      </c>
      <c r="B33" s="113" t="s">
        <v>259</v>
      </c>
      <c r="C33" s="120">
        <f>'SGTO POAI -SEPTIEMBRE-2021'!BP44</f>
        <v>38000000</v>
      </c>
      <c r="D33" s="120">
        <f>'SGTO POAI -SEPTIEMBRE-2021'!BQ44</f>
        <v>31507154.670000002</v>
      </c>
      <c r="E33" s="175">
        <f t="shared" si="1"/>
        <v>0.8291356492105264</v>
      </c>
      <c r="F33" s="120">
        <f>'SGTO POAI -SEPTIEMBRE-2021'!BR44</f>
        <v>0</v>
      </c>
      <c r="G33" s="175">
        <v>0</v>
      </c>
    </row>
    <row r="34" spans="1:7" ht="20.100000000000001" customHeight="1" thickBot="1" x14ac:dyDescent="0.25">
      <c r="A34" s="604" t="s">
        <v>1399</v>
      </c>
      <c r="B34" s="605"/>
      <c r="C34" s="119">
        <f>SUM(C35:C46)</f>
        <v>6632641520.3299999</v>
      </c>
      <c r="D34" s="119">
        <f t="shared" ref="D34:F34" si="9">SUM(D35:D46)</f>
        <v>2025393287.3299999</v>
      </c>
      <c r="E34" s="179">
        <f t="shared" si="1"/>
        <v>0.30536751927898986</v>
      </c>
      <c r="F34" s="119">
        <f t="shared" si="9"/>
        <v>947271902.30999994</v>
      </c>
      <c r="G34" s="174">
        <f>F34/D34</f>
        <v>0.46769775936146851</v>
      </c>
    </row>
    <row r="35" spans="1:7" ht="90" customHeight="1" thickBot="1" x14ac:dyDescent="0.25">
      <c r="A35" s="108" t="s">
        <v>263</v>
      </c>
      <c r="B35" s="115" t="s">
        <v>1400</v>
      </c>
      <c r="C35" s="120">
        <f>'SGTO POAI -SEPTIEMBRE-2021'!BP45</f>
        <v>149000000</v>
      </c>
      <c r="D35" s="120">
        <f>'SGTO POAI -SEPTIEMBRE-2021'!BQ45</f>
        <v>117985000</v>
      </c>
      <c r="E35" s="175">
        <f t="shared" si="1"/>
        <v>0.79184563758389259</v>
      </c>
      <c r="F35" s="120">
        <f>'SGTO POAI -SEPTIEMBRE-2021'!BR45</f>
        <v>104445000</v>
      </c>
      <c r="G35" s="175">
        <f>F35/D35</f>
        <v>0.8852396491079374</v>
      </c>
    </row>
    <row r="36" spans="1:7" ht="90" customHeight="1" thickBot="1" x14ac:dyDescent="0.25">
      <c r="A36" s="108" t="s">
        <v>268</v>
      </c>
      <c r="B36" s="115" t="s">
        <v>1401</v>
      </c>
      <c r="C36" s="120">
        <f>'SGTO POAI -SEPTIEMBRE-2021'!BP46</f>
        <v>69028401</v>
      </c>
      <c r="D36" s="120">
        <f>'SGTO POAI -SEPTIEMBRE-2021'!BQ46</f>
        <v>46455000</v>
      </c>
      <c r="E36" s="175">
        <f t="shared" si="1"/>
        <v>0.67298386355494455</v>
      </c>
      <c r="F36" s="120">
        <f>'SGTO POAI -SEPTIEMBRE-2021'!BR46</f>
        <v>40415000</v>
      </c>
      <c r="G36" s="175">
        <f t="shared" ref="G36:G46" si="10">F36/D36</f>
        <v>0.8699817027230653</v>
      </c>
    </row>
    <row r="37" spans="1:7" ht="90" customHeight="1" thickBot="1" x14ac:dyDescent="0.25">
      <c r="A37" s="108" t="s">
        <v>274</v>
      </c>
      <c r="B37" s="115" t="s">
        <v>1402</v>
      </c>
      <c r="C37" s="120">
        <f>'SGTO POAI -SEPTIEMBRE-2021'!BP47</f>
        <v>36000000</v>
      </c>
      <c r="D37" s="120">
        <f>'SGTO POAI -SEPTIEMBRE-2021'!BQ47</f>
        <v>10000000</v>
      </c>
      <c r="E37" s="175">
        <f t="shared" si="1"/>
        <v>0.27777777777777779</v>
      </c>
      <c r="F37" s="120">
        <f>'SGTO POAI -SEPTIEMBRE-2021'!BR47</f>
        <v>10000000</v>
      </c>
      <c r="G37" s="175">
        <f t="shared" si="10"/>
        <v>1</v>
      </c>
    </row>
    <row r="38" spans="1:7" ht="90" customHeight="1" thickBot="1" x14ac:dyDescent="0.25">
      <c r="A38" s="108" t="s">
        <v>281</v>
      </c>
      <c r="B38" s="113" t="s">
        <v>1403</v>
      </c>
      <c r="C38" s="120">
        <f>'SGTO POAI -SEPTIEMBRE-2021'!BP48</f>
        <v>124287500</v>
      </c>
      <c r="D38" s="120">
        <f>'SGTO POAI -SEPTIEMBRE-2021'!BQ48</f>
        <v>49302500</v>
      </c>
      <c r="E38" s="175">
        <f t="shared" si="1"/>
        <v>0.39668108216835968</v>
      </c>
      <c r="F38" s="120">
        <f>'SGTO POAI -SEPTIEMBRE-2021'!BR48</f>
        <v>36317500</v>
      </c>
      <c r="G38" s="175">
        <f t="shared" si="10"/>
        <v>0.73662593174788293</v>
      </c>
    </row>
    <row r="39" spans="1:7" ht="90" customHeight="1" thickBot="1" x14ac:dyDescent="0.25">
      <c r="A39" s="108" t="s">
        <v>289</v>
      </c>
      <c r="B39" s="114" t="s">
        <v>290</v>
      </c>
      <c r="C39" s="120">
        <f>'SGTO POAI -SEPTIEMBRE-2021'!BP49+'SGTO POAI -SEPTIEMBRE-2021'!BP50+'SGTO POAI -SEPTIEMBRE-2021'!BP51+'SGTO POAI -SEPTIEMBRE-2021'!BP52+'SGTO POAI -SEPTIEMBRE-2021'!BP53</f>
        <v>547707113</v>
      </c>
      <c r="D39" s="120">
        <f>'SGTO POAI -SEPTIEMBRE-2021'!BQ49+'SGTO POAI -SEPTIEMBRE-2021'!BQ50+'SGTO POAI -SEPTIEMBRE-2021'!BQ51+'SGTO POAI -SEPTIEMBRE-2021'!BQ52+'SGTO POAI -SEPTIEMBRE-2021'!BQ53</f>
        <v>245932969</v>
      </c>
      <c r="E39" s="175">
        <f t="shared" si="1"/>
        <v>0.4490227772521187</v>
      </c>
      <c r="F39" s="120">
        <f>'SGTO POAI -SEPTIEMBRE-2021'!BR49+'SGTO POAI -SEPTIEMBRE-2021'!BR50+'SGTO POAI -SEPTIEMBRE-2021'!BR51+'SGTO POAI -SEPTIEMBRE-2021'!BR52+'SGTO POAI -SEPTIEMBRE-2021'!BR53</f>
        <v>163409101.94999999</v>
      </c>
      <c r="G39" s="175">
        <f t="shared" si="10"/>
        <v>0.66444569272044196</v>
      </c>
    </row>
    <row r="40" spans="1:7" ht="90" customHeight="1" thickBot="1" x14ac:dyDescent="0.25">
      <c r="A40" s="108" t="s">
        <v>308</v>
      </c>
      <c r="B40" s="113" t="s">
        <v>1404</v>
      </c>
      <c r="C40" s="120">
        <f>'SGTO POAI -SEPTIEMBRE-2021'!BP54</f>
        <v>34027629</v>
      </c>
      <c r="D40" s="120">
        <f>'SGTO POAI -SEPTIEMBRE-2021'!BQ54</f>
        <v>9341129</v>
      </c>
      <c r="E40" s="175">
        <f t="shared" si="1"/>
        <v>0.27451601167980288</v>
      </c>
      <c r="F40" s="120">
        <f>'SGTO POAI -SEPTIEMBRE-2021'!BR54</f>
        <v>5000000</v>
      </c>
      <c r="G40" s="175">
        <f t="shared" si="10"/>
        <v>0.53526720378232651</v>
      </c>
    </row>
    <row r="41" spans="1:7" ht="90" customHeight="1" thickBot="1" x14ac:dyDescent="0.25">
      <c r="A41" s="108" t="s">
        <v>316</v>
      </c>
      <c r="B41" s="113" t="s">
        <v>1405</v>
      </c>
      <c r="C41" s="120">
        <f>'SGTO POAI -SEPTIEMBRE-2021'!BP55</f>
        <v>4387879528.3299999</v>
      </c>
      <c r="D41" s="120">
        <f>'SGTO POAI -SEPTIEMBRE-2021'!BQ55</f>
        <v>961397333.33000004</v>
      </c>
      <c r="E41" s="175">
        <f t="shared" si="1"/>
        <v>0.21910294645119893</v>
      </c>
      <c r="F41" s="120">
        <f>'SGTO POAI -SEPTIEMBRE-2021'!BR55</f>
        <v>220105998.36000001</v>
      </c>
      <c r="G41" s="175">
        <f t="shared" si="10"/>
        <v>0.2289438411459048</v>
      </c>
    </row>
    <row r="42" spans="1:7" ht="90" customHeight="1" thickBot="1" x14ac:dyDescent="0.25">
      <c r="A42" s="108" t="s">
        <v>343</v>
      </c>
      <c r="B42" s="113" t="s">
        <v>1406</v>
      </c>
      <c r="C42" s="120">
        <f>'SGTO POAI -SEPTIEMBRE-2021'!BP61</f>
        <v>89000000</v>
      </c>
      <c r="D42" s="120">
        <f>'SGTO POAI -SEPTIEMBRE-2021'!BQ61</f>
        <v>60506951</v>
      </c>
      <c r="E42" s="175">
        <f t="shared" si="1"/>
        <v>0.67985338202247192</v>
      </c>
      <c r="F42" s="120">
        <f>'SGTO POAI -SEPTIEMBRE-2021'!BR61</f>
        <v>40820761</v>
      </c>
      <c r="G42" s="175">
        <f t="shared" si="10"/>
        <v>0.67464581052844652</v>
      </c>
    </row>
    <row r="43" spans="1:7" ht="90" customHeight="1" thickBot="1" x14ac:dyDescent="0.25">
      <c r="A43" s="108" t="s">
        <v>320</v>
      </c>
      <c r="B43" s="113" t="s">
        <v>1407</v>
      </c>
      <c r="C43" s="120">
        <f>'SGTO POAI -SEPTIEMBRE-2021'!BP56</f>
        <v>61000000</v>
      </c>
      <c r="D43" s="120">
        <f>'SGTO POAI -SEPTIEMBRE-2021'!BQ56</f>
        <v>39841500</v>
      </c>
      <c r="E43" s="175">
        <f t="shared" si="1"/>
        <v>0.65313934426229503</v>
      </c>
      <c r="F43" s="120">
        <f>'SGTO POAI -SEPTIEMBRE-2021'!BR56</f>
        <v>22365000</v>
      </c>
      <c r="G43" s="175">
        <f t="shared" si="10"/>
        <v>0.56134934678664206</v>
      </c>
    </row>
    <row r="44" spans="1:7" ht="90" customHeight="1" thickBot="1" x14ac:dyDescent="0.25">
      <c r="A44" s="108" t="s">
        <v>325</v>
      </c>
      <c r="B44" s="114" t="s">
        <v>1408</v>
      </c>
      <c r="C44" s="120">
        <f>'SGTO POAI -SEPTIEMBRE-2021'!BP57</f>
        <v>243850000</v>
      </c>
      <c r="D44" s="120">
        <f>'SGTO POAI -SEPTIEMBRE-2021'!BQ57</f>
        <v>75687500</v>
      </c>
      <c r="E44" s="175">
        <f t="shared" si="1"/>
        <v>0.31038548287881895</v>
      </c>
      <c r="F44" s="120">
        <f>'SGTO POAI -SEPTIEMBRE-2021'!BR57</f>
        <v>58377500</v>
      </c>
      <c r="G44" s="175">
        <f t="shared" si="10"/>
        <v>0.77129644921552432</v>
      </c>
    </row>
    <row r="45" spans="1:7" ht="90" customHeight="1" thickBot="1" x14ac:dyDescent="0.25">
      <c r="A45" s="108" t="s">
        <v>331</v>
      </c>
      <c r="B45" s="114" t="s">
        <v>332</v>
      </c>
      <c r="C45" s="120">
        <f>'SGTO POAI -SEPTIEMBRE-2021'!BP58+'SGTO POAI -SEPTIEMBRE-2021'!BP59+'SGTO POAI -SEPTIEMBRE-2021'!BP60</f>
        <v>547367948</v>
      </c>
      <c r="D45" s="120">
        <f>'SGTO POAI -SEPTIEMBRE-2021'!BQ58+'SGTO POAI -SEPTIEMBRE-2021'!BQ59+'SGTO POAI -SEPTIEMBRE-2021'!BQ60</f>
        <v>215716105</v>
      </c>
      <c r="E45" s="175">
        <f t="shared" si="1"/>
        <v>0.39409707087927626</v>
      </c>
      <c r="F45" s="120">
        <f>'SGTO POAI -SEPTIEMBRE-2021'!BR58+'SGTO POAI -SEPTIEMBRE-2021'!BR59+'SGTO POAI -SEPTIEMBRE-2021'!BR60</f>
        <v>98885641</v>
      </c>
      <c r="G45" s="175">
        <f t="shared" si="10"/>
        <v>0.45840639019511314</v>
      </c>
    </row>
    <row r="46" spans="1:7" ht="90" customHeight="1" thickBot="1" x14ac:dyDescent="0.25">
      <c r="A46" s="108" t="s">
        <v>347</v>
      </c>
      <c r="B46" s="115" t="s">
        <v>1409</v>
      </c>
      <c r="C46" s="120">
        <f>'SGTO POAI -SEPTIEMBRE-2021'!BP62+'SGTO POAI -SEPTIEMBRE-2021'!BP63+'SGTO POAI -SEPTIEMBRE-2021'!BP64+'SGTO POAI -SEPTIEMBRE-2021'!BP65</f>
        <v>343493401</v>
      </c>
      <c r="D46" s="120">
        <f>'SGTO POAI -SEPTIEMBRE-2021'!BQ62+'SGTO POAI -SEPTIEMBRE-2021'!BQ63+'SGTO POAI -SEPTIEMBRE-2021'!BQ64+'SGTO POAI -SEPTIEMBRE-2021'!BQ65</f>
        <v>193227300</v>
      </c>
      <c r="E46" s="175">
        <f t="shared" si="1"/>
        <v>0.56253569773819323</v>
      </c>
      <c r="F46" s="120">
        <f>'SGTO POAI -SEPTIEMBRE-2021'!BR62+'SGTO POAI -SEPTIEMBRE-2021'!BR63+'SGTO POAI -SEPTIEMBRE-2021'!BR64+'SGTO POAI -SEPTIEMBRE-2021'!BR65</f>
        <v>147130400</v>
      </c>
      <c r="G46" s="175">
        <f t="shared" si="10"/>
        <v>0.76143691911029132</v>
      </c>
    </row>
    <row r="47" spans="1:7" ht="20.100000000000001" customHeight="1" thickBot="1" x14ac:dyDescent="0.25">
      <c r="A47" s="604" t="s">
        <v>359</v>
      </c>
      <c r="B47" s="605"/>
      <c r="C47" s="119">
        <f>SUM(C48:C51)</f>
        <v>4008607319.3200002</v>
      </c>
      <c r="D47" s="119">
        <f t="shared" ref="D47:F47" si="11">SUM(D48:D51)</f>
        <v>2984380794.5299997</v>
      </c>
      <c r="E47" s="179">
        <f t="shared" si="1"/>
        <v>0.74449317600813414</v>
      </c>
      <c r="F47" s="119">
        <f t="shared" si="11"/>
        <v>1712708351.0900002</v>
      </c>
      <c r="G47" s="174">
        <f>F47/D47</f>
        <v>0.57389068922745456</v>
      </c>
    </row>
    <row r="48" spans="1:7" ht="90" customHeight="1" thickBot="1" x14ac:dyDescent="0.25">
      <c r="A48" s="106" t="s">
        <v>362</v>
      </c>
      <c r="B48" s="113" t="s">
        <v>1410</v>
      </c>
      <c r="C48" s="120">
        <f>'SGTO POAI -SEPTIEMBRE-2021'!BP66+'SGTO POAI -SEPTIEMBRE-2021'!BP67+'SGTO POAI -SEPTIEMBRE-2021'!BP68+'SGTO POAI -SEPTIEMBRE-2021'!BP69+'SGTO POAI -SEPTIEMBRE-2021'!BP70</f>
        <v>1980078703.8999999</v>
      </c>
      <c r="D48" s="120">
        <f>'SGTO POAI -SEPTIEMBRE-2021'!BQ66+'SGTO POAI -SEPTIEMBRE-2021'!BQ67+'SGTO POAI -SEPTIEMBRE-2021'!BQ68+'SGTO POAI -SEPTIEMBRE-2021'!BQ69+'SGTO POAI -SEPTIEMBRE-2021'!BQ70</f>
        <v>1625306156.53</v>
      </c>
      <c r="E48" s="175">
        <f t="shared" si="1"/>
        <v>0.82082906771774611</v>
      </c>
      <c r="F48" s="120">
        <f>'SGTO POAI -SEPTIEMBRE-2021'!BR66+'SGTO POAI -SEPTIEMBRE-2021'!BR67+'SGTO POAI -SEPTIEMBRE-2021'!BR68+'SGTO POAI -SEPTIEMBRE-2021'!BR69+'SGTO POAI -SEPTIEMBRE-2021'!BR70</f>
        <v>494554839.09000003</v>
      </c>
      <c r="G48" s="175">
        <f>F48/D48</f>
        <v>0.30428411109071651</v>
      </c>
    </row>
    <row r="49" spans="1:7" ht="90" customHeight="1" thickBot="1" x14ac:dyDescent="0.25">
      <c r="A49" s="106" t="s">
        <v>377</v>
      </c>
      <c r="B49" s="114" t="s">
        <v>1411</v>
      </c>
      <c r="C49" s="120">
        <f>'SGTO POAI -SEPTIEMBRE-2021'!BP71+'SGTO POAI -SEPTIEMBRE-2021'!BP72</f>
        <v>333103297.60000002</v>
      </c>
      <c r="D49" s="120">
        <f>'SGTO POAI -SEPTIEMBRE-2021'!BQ71+'SGTO POAI -SEPTIEMBRE-2021'!BQ72</f>
        <v>128745000</v>
      </c>
      <c r="E49" s="175">
        <f t="shared" si="1"/>
        <v>0.38650172762504648</v>
      </c>
      <c r="F49" s="120">
        <f>'SGTO POAI -SEPTIEMBRE-2021'!BR71+'SGTO POAI -SEPTIEMBRE-2021'!BR72</f>
        <v>26910000</v>
      </c>
      <c r="G49" s="175">
        <f t="shared" ref="G49:G51" si="12">F49/D49</f>
        <v>0.20901782593498777</v>
      </c>
    </row>
    <row r="50" spans="1:7" ht="90" customHeight="1" thickBot="1" x14ac:dyDescent="0.25">
      <c r="A50" s="108" t="s">
        <v>386</v>
      </c>
      <c r="B50" s="115" t="s">
        <v>1412</v>
      </c>
      <c r="C50" s="120">
        <f>'SGTO POAI -SEPTIEMBRE-2021'!BP73</f>
        <v>1421227081.52</v>
      </c>
      <c r="D50" s="120">
        <f>'SGTO POAI -SEPTIEMBRE-2021'!BQ73</f>
        <v>1144764638</v>
      </c>
      <c r="E50" s="175">
        <f t="shared" si="1"/>
        <v>0.80547623450552053</v>
      </c>
      <c r="F50" s="120">
        <f>'SGTO POAI -SEPTIEMBRE-2021'!BR73</f>
        <v>1144764638</v>
      </c>
      <c r="G50" s="175">
        <v>0</v>
      </c>
    </row>
    <row r="51" spans="1:7" ht="90" customHeight="1" thickBot="1" x14ac:dyDescent="0.25">
      <c r="A51" s="108" t="s">
        <v>394</v>
      </c>
      <c r="B51" s="115" t="s">
        <v>395</v>
      </c>
      <c r="C51" s="120">
        <f>'SGTO POAI -SEPTIEMBRE-2021'!BP74+'SGTO POAI -SEPTIEMBRE-2021'!BP75</f>
        <v>274198236.30000001</v>
      </c>
      <c r="D51" s="120">
        <f>'SGTO POAI -SEPTIEMBRE-2021'!BQ74+'SGTO POAI -SEPTIEMBRE-2021'!BQ75</f>
        <v>85565000</v>
      </c>
      <c r="E51" s="175">
        <f t="shared" si="1"/>
        <v>0.31205525299726372</v>
      </c>
      <c r="F51" s="120">
        <f>'SGTO POAI -SEPTIEMBRE-2021'!BR74+'SGTO POAI -SEPTIEMBRE-2021'!BR75</f>
        <v>46478874</v>
      </c>
      <c r="G51" s="175">
        <f t="shared" si="12"/>
        <v>0.54319960264126688</v>
      </c>
    </row>
    <row r="52" spans="1:7" ht="20.100000000000001" customHeight="1" thickBot="1" x14ac:dyDescent="0.25">
      <c r="A52" s="604" t="s">
        <v>399</v>
      </c>
      <c r="B52" s="605"/>
      <c r="C52" s="119">
        <f>SUM(C53:C57)</f>
        <v>3421587709.6100001</v>
      </c>
      <c r="D52" s="119">
        <f t="shared" ref="D52:F52" si="13">SUM(D53:D57)</f>
        <v>2345005652</v>
      </c>
      <c r="E52" s="179">
        <f t="shared" si="1"/>
        <v>0.68535599581847007</v>
      </c>
      <c r="F52" s="119">
        <f t="shared" si="13"/>
        <v>497627876</v>
      </c>
      <c r="G52" s="174">
        <f>F52/D52</f>
        <v>0.21220753799701289</v>
      </c>
    </row>
    <row r="53" spans="1:7" ht="90" customHeight="1" thickBot="1" x14ac:dyDescent="0.25">
      <c r="A53" s="108" t="s">
        <v>407</v>
      </c>
      <c r="B53" s="115" t="s">
        <v>1413</v>
      </c>
      <c r="C53" s="120">
        <f>'SGTO POAI -SEPTIEMBRE-2021'!BP76+'SGTO POAI -SEPTIEMBRE-2021'!BP77</f>
        <v>77000000</v>
      </c>
      <c r="D53" s="120">
        <f>'SGTO POAI -SEPTIEMBRE-2021'!BQ76+'SGTO POAI -SEPTIEMBRE-2021'!BQ77</f>
        <v>65795000</v>
      </c>
      <c r="E53" s="175">
        <f t="shared" si="1"/>
        <v>0.85448051948051951</v>
      </c>
      <c r="F53" s="120">
        <f>'SGTO POAI -SEPTIEMBRE-2021'!BR76+'SGTO POAI -SEPTIEMBRE-2021'!BR77</f>
        <v>30925000</v>
      </c>
      <c r="G53" s="175">
        <f>F53/D53</f>
        <v>0.47002051827646479</v>
      </c>
    </row>
    <row r="54" spans="1:7" ht="90" customHeight="1" thickBot="1" x14ac:dyDescent="0.25">
      <c r="A54" s="108" t="s">
        <v>415</v>
      </c>
      <c r="B54" s="113" t="s">
        <v>1414</v>
      </c>
      <c r="C54" s="120">
        <f>'SGTO POAI -SEPTIEMBRE-2021'!BP78+'SGTO POAI -SEPTIEMBRE-2021'!BP79</f>
        <v>250000000</v>
      </c>
      <c r="D54" s="120">
        <f>'SGTO POAI -SEPTIEMBRE-2021'!BQ78+'SGTO POAI -SEPTIEMBRE-2021'!BQ79</f>
        <v>106495000</v>
      </c>
      <c r="E54" s="175">
        <f t="shared" si="1"/>
        <v>0.42598000000000003</v>
      </c>
      <c r="F54" s="120">
        <f>'SGTO POAI -SEPTIEMBRE-2021'!BR78+'SGTO POAI -SEPTIEMBRE-2021'!BR79</f>
        <v>40825000</v>
      </c>
      <c r="G54" s="175">
        <f t="shared" ref="G54:G57" si="14">F54/D54</f>
        <v>0.38335133104840602</v>
      </c>
    </row>
    <row r="55" spans="1:7" ht="90" customHeight="1" thickBot="1" x14ac:dyDescent="0.25">
      <c r="A55" s="108" t="s">
        <v>423</v>
      </c>
      <c r="B55" s="113" t="s">
        <v>1415</v>
      </c>
      <c r="C55" s="120">
        <f>'SGTO POAI -SEPTIEMBRE-2021'!BP80+'SGTO POAI -SEPTIEMBRE-2021'!BP81+'SGTO POAI -SEPTIEMBRE-2021'!BP82</f>
        <v>1751856036</v>
      </c>
      <c r="D55" s="120">
        <f>'SGTO POAI -SEPTIEMBRE-2021'!BQ80+'SGTO POAI -SEPTIEMBRE-2021'!BQ81+'SGTO POAI -SEPTIEMBRE-2021'!BQ82</f>
        <v>1744346036</v>
      </c>
      <c r="E55" s="175">
        <f t="shared" si="1"/>
        <v>0.99571311806126062</v>
      </c>
      <c r="F55" s="120">
        <f>'SGTO POAI -SEPTIEMBRE-2021'!BR80+'SGTO POAI -SEPTIEMBRE-2021'!BR81+'SGTO POAI -SEPTIEMBRE-2021'!BR82</f>
        <v>81690000</v>
      </c>
      <c r="G55" s="175">
        <f t="shared" si="14"/>
        <v>4.6831304290589737E-2</v>
      </c>
    </row>
    <row r="56" spans="1:7" ht="90" customHeight="1" thickBot="1" x14ac:dyDescent="0.25">
      <c r="A56" s="108" t="s">
        <v>430</v>
      </c>
      <c r="B56" s="113" t="s">
        <v>1416</v>
      </c>
      <c r="C56" s="120">
        <f>'SGTO POAI -SEPTIEMBRE-2021'!BP83</f>
        <v>1105231673.6100001</v>
      </c>
      <c r="D56" s="120">
        <f>'SGTO POAI -SEPTIEMBRE-2021'!BQ83</f>
        <v>325901665</v>
      </c>
      <c r="E56" s="175">
        <f t="shared" si="1"/>
        <v>0.29487181084442932</v>
      </c>
      <c r="F56" s="120">
        <f>'SGTO POAI -SEPTIEMBRE-2021'!BR83</f>
        <v>275718900</v>
      </c>
      <c r="G56" s="175">
        <f t="shared" si="14"/>
        <v>0.84601869094470572</v>
      </c>
    </row>
    <row r="57" spans="1:7" ht="90" customHeight="1" thickBot="1" x14ac:dyDescent="0.25">
      <c r="A57" s="108" t="s">
        <v>438</v>
      </c>
      <c r="B57" s="114" t="s">
        <v>439</v>
      </c>
      <c r="C57" s="120">
        <f>'SGTO POAI -SEPTIEMBRE-2021'!BP84+'SGTO POAI -SEPTIEMBRE-2021'!BP85+'SGTO POAI -SEPTIEMBRE-2021'!BP86+'SGTO POAI -SEPTIEMBRE-2021'!BP87</f>
        <v>237500000</v>
      </c>
      <c r="D57" s="120">
        <f>'SGTO POAI -SEPTIEMBRE-2021'!BQ84+'SGTO POAI -SEPTIEMBRE-2021'!BQ85+'SGTO POAI -SEPTIEMBRE-2021'!BQ86+'SGTO POAI -SEPTIEMBRE-2021'!BQ87</f>
        <v>102467951</v>
      </c>
      <c r="E57" s="175">
        <f t="shared" si="1"/>
        <v>0.43144400421052631</v>
      </c>
      <c r="F57" s="120">
        <f>'SGTO POAI -SEPTIEMBRE-2021'!BR84+'SGTO POAI -SEPTIEMBRE-2021'!BR85+'SGTO POAI -SEPTIEMBRE-2021'!BR86+'SGTO POAI -SEPTIEMBRE-2021'!BR87</f>
        <v>68468976</v>
      </c>
      <c r="G57" s="175">
        <f t="shared" si="14"/>
        <v>0.66819893763660798</v>
      </c>
    </row>
    <row r="58" spans="1:7" ht="20.100000000000001" customHeight="1" thickBot="1" x14ac:dyDescent="0.25">
      <c r="A58" s="604" t="s">
        <v>450</v>
      </c>
      <c r="B58" s="605"/>
      <c r="C58" s="119">
        <f>SUM(C59:C77)</f>
        <v>3854290501.6300001</v>
      </c>
      <c r="D58" s="119">
        <f t="shared" ref="D58:F58" si="15">SUM(D59:D77)</f>
        <v>1737599819</v>
      </c>
      <c r="E58" s="179">
        <f t="shared" si="1"/>
        <v>0.45082222480769413</v>
      </c>
      <c r="F58" s="119">
        <f t="shared" si="15"/>
        <v>1295940288</v>
      </c>
      <c r="G58" s="174">
        <f>F58/D58</f>
        <v>0.74582206664007489</v>
      </c>
    </row>
    <row r="59" spans="1:7" ht="90" customHeight="1" thickBot="1" x14ac:dyDescent="0.25">
      <c r="A59" s="108" t="s">
        <v>457</v>
      </c>
      <c r="B59" s="114" t="s">
        <v>458</v>
      </c>
      <c r="C59" s="120">
        <f>'SGTO POAI -SEPTIEMBRE-2021'!BP88+'SGTO POAI -SEPTIEMBRE-2021'!BP89+'SGTO POAI -SEPTIEMBRE-2021'!BP90</f>
        <v>739000000</v>
      </c>
      <c r="D59" s="120">
        <f>'SGTO POAI -SEPTIEMBRE-2021'!BQ88+'SGTO POAI -SEPTIEMBRE-2021'!BQ89+'SGTO POAI -SEPTIEMBRE-2021'!BQ90</f>
        <v>481310000</v>
      </c>
      <c r="E59" s="175">
        <f t="shared" si="1"/>
        <v>0.65129905277401889</v>
      </c>
      <c r="F59" s="120">
        <f>'SGTO POAI -SEPTIEMBRE-2021'!BR88+'SGTO POAI -SEPTIEMBRE-2021'!BR89+'SGTO POAI -SEPTIEMBRE-2021'!BR90</f>
        <v>385655000</v>
      </c>
      <c r="G59" s="175">
        <f>F59/D59</f>
        <v>0.8012611414680767</v>
      </c>
    </row>
    <row r="60" spans="1:7" ht="90" customHeight="1" thickBot="1" x14ac:dyDescent="0.25">
      <c r="A60" s="106" t="s">
        <v>469</v>
      </c>
      <c r="B60" s="114" t="s">
        <v>470</v>
      </c>
      <c r="C60" s="120">
        <f>'SGTO POAI -SEPTIEMBRE-2021'!BP91+'SGTO POAI -SEPTIEMBRE-2021'!BP92+'SGTO POAI -SEPTIEMBRE-2021'!BP93</f>
        <v>530052526.97000003</v>
      </c>
      <c r="D60" s="120">
        <f>'SGTO POAI -SEPTIEMBRE-2021'!BQ91+'SGTO POAI -SEPTIEMBRE-2021'!BQ92+'SGTO POAI -SEPTIEMBRE-2021'!BQ93</f>
        <v>81377500</v>
      </c>
      <c r="E60" s="175">
        <f t="shared" si="1"/>
        <v>0.15352723713098307</v>
      </c>
      <c r="F60" s="120">
        <f>'SGTO POAI -SEPTIEMBRE-2021'!BR91+'SGTO POAI -SEPTIEMBRE-2021'!BR92+'SGTO POAI -SEPTIEMBRE-2021'!BR93</f>
        <v>39775000</v>
      </c>
      <c r="G60" s="175">
        <f t="shared" ref="G60:G86" si="16">F60/D60</f>
        <v>0.48877146631439894</v>
      </c>
    </row>
    <row r="61" spans="1:7" ht="90" customHeight="1" thickBot="1" x14ac:dyDescent="0.25">
      <c r="A61" s="108" t="s">
        <v>481</v>
      </c>
      <c r="B61" s="114" t="s">
        <v>1417</v>
      </c>
      <c r="C61" s="120">
        <f>'SGTO POAI -SEPTIEMBRE-2021'!BP94+'SGTO POAI -SEPTIEMBRE-2021'!BP95</f>
        <v>188606585.66</v>
      </c>
      <c r="D61" s="120">
        <f>'SGTO POAI -SEPTIEMBRE-2021'!BQ94+'SGTO POAI -SEPTIEMBRE-2021'!BQ95</f>
        <v>33790000</v>
      </c>
      <c r="E61" s="175">
        <f t="shared" si="1"/>
        <v>0.17915599225635226</v>
      </c>
      <c r="F61" s="120">
        <f>'SGTO POAI -SEPTIEMBRE-2021'!BR94+'SGTO POAI -SEPTIEMBRE-2021'!BR95</f>
        <v>29340000</v>
      </c>
      <c r="G61" s="175">
        <f t="shared" si="16"/>
        <v>0.86830423202130813</v>
      </c>
    </row>
    <row r="62" spans="1:7" ht="90" customHeight="1" thickBot="1" x14ac:dyDescent="0.25">
      <c r="A62" s="106" t="s">
        <v>488</v>
      </c>
      <c r="B62" s="113" t="s">
        <v>489</v>
      </c>
      <c r="C62" s="120">
        <f>'SGTO POAI -SEPTIEMBRE-2021'!BP96+'SGTO POAI -SEPTIEMBRE-2021'!BP97</f>
        <v>90000000</v>
      </c>
      <c r="D62" s="120">
        <f>'SGTO POAI -SEPTIEMBRE-2021'!BQ96+'SGTO POAI -SEPTIEMBRE-2021'!BQ97</f>
        <v>77065000</v>
      </c>
      <c r="E62" s="175">
        <f t="shared" si="1"/>
        <v>0.8562777777777778</v>
      </c>
      <c r="F62" s="120">
        <f>'SGTO POAI -SEPTIEMBRE-2021'!BR96+'SGTO POAI -SEPTIEMBRE-2021'!BR97</f>
        <v>68410000</v>
      </c>
      <c r="G62" s="175">
        <f t="shared" si="16"/>
        <v>0.88769220787646796</v>
      </c>
    </row>
    <row r="63" spans="1:7" ht="90" customHeight="1" thickBot="1" x14ac:dyDescent="0.25">
      <c r="A63" s="108" t="s">
        <v>497</v>
      </c>
      <c r="B63" s="114" t="s">
        <v>1418</v>
      </c>
      <c r="C63" s="120">
        <f>'SGTO POAI -SEPTIEMBRE-2021'!BP98</f>
        <v>27000000</v>
      </c>
      <c r="D63" s="120">
        <f>'SGTO POAI -SEPTIEMBRE-2021'!BQ98</f>
        <v>26940000</v>
      </c>
      <c r="E63" s="175">
        <f t="shared" si="1"/>
        <v>0.99777777777777776</v>
      </c>
      <c r="F63" s="120">
        <f>'SGTO POAI -SEPTIEMBRE-2021'!BR98</f>
        <v>26940000</v>
      </c>
      <c r="G63" s="175">
        <f t="shared" si="16"/>
        <v>1</v>
      </c>
    </row>
    <row r="64" spans="1:7" ht="90" customHeight="1" thickBot="1" x14ac:dyDescent="0.25">
      <c r="A64" s="108" t="s">
        <v>504</v>
      </c>
      <c r="B64" s="113" t="s">
        <v>505</v>
      </c>
      <c r="C64" s="120">
        <f>'SGTO POAI -SEPTIEMBRE-2021'!BP99</f>
        <v>325000000</v>
      </c>
      <c r="D64" s="120">
        <f>'SGTO POAI -SEPTIEMBRE-2021'!BQ99</f>
        <v>324995000</v>
      </c>
      <c r="E64" s="175">
        <f t="shared" si="1"/>
        <v>0.99998461538461536</v>
      </c>
      <c r="F64" s="120">
        <f>'SGTO POAI -SEPTIEMBRE-2021'!BR99</f>
        <v>316350000</v>
      </c>
      <c r="G64" s="175">
        <f t="shared" si="16"/>
        <v>0.97339959076293481</v>
      </c>
    </row>
    <row r="65" spans="1:7" ht="90" customHeight="1" thickBot="1" x14ac:dyDescent="0.25">
      <c r="A65" s="106" t="s">
        <v>510</v>
      </c>
      <c r="B65" s="114" t="s">
        <v>511</v>
      </c>
      <c r="C65" s="120">
        <f>'SGTO POAI -SEPTIEMBRE-2021'!BP100+'SGTO POAI -SEPTIEMBRE-2021'!BP101</f>
        <v>70000000</v>
      </c>
      <c r="D65" s="120">
        <f>'SGTO POAI -SEPTIEMBRE-2021'!BQ100+'SGTO POAI -SEPTIEMBRE-2021'!BQ101</f>
        <v>53580000</v>
      </c>
      <c r="E65" s="175">
        <f t="shared" si="1"/>
        <v>0.76542857142857146</v>
      </c>
      <c r="F65" s="120">
        <f>'SGTO POAI -SEPTIEMBRE-2021'!BR100+'SGTO POAI -SEPTIEMBRE-2021'!BR101</f>
        <v>44925000</v>
      </c>
      <c r="G65" s="175">
        <f t="shared" si="16"/>
        <v>0.83846584546472569</v>
      </c>
    </row>
    <row r="66" spans="1:7" ht="90" customHeight="1" thickBot="1" x14ac:dyDescent="0.25">
      <c r="A66" s="108" t="s">
        <v>520</v>
      </c>
      <c r="B66" s="114" t="s">
        <v>1419</v>
      </c>
      <c r="C66" s="120">
        <f>'SGTO POAI -SEPTIEMBRE-2021'!BP102</f>
        <v>20000000</v>
      </c>
      <c r="D66" s="120">
        <f>'SGTO POAI -SEPTIEMBRE-2021'!BQ102</f>
        <v>20000000</v>
      </c>
      <c r="E66" s="175">
        <f t="shared" si="1"/>
        <v>1</v>
      </c>
      <c r="F66" s="120">
        <f>'SGTO POAI -SEPTIEMBRE-2021'!BR102</f>
        <v>0</v>
      </c>
      <c r="G66" s="175">
        <v>0</v>
      </c>
    </row>
    <row r="67" spans="1:7" ht="90" customHeight="1" thickBot="1" x14ac:dyDescent="0.25">
      <c r="A67" s="108" t="s">
        <v>527</v>
      </c>
      <c r="B67" s="113" t="s">
        <v>1420</v>
      </c>
      <c r="C67" s="120">
        <f>'SGTO POAI -SEPTIEMBRE-2021'!BP103</f>
        <v>43000000</v>
      </c>
      <c r="D67" s="120">
        <f>'SGTO POAI -SEPTIEMBRE-2021'!BQ103</f>
        <v>26210000</v>
      </c>
      <c r="E67" s="175">
        <f t="shared" si="1"/>
        <v>0.60953488372093023</v>
      </c>
      <c r="F67" s="120">
        <f>'SGTO POAI -SEPTIEMBRE-2021'!BR103</f>
        <v>2885000</v>
      </c>
      <c r="G67" s="175">
        <v>0</v>
      </c>
    </row>
    <row r="68" spans="1:7" ht="90" customHeight="1" thickBot="1" x14ac:dyDescent="0.25">
      <c r="A68" s="106" t="s">
        <v>533</v>
      </c>
      <c r="B68" s="114" t="s">
        <v>534</v>
      </c>
      <c r="C68" s="120">
        <f>'SGTO POAI -SEPTIEMBRE-2021'!BP104+'SGTO POAI -SEPTIEMBRE-2021'!BP105</f>
        <v>40000000</v>
      </c>
      <c r="D68" s="120">
        <f>'SGTO POAI -SEPTIEMBRE-2021'!BQ104+'SGTO POAI -SEPTIEMBRE-2021'!BQ105</f>
        <v>17555000</v>
      </c>
      <c r="E68" s="175">
        <f t="shared" si="1"/>
        <v>0.43887500000000002</v>
      </c>
      <c r="F68" s="120">
        <f>'SGTO POAI -SEPTIEMBRE-2021'!BR104+'SGTO POAI -SEPTIEMBRE-2021'!BR105</f>
        <v>14670000</v>
      </c>
      <c r="G68" s="175">
        <f t="shared" si="16"/>
        <v>0.83565935630874399</v>
      </c>
    </row>
    <row r="69" spans="1:7" ht="90" customHeight="1" thickBot="1" x14ac:dyDescent="0.25">
      <c r="A69" s="109" t="s">
        <v>541</v>
      </c>
      <c r="B69" s="113" t="s">
        <v>542</v>
      </c>
      <c r="C69" s="120">
        <f>'SGTO POAI -SEPTIEMBRE-2021'!BP106+'SGTO POAI -SEPTIEMBRE-2021'!BP107+'SGTO POAI -SEPTIEMBRE-2021'!BP108</f>
        <v>108000000</v>
      </c>
      <c r="D69" s="120">
        <f>'SGTO POAI -SEPTIEMBRE-2021'!BQ106+'SGTO POAI -SEPTIEMBRE-2021'!BQ107+'SGTO POAI -SEPTIEMBRE-2021'!BQ108</f>
        <v>35433654</v>
      </c>
      <c r="E69" s="175">
        <f t="shared" si="1"/>
        <v>0.32808938888888889</v>
      </c>
      <c r="F69" s="120">
        <f>'SGTO POAI -SEPTIEMBRE-2021'!BR106+'SGTO POAI -SEPTIEMBRE-2021'!BR107+'SGTO POAI -SEPTIEMBRE-2021'!BR108</f>
        <v>35433654</v>
      </c>
      <c r="G69" s="175">
        <f t="shared" si="16"/>
        <v>1</v>
      </c>
    </row>
    <row r="70" spans="1:7" ht="90" customHeight="1" thickBot="1" x14ac:dyDescent="0.25">
      <c r="A70" s="108" t="s">
        <v>553</v>
      </c>
      <c r="B70" s="114" t="s">
        <v>1421</v>
      </c>
      <c r="C70" s="120">
        <f>'SGTO POAI -SEPTIEMBRE-2021'!BP109+'SGTO POAI -SEPTIEMBRE-2021'!BP110</f>
        <v>36000000</v>
      </c>
      <c r="D70" s="120">
        <f>'SGTO POAI -SEPTIEMBRE-2021'!BQ109+'SGTO POAI -SEPTIEMBRE-2021'!BQ110</f>
        <v>34195000</v>
      </c>
      <c r="E70" s="175">
        <f t="shared" ref="E70:E133" si="17">D70/C70</f>
        <v>0.94986111111111116</v>
      </c>
      <c r="F70" s="120">
        <f>'SGTO POAI -SEPTIEMBRE-2021'!BR109+'SGTO POAI -SEPTIEMBRE-2021'!BR110</f>
        <v>25540000</v>
      </c>
      <c r="G70" s="175">
        <v>0</v>
      </c>
    </row>
    <row r="71" spans="1:7" ht="90" customHeight="1" thickBot="1" x14ac:dyDescent="0.25">
      <c r="A71" s="109" t="s">
        <v>562</v>
      </c>
      <c r="B71" s="114" t="s">
        <v>1422</v>
      </c>
      <c r="C71" s="120">
        <f>'SGTO POAI -SEPTIEMBRE-2021'!BP111+'SGTO POAI -SEPTIEMBRE-2021'!BP112</f>
        <v>82000000</v>
      </c>
      <c r="D71" s="120">
        <f>'SGTO POAI -SEPTIEMBRE-2021'!BQ111+'SGTO POAI -SEPTIEMBRE-2021'!BQ112</f>
        <v>24147833</v>
      </c>
      <c r="E71" s="175">
        <f t="shared" si="17"/>
        <v>0.29448576829268291</v>
      </c>
      <c r="F71" s="120">
        <f>'SGTO POAI -SEPTIEMBRE-2021'!BR111+'SGTO POAI -SEPTIEMBRE-2021'!BR112</f>
        <v>19197833</v>
      </c>
      <c r="G71" s="175">
        <f t="shared" si="16"/>
        <v>0.79501266221279565</v>
      </c>
    </row>
    <row r="72" spans="1:7" ht="90" customHeight="1" thickBot="1" x14ac:dyDescent="0.25">
      <c r="A72" s="108" t="s">
        <v>573</v>
      </c>
      <c r="B72" s="114" t="s">
        <v>574</v>
      </c>
      <c r="C72" s="120">
        <f>'SGTO POAI -SEPTIEMBRE-2021'!BP113+'SGTO POAI -SEPTIEMBRE-2021'!BP114+'SGTO POAI -SEPTIEMBRE-2021'!BP115+'SGTO POAI -SEPTIEMBRE-2021'!BP116</f>
        <v>1145631389</v>
      </c>
      <c r="D72" s="120">
        <f>'SGTO POAI -SEPTIEMBRE-2021'!BQ113+'SGTO POAI -SEPTIEMBRE-2021'!BQ114+'SGTO POAI -SEPTIEMBRE-2021'!BQ115+'SGTO POAI -SEPTIEMBRE-2021'!BQ116</f>
        <v>386785832</v>
      </c>
      <c r="E72" s="175">
        <f t="shared" si="17"/>
        <v>0.33761804688122071</v>
      </c>
      <c r="F72" s="120">
        <f>'SGTO POAI -SEPTIEMBRE-2021'!BR113+'SGTO POAI -SEPTIEMBRE-2021'!BR114+'SGTO POAI -SEPTIEMBRE-2021'!BR115+'SGTO POAI -SEPTIEMBRE-2021'!BR116</f>
        <v>209253801</v>
      </c>
      <c r="G72" s="175">
        <f t="shared" si="16"/>
        <v>0.54100689241378419</v>
      </c>
    </row>
    <row r="73" spans="1:7" ht="90" customHeight="1" thickBot="1" x14ac:dyDescent="0.25">
      <c r="A73" s="106" t="s">
        <v>590</v>
      </c>
      <c r="B73" s="114" t="s">
        <v>1423</v>
      </c>
      <c r="C73" s="120">
        <f>'SGTO POAI -SEPTIEMBRE-2021'!BP117</f>
        <v>36000000</v>
      </c>
      <c r="D73" s="120">
        <f>'SGTO POAI -SEPTIEMBRE-2021'!BQ117</f>
        <v>33175000</v>
      </c>
      <c r="E73" s="175">
        <f t="shared" si="17"/>
        <v>0.92152777777777772</v>
      </c>
      <c r="F73" s="120">
        <f>'SGTO POAI -SEPTIEMBRE-2021'!BR117</f>
        <v>24900000</v>
      </c>
      <c r="G73" s="175">
        <f t="shared" si="16"/>
        <v>0.75056518462697819</v>
      </c>
    </row>
    <row r="74" spans="1:7" ht="90" customHeight="1" thickBot="1" x14ac:dyDescent="0.25">
      <c r="A74" s="106" t="s">
        <v>595</v>
      </c>
      <c r="B74" s="114" t="s">
        <v>1424</v>
      </c>
      <c r="C74" s="120">
        <f>'SGTO POAI -SEPTIEMBRE-2021'!BP118</f>
        <v>54000000</v>
      </c>
      <c r="D74" s="120">
        <f>'SGTO POAI -SEPTIEMBRE-2021'!BQ118</f>
        <v>32745000</v>
      </c>
      <c r="E74" s="175">
        <f t="shared" si="17"/>
        <v>0.60638888888888887</v>
      </c>
      <c r="F74" s="120">
        <f>'SGTO POAI -SEPTIEMBRE-2021'!BR118</f>
        <v>21325000</v>
      </c>
      <c r="G74" s="175">
        <f t="shared" si="16"/>
        <v>0.65124446480378684</v>
      </c>
    </row>
    <row r="75" spans="1:7" ht="90" customHeight="1" thickBot="1" x14ac:dyDescent="0.25">
      <c r="A75" s="106" t="s">
        <v>603</v>
      </c>
      <c r="B75" s="114" t="s">
        <v>604</v>
      </c>
      <c r="C75" s="120">
        <f>'SGTO POAI -SEPTIEMBRE-2021'!BP119</f>
        <v>120000000</v>
      </c>
      <c r="D75" s="120">
        <f>'SGTO POAI -SEPTIEMBRE-2021'!BQ119</f>
        <v>43295000</v>
      </c>
      <c r="E75" s="175">
        <f t="shared" si="17"/>
        <v>0.36079166666666668</v>
      </c>
      <c r="F75" s="120">
        <f>'SGTO POAI -SEPTIEMBRE-2021'!BR119</f>
        <v>31340000</v>
      </c>
      <c r="G75" s="175">
        <f t="shared" si="16"/>
        <v>0.72387111675713134</v>
      </c>
    </row>
    <row r="76" spans="1:7" ht="90" customHeight="1" thickBot="1" x14ac:dyDescent="0.25">
      <c r="A76" s="106" t="s">
        <v>610</v>
      </c>
      <c r="B76" s="114" t="s">
        <v>611</v>
      </c>
      <c r="C76" s="120">
        <f>'SGTO POAI -SEPTIEMBRE-2021'!BP120+'SGTO POAI -SEPTIEMBRE-2021'!BP121+'SGTO POAI -SEPTIEMBRE-2021'!BP122</f>
        <v>82000000</v>
      </c>
      <c r="D76" s="120">
        <f>'SGTO POAI -SEPTIEMBRE-2021'!BQ120+'SGTO POAI -SEPTIEMBRE-2021'!BQ121+'SGTO POAI -SEPTIEMBRE-2021'!BQ122</f>
        <v>0</v>
      </c>
      <c r="E76" s="175">
        <f t="shared" si="17"/>
        <v>0</v>
      </c>
      <c r="F76" s="120">
        <f>'SGTO POAI -SEPTIEMBRE-2021'!BR120+'SGTO POAI -SEPTIEMBRE-2021'!BR121+'SGTO POAI -SEPTIEMBRE-2021'!BR122</f>
        <v>0</v>
      </c>
      <c r="G76" s="175">
        <v>0</v>
      </c>
    </row>
    <row r="77" spans="1:7" ht="90" customHeight="1" thickBot="1" x14ac:dyDescent="0.25">
      <c r="A77" s="108" t="s">
        <v>623</v>
      </c>
      <c r="B77" s="114" t="s">
        <v>1425</v>
      </c>
      <c r="C77" s="120">
        <f>'SGTO POAI -SEPTIEMBRE-2021'!BP123+'SGTO POAI -SEPTIEMBRE-2021'!BP124+'SGTO POAI -SEPTIEMBRE-2021'!BP125</f>
        <v>118000000</v>
      </c>
      <c r="D77" s="120">
        <f>'SGTO POAI -SEPTIEMBRE-2021'!BQ123+'SGTO POAI -SEPTIEMBRE-2021'!BQ124+'SGTO POAI -SEPTIEMBRE-2021'!BQ125</f>
        <v>5000000</v>
      </c>
      <c r="E77" s="175">
        <f t="shared" si="17"/>
        <v>4.2372881355932202E-2</v>
      </c>
      <c r="F77" s="120">
        <f>'SGTO POAI -SEPTIEMBRE-2021'!BR123+'SGTO POAI -SEPTIEMBRE-2021'!BR124+'SGTO POAI -SEPTIEMBRE-2021'!BR125</f>
        <v>0</v>
      </c>
      <c r="G77" s="175">
        <v>0</v>
      </c>
    </row>
    <row r="78" spans="1:7" ht="20.100000000000001" customHeight="1" thickBot="1" x14ac:dyDescent="0.25">
      <c r="A78" s="604" t="s">
        <v>633</v>
      </c>
      <c r="B78" s="605"/>
      <c r="C78" s="119">
        <f>SUM(C79:C81)</f>
        <v>1177000000</v>
      </c>
      <c r="D78" s="119">
        <f t="shared" ref="D78:F78" si="18">SUM(D79:D81)</f>
        <v>913410622.99000013</v>
      </c>
      <c r="E78" s="179">
        <f t="shared" si="17"/>
        <v>0.77604980712829241</v>
      </c>
      <c r="F78" s="119">
        <f t="shared" si="18"/>
        <v>637349833</v>
      </c>
      <c r="G78" s="174">
        <f>F78/D78</f>
        <v>0.69776923648388267</v>
      </c>
    </row>
    <row r="79" spans="1:7" ht="90" customHeight="1" thickBot="1" x14ac:dyDescent="0.25">
      <c r="A79" s="108" t="s">
        <v>638</v>
      </c>
      <c r="B79" s="116" t="s">
        <v>1426</v>
      </c>
      <c r="C79" s="120">
        <f>'SGTO POAI -SEPTIEMBRE-2021'!BP126</f>
        <v>250000000</v>
      </c>
      <c r="D79" s="120">
        <f>'SGTO POAI -SEPTIEMBRE-2021'!BQ126</f>
        <v>208693325.33000001</v>
      </c>
      <c r="E79" s="175">
        <f t="shared" si="17"/>
        <v>0.83477330132000005</v>
      </c>
      <c r="F79" s="120">
        <f>'SGTO POAI -SEPTIEMBRE-2021'!BR126</f>
        <v>150034000</v>
      </c>
      <c r="G79" s="175">
        <f t="shared" si="16"/>
        <v>0.71892093224714337</v>
      </c>
    </row>
    <row r="80" spans="1:7" ht="90" customHeight="1" thickBot="1" x14ac:dyDescent="0.25">
      <c r="A80" s="108" t="s">
        <v>643</v>
      </c>
      <c r="B80" s="114" t="s">
        <v>1427</v>
      </c>
      <c r="C80" s="120">
        <f>'SGTO POAI -SEPTIEMBRE-2021'!BP127</f>
        <v>782000000</v>
      </c>
      <c r="D80" s="120">
        <f>'SGTO POAI -SEPTIEMBRE-2021'!BQ127</f>
        <v>577158964.33000004</v>
      </c>
      <c r="E80" s="175">
        <f t="shared" si="17"/>
        <v>0.73805494159846552</v>
      </c>
      <c r="F80" s="120">
        <f>'SGTO POAI -SEPTIEMBRE-2021'!BR127</f>
        <v>409835833</v>
      </c>
      <c r="G80" s="175">
        <f t="shared" si="16"/>
        <v>0.71009177424067471</v>
      </c>
    </row>
    <row r="81" spans="1:7" ht="90" customHeight="1" thickBot="1" x14ac:dyDescent="0.25">
      <c r="A81" s="109" t="s">
        <v>648</v>
      </c>
      <c r="B81" s="113" t="s">
        <v>1428</v>
      </c>
      <c r="C81" s="120">
        <f>'SGTO POAI -SEPTIEMBRE-2021'!BP128</f>
        <v>145000000</v>
      </c>
      <c r="D81" s="120">
        <f>'SGTO POAI -SEPTIEMBRE-2021'!BQ128</f>
        <v>127558333.33</v>
      </c>
      <c r="E81" s="175">
        <f t="shared" si="17"/>
        <v>0.87971264365517243</v>
      </c>
      <c r="F81" s="120">
        <f>'SGTO POAI -SEPTIEMBRE-2021'!BR128</f>
        <v>77480000</v>
      </c>
      <c r="G81" s="175">
        <f t="shared" si="16"/>
        <v>0.6074083752690248</v>
      </c>
    </row>
    <row r="82" spans="1:7" ht="20.100000000000001" customHeight="1" thickBot="1" x14ac:dyDescent="0.25">
      <c r="A82" s="604" t="s">
        <v>651</v>
      </c>
      <c r="B82" s="605"/>
      <c r="C82" s="119">
        <f>SUM(C83:C91)</f>
        <v>195488624347.69998</v>
      </c>
      <c r="D82" s="119">
        <f t="shared" ref="D82:F82" si="19">SUM(D83:D91)</f>
        <v>130208094904.87</v>
      </c>
      <c r="E82" s="179">
        <f t="shared" si="17"/>
        <v>0.66606481752758806</v>
      </c>
      <c r="F82" s="119">
        <f t="shared" si="19"/>
        <v>126818376564.37</v>
      </c>
      <c r="G82" s="174">
        <f>F82/D82</f>
        <v>0.97396691547498238</v>
      </c>
    </row>
    <row r="83" spans="1:7" ht="90" customHeight="1" thickBot="1" x14ac:dyDescent="0.25">
      <c r="A83" s="108" t="s">
        <v>655</v>
      </c>
      <c r="B83" s="115" t="s">
        <v>656</v>
      </c>
      <c r="C83" s="120">
        <f>'SGTO POAI -SEPTIEMBRE-2021'!BP129+'SGTO POAI -SEPTIEMBRE-2021'!BP130+'SGTO POAI -SEPTIEMBRE-2021'!BP131+'SGTO POAI -SEPTIEMBRE-2021'!BP132+'SGTO POAI -SEPTIEMBRE-2021'!BP133+'SGTO POAI -SEPTIEMBRE-2021'!BP134+'SGTO POAI -SEPTIEMBRE-2021'!BP135+'SGTO POAI -SEPTIEMBRE-2021'!BP136+'SGTO POAI -SEPTIEMBRE-2021'!BP137+'SGTO POAI -SEPTIEMBRE-2021'!BP138</f>
        <v>16660598957.58</v>
      </c>
      <c r="D83" s="120">
        <f>'SGTO POAI -SEPTIEMBRE-2021'!BQ129+'SGTO POAI -SEPTIEMBRE-2021'!BQ130+'SGTO POAI -SEPTIEMBRE-2021'!BQ131+'SGTO POAI -SEPTIEMBRE-2021'!BQ132+'SGTO POAI -SEPTIEMBRE-2021'!BQ133+'SGTO POAI -SEPTIEMBRE-2021'!BQ134+'SGTO POAI -SEPTIEMBRE-2021'!BQ135+'SGTO POAI -SEPTIEMBRE-2021'!BQ136+'SGTO POAI -SEPTIEMBRE-2021'!BQ137+'SGTO POAI -SEPTIEMBRE-2021'!BQ138</f>
        <v>13031997359</v>
      </c>
      <c r="E83" s="175">
        <f t="shared" si="17"/>
        <v>0.78220461294225496</v>
      </c>
      <c r="F83" s="120">
        <f>'SGTO POAI -SEPTIEMBRE-2021'!BR129+'SGTO POAI -SEPTIEMBRE-2021'!BR130+'SGTO POAI -SEPTIEMBRE-2021'!BR131+'SGTO POAI -SEPTIEMBRE-2021'!BR132+'SGTO POAI -SEPTIEMBRE-2021'!BR133+'SGTO POAI -SEPTIEMBRE-2021'!BR134+'SGTO POAI -SEPTIEMBRE-2021'!BR135+'SGTO POAI -SEPTIEMBRE-2021'!BR136+'SGTO POAI -SEPTIEMBRE-2021'!BR137+'SGTO POAI -SEPTIEMBRE-2021'!BR138</f>
        <v>11978620284</v>
      </c>
      <c r="G83" s="175">
        <f t="shared" si="16"/>
        <v>0.9191699441012755</v>
      </c>
    </row>
    <row r="84" spans="1:7" ht="90" customHeight="1" thickBot="1" x14ac:dyDescent="0.25">
      <c r="A84" s="108" t="s">
        <v>684</v>
      </c>
      <c r="B84" s="115" t="s">
        <v>685</v>
      </c>
      <c r="C84" s="120">
        <f>'SGTO POAI -SEPTIEMBRE-2021'!BP139+'SGTO POAI -SEPTIEMBRE-2021'!BP140</f>
        <v>10000000</v>
      </c>
      <c r="D84" s="120">
        <f>'SGTO POAI -SEPTIEMBRE-2021'!BQ139+'SGTO POAI -SEPTIEMBRE-2021'!BQ140</f>
        <v>9905167</v>
      </c>
      <c r="E84" s="175">
        <f t="shared" si="17"/>
        <v>0.99051670000000003</v>
      </c>
      <c r="F84" s="120">
        <f>'SGTO POAI -SEPTIEMBRE-2021'!BR139+'SGTO POAI -SEPTIEMBRE-2021'!BR140</f>
        <v>2885000</v>
      </c>
      <c r="G84" s="175">
        <v>0</v>
      </c>
    </row>
    <row r="85" spans="1:7" ht="90" customHeight="1" thickBot="1" x14ac:dyDescent="0.25">
      <c r="A85" s="108" t="s">
        <v>693</v>
      </c>
      <c r="B85" s="115" t="s">
        <v>694</v>
      </c>
      <c r="C85" s="120">
        <f>'SGTO POAI -SEPTIEMBRE-2021'!BP141+'SGTO POAI -SEPTIEMBRE-2021'!BP142+'SGTO POAI -SEPTIEMBRE-2021'!BP143+'SGTO POAI -SEPTIEMBRE-2021'!BP144+'SGTO POAI -SEPTIEMBRE-2021'!BP145+'SGTO POAI -SEPTIEMBRE-2021'!BP146+'SGTO POAI -SEPTIEMBRE-2021'!BP147+'SGTO POAI -SEPTIEMBRE-2021'!BP148+'SGTO POAI -SEPTIEMBRE-2021'!BP149+'SGTO POAI -SEPTIEMBRE-2021'!BP150</f>
        <v>152973653.47999999</v>
      </c>
      <c r="D85" s="120">
        <f>'SGTO POAI -SEPTIEMBRE-2021'!BQ141+'SGTO POAI -SEPTIEMBRE-2021'!BQ142+'SGTO POAI -SEPTIEMBRE-2021'!BQ143+'SGTO POAI -SEPTIEMBRE-2021'!BQ144+'SGTO POAI -SEPTIEMBRE-2021'!BQ145+'SGTO POAI -SEPTIEMBRE-2021'!BQ146+'SGTO POAI -SEPTIEMBRE-2021'!BQ147+'SGTO POAI -SEPTIEMBRE-2021'!BQ148+'SGTO POAI -SEPTIEMBRE-2021'!BQ149+'SGTO POAI -SEPTIEMBRE-2021'!BQ150</f>
        <v>72192159</v>
      </c>
      <c r="E85" s="175">
        <f t="shared" si="17"/>
        <v>0.47192544178490525</v>
      </c>
      <c r="F85" s="120">
        <f>'SGTO POAI -SEPTIEMBRE-2021'!BR141+'SGTO POAI -SEPTIEMBRE-2021'!BR142+'SGTO POAI -SEPTIEMBRE-2021'!BR143+'SGTO POAI -SEPTIEMBRE-2021'!BR144+'SGTO POAI -SEPTIEMBRE-2021'!BR145+'SGTO POAI -SEPTIEMBRE-2021'!BR146+'SGTO POAI -SEPTIEMBRE-2021'!BR147+'SGTO POAI -SEPTIEMBRE-2021'!BR148+'SGTO POAI -SEPTIEMBRE-2021'!BR149+'SGTO POAI -SEPTIEMBRE-2021'!BR150</f>
        <v>45903487</v>
      </c>
      <c r="G85" s="175">
        <f t="shared" si="16"/>
        <v>0.63585142259009042</v>
      </c>
    </row>
    <row r="86" spans="1:7" ht="90" customHeight="1" thickBot="1" x14ac:dyDescent="0.25">
      <c r="A86" s="106" t="s">
        <v>719</v>
      </c>
      <c r="B86" s="115" t="s">
        <v>720</v>
      </c>
      <c r="C86" s="120">
        <f>'SGTO POAI -SEPTIEMBRE-2021'!BP151+'SGTO POAI -SEPTIEMBRE-2021'!BP152+'SGTO POAI -SEPTIEMBRE-2021'!BP153+'SGTO POAI -SEPTIEMBRE-2021'!BP154</f>
        <v>177612388860.63</v>
      </c>
      <c r="D86" s="120">
        <f>'SGTO POAI -SEPTIEMBRE-2021'!BQ151+'SGTO POAI -SEPTIEMBRE-2021'!BQ152+'SGTO POAI -SEPTIEMBRE-2021'!BQ153+'SGTO POAI -SEPTIEMBRE-2021'!BQ154</f>
        <v>116368490107.87</v>
      </c>
      <c r="E86" s="175">
        <f t="shared" si="17"/>
        <v>0.65518228122691791</v>
      </c>
      <c r="F86" s="120">
        <f>'SGTO POAI -SEPTIEMBRE-2021'!BR151+'SGTO POAI -SEPTIEMBRE-2021'!BR152+'SGTO POAI -SEPTIEMBRE-2021'!BR153+'SGTO POAI -SEPTIEMBRE-2021'!BR154</f>
        <v>114136953394.37</v>
      </c>
      <c r="G86" s="175">
        <f t="shared" si="16"/>
        <v>0.9808235312546254</v>
      </c>
    </row>
    <row r="87" spans="1:7" ht="90" customHeight="1" thickBot="1" x14ac:dyDescent="0.25">
      <c r="A87" s="108" t="s">
        <v>731</v>
      </c>
      <c r="B87" s="114" t="s">
        <v>1429</v>
      </c>
      <c r="C87" s="120">
        <f>'SGTO POAI -SEPTIEMBRE-2021'!BP155+'SGTO POAI -SEPTIEMBRE-2021'!BP156+'SGTO POAI -SEPTIEMBRE-2021'!BP157</f>
        <v>611945607.01999998</v>
      </c>
      <c r="D87" s="120">
        <f>'SGTO POAI -SEPTIEMBRE-2021'!BQ155+'SGTO POAI -SEPTIEMBRE-2021'!BQ156+'SGTO POAI -SEPTIEMBRE-2021'!BQ157</f>
        <v>603802211</v>
      </c>
      <c r="E87" s="175">
        <f t="shared" si="17"/>
        <v>0.98669261462688496</v>
      </c>
      <c r="F87" s="120">
        <f>'SGTO POAI -SEPTIEMBRE-2021'!BR155+'SGTO POAI -SEPTIEMBRE-2021'!BR156+'SGTO POAI -SEPTIEMBRE-2021'!BR157</f>
        <v>597802211</v>
      </c>
      <c r="G87" s="175">
        <v>0</v>
      </c>
    </row>
    <row r="88" spans="1:7" ht="90" customHeight="1" thickBot="1" x14ac:dyDescent="0.25">
      <c r="A88" s="106" t="s">
        <v>741</v>
      </c>
      <c r="B88" s="115" t="s">
        <v>742</v>
      </c>
      <c r="C88" s="120">
        <f>'SGTO POAI -SEPTIEMBRE-2021'!BP158+'SGTO POAI -SEPTIEMBRE-2021'!BP159+'SGTO POAI -SEPTIEMBRE-2021'!BP160</f>
        <v>19999999.990000002</v>
      </c>
      <c r="D88" s="120">
        <f>'SGTO POAI -SEPTIEMBRE-2021'!BQ158+'SGTO POAI -SEPTIEMBRE-2021'!BQ159+'SGTO POAI -SEPTIEMBRE-2021'!BQ160</f>
        <v>9197089</v>
      </c>
      <c r="E88" s="175">
        <f t="shared" si="17"/>
        <v>0.45985445022992716</v>
      </c>
      <c r="F88" s="120">
        <f>'SGTO POAI -SEPTIEMBRE-2021'!BR158+'SGTO POAI -SEPTIEMBRE-2021'!BR159+'SGTO POAI -SEPTIEMBRE-2021'!BR160</f>
        <v>0</v>
      </c>
      <c r="G88" s="175">
        <v>0</v>
      </c>
    </row>
    <row r="89" spans="1:7" ht="90" customHeight="1" thickBot="1" x14ac:dyDescent="0.25">
      <c r="A89" s="108" t="s">
        <v>748</v>
      </c>
      <c r="B89" s="115" t="s">
        <v>749</v>
      </c>
      <c r="C89" s="120">
        <f>'SGTO POAI -SEPTIEMBRE-2021'!BP161+'SGTO POAI -SEPTIEMBRE-2021'!BP162</f>
        <v>9000000</v>
      </c>
      <c r="D89" s="120">
        <f>'SGTO POAI -SEPTIEMBRE-2021'!BQ161+'SGTO POAI -SEPTIEMBRE-2021'!BQ162</f>
        <v>9000000</v>
      </c>
      <c r="E89" s="175">
        <f t="shared" si="17"/>
        <v>1</v>
      </c>
      <c r="F89" s="120">
        <f>'SGTO POAI -SEPTIEMBRE-2021'!BR161+'SGTO POAI -SEPTIEMBRE-2021'!BR162</f>
        <v>3000000</v>
      </c>
      <c r="G89" s="175">
        <v>0</v>
      </c>
    </row>
    <row r="90" spans="1:7" ht="90" customHeight="1" thickBot="1" x14ac:dyDescent="0.25">
      <c r="A90" s="108" t="s">
        <v>756</v>
      </c>
      <c r="B90" s="115" t="s">
        <v>1430</v>
      </c>
      <c r="C90" s="120">
        <f>'SGTO POAI -SEPTIEMBRE-2021'!BP163</f>
        <v>404217269</v>
      </c>
      <c r="D90" s="120">
        <f>'SGTO POAI -SEPTIEMBRE-2021'!BQ163</f>
        <v>103510812</v>
      </c>
      <c r="E90" s="175">
        <f t="shared" si="17"/>
        <v>0.25607716428364669</v>
      </c>
      <c r="F90" s="120">
        <f>'SGTO POAI -SEPTIEMBRE-2021'!BR163</f>
        <v>53212188</v>
      </c>
      <c r="G90" s="175">
        <v>0</v>
      </c>
    </row>
    <row r="91" spans="1:7" ht="90" customHeight="1" thickBot="1" x14ac:dyDescent="0.25">
      <c r="A91" s="108" t="s">
        <v>764</v>
      </c>
      <c r="B91" s="115" t="s">
        <v>1431</v>
      </c>
      <c r="C91" s="120">
        <f>'SGTO POAI -SEPTIEMBRE-2021'!BP164</f>
        <v>7500000</v>
      </c>
      <c r="D91" s="120">
        <f>'SGTO POAI -SEPTIEMBRE-2021'!BQ164</f>
        <v>0</v>
      </c>
      <c r="E91" s="175">
        <f t="shared" si="17"/>
        <v>0</v>
      </c>
      <c r="F91" s="120">
        <f>'SGTO POAI -SEPTIEMBRE-2021'!BR164</f>
        <v>0</v>
      </c>
      <c r="G91" s="175">
        <v>0</v>
      </c>
    </row>
    <row r="92" spans="1:7" ht="20.100000000000001" customHeight="1" thickBot="1" x14ac:dyDescent="0.25">
      <c r="A92" s="604" t="s">
        <v>767</v>
      </c>
      <c r="B92" s="605"/>
      <c r="C92" s="119">
        <f>SUM(C93:C120)</f>
        <v>6188861113.0100002</v>
      </c>
      <c r="D92" s="119">
        <f t="shared" ref="D92:F92" si="20">SUM(D93:D120)</f>
        <v>3490031909.25</v>
      </c>
      <c r="E92" s="179">
        <f t="shared" si="17"/>
        <v>0.56392151084363185</v>
      </c>
      <c r="F92" s="119">
        <f t="shared" si="20"/>
        <v>2981879120.7600002</v>
      </c>
      <c r="G92" s="174">
        <f>F92/D92</f>
        <v>0.85439881304718479</v>
      </c>
    </row>
    <row r="93" spans="1:7" ht="90" customHeight="1" thickBot="1" x14ac:dyDescent="0.25">
      <c r="A93" s="107" t="s">
        <v>772</v>
      </c>
      <c r="B93" s="115" t="s">
        <v>1432</v>
      </c>
      <c r="C93" s="120">
        <f>'SGTO POAI -SEPTIEMBRE-2021'!BP165+'SGTO POAI -SEPTIEMBRE-2021'!BP166</f>
        <v>170000000</v>
      </c>
      <c r="D93" s="120">
        <f>'SGTO POAI -SEPTIEMBRE-2021'!BQ165+'SGTO POAI -SEPTIEMBRE-2021'!BQ166</f>
        <v>148763550</v>
      </c>
      <c r="E93" s="175">
        <f t="shared" si="17"/>
        <v>0.87507970588235295</v>
      </c>
      <c r="F93" s="120">
        <f>'SGTO POAI -SEPTIEMBRE-2021'!BR165+'SGTO POAI -SEPTIEMBRE-2021'!BR166</f>
        <v>97280667</v>
      </c>
      <c r="G93" s="175">
        <f t="shared" ref="G93:G120" si="21">F93/D93</f>
        <v>0.65392810940583224</v>
      </c>
    </row>
    <row r="94" spans="1:7" ht="90" customHeight="1" thickBot="1" x14ac:dyDescent="0.25">
      <c r="A94" s="108" t="s">
        <v>781</v>
      </c>
      <c r="B94" s="114" t="s">
        <v>1433</v>
      </c>
      <c r="C94" s="120">
        <f>'SGTO POAI -SEPTIEMBRE-2021'!BP167</f>
        <v>14250000</v>
      </c>
      <c r="D94" s="120">
        <f>'SGTO POAI -SEPTIEMBRE-2021'!BQ167</f>
        <v>12985000</v>
      </c>
      <c r="E94" s="175">
        <f t="shared" si="17"/>
        <v>0.91122807017543861</v>
      </c>
      <c r="F94" s="120">
        <f>'SGTO POAI -SEPTIEMBRE-2021'!BR167</f>
        <v>9275000</v>
      </c>
      <c r="G94" s="175">
        <f t="shared" si="21"/>
        <v>0.7142857142857143</v>
      </c>
    </row>
    <row r="95" spans="1:7" ht="90" customHeight="1" thickBot="1" x14ac:dyDescent="0.25">
      <c r="A95" s="108" t="s">
        <v>789</v>
      </c>
      <c r="B95" s="114" t="s">
        <v>1434</v>
      </c>
      <c r="C95" s="120">
        <f>'SGTO POAI -SEPTIEMBRE-2021'!BP168+'SGTO POAI -SEPTIEMBRE-2021'!BP169</f>
        <v>101930000</v>
      </c>
      <c r="D95" s="120">
        <f>'SGTO POAI -SEPTIEMBRE-2021'!BQ168+'SGTO POAI -SEPTIEMBRE-2021'!BQ169</f>
        <v>86166501</v>
      </c>
      <c r="E95" s="175">
        <f t="shared" si="17"/>
        <v>0.84534975963896797</v>
      </c>
      <c r="F95" s="120">
        <f>'SGTO POAI -SEPTIEMBRE-2021'!BR168+'SGTO POAI -SEPTIEMBRE-2021'!BR169</f>
        <v>31735000</v>
      </c>
      <c r="G95" s="175">
        <f t="shared" si="21"/>
        <v>0.36829858044253183</v>
      </c>
    </row>
    <row r="96" spans="1:7" ht="90" customHeight="1" thickBot="1" x14ac:dyDescent="0.25">
      <c r="A96" s="108" t="s">
        <v>803</v>
      </c>
      <c r="B96" s="114" t="s">
        <v>1435</v>
      </c>
      <c r="C96" s="120">
        <f>'SGTO POAI -SEPTIEMBRE-2021'!BP170</f>
        <v>132000000</v>
      </c>
      <c r="D96" s="120">
        <f>'SGTO POAI -SEPTIEMBRE-2021'!BQ170</f>
        <v>79519000</v>
      </c>
      <c r="E96" s="175">
        <f t="shared" si="17"/>
        <v>0.60241666666666671</v>
      </c>
      <c r="F96" s="120">
        <f>'SGTO POAI -SEPTIEMBRE-2021'!BR170</f>
        <v>46190000</v>
      </c>
      <c r="G96" s="175">
        <f t="shared" si="21"/>
        <v>0.58086746563714331</v>
      </c>
    </row>
    <row r="97" spans="1:7" ht="90" customHeight="1" thickBot="1" x14ac:dyDescent="0.25">
      <c r="A97" s="108" t="s">
        <v>812</v>
      </c>
      <c r="B97" s="114" t="s">
        <v>1436</v>
      </c>
      <c r="C97" s="120">
        <f>'SGTO POAI -SEPTIEMBRE-2021'!BP171+'SGTO POAI -SEPTIEMBRE-2021'!BP172</f>
        <v>464647889</v>
      </c>
      <c r="D97" s="120">
        <f>'SGTO POAI -SEPTIEMBRE-2021'!BQ171+'SGTO POAI -SEPTIEMBRE-2021'!BQ172</f>
        <v>86935000</v>
      </c>
      <c r="E97" s="175">
        <f t="shared" si="17"/>
        <v>0.18709866558761015</v>
      </c>
      <c r="F97" s="120">
        <f>'SGTO POAI -SEPTIEMBRE-2021'!BR171+'SGTO POAI -SEPTIEMBRE-2021'!BR172</f>
        <v>63642000</v>
      </c>
      <c r="G97" s="175">
        <f t="shared" si="21"/>
        <v>0.73206418588600675</v>
      </c>
    </row>
    <row r="98" spans="1:7" ht="90" customHeight="1" thickBot="1" x14ac:dyDescent="0.25">
      <c r="A98" s="108" t="s">
        <v>823</v>
      </c>
      <c r="B98" s="114" t="s">
        <v>1437</v>
      </c>
      <c r="C98" s="120">
        <f>'SGTO POAI -SEPTIEMBRE-2021'!BP173</f>
        <v>200000000</v>
      </c>
      <c r="D98" s="120">
        <f>'SGTO POAI -SEPTIEMBRE-2021'!BQ173</f>
        <v>139324380</v>
      </c>
      <c r="E98" s="175">
        <f t="shared" si="17"/>
        <v>0.69662190000000002</v>
      </c>
      <c r="F98" s="120">
        <f>'SGTO POAI -SEPTIEMBRE-2021'!BR173</f>
        <v>64719400</v>
      </c>
      <c r="G98" s="175">
        <f t="shared" si="21"/>
        <v>0.46452315093740232</v>
      </c>
    </row>
    <row r="99" spans="1:7" ht="90" customHeight="1" thickBot="1" x14ac:dyDescent="0.25">
      <c r="A99" s="108" t="s">
        <v>831</v>
      </c>
      <c r="B99" s="114" t="s">
        <v>1438</v>
      </c>
      <c r="C99" s="120">
        <f>'SGTO POAI -SEPTIEMBRE-2021'!BP174</f>
        <v>28000000</v>
      </c>
      <c r="D99" s="120">
        <f>'SGTO POAI -SEPTIEMBRE-2021'!BQ174</f>
        <v>18880296</v>
      </c>
      <c r="E99" s="175">
        <f t="shared" si="17"/>
        <v>0.67429628571428568</v>
      </c>
      <c r="F99" s="120">
        <f>'SGTO POAI -SEPTIEMBRE-2021'!BR174</f>
        <v>12259333</v>
      </c>
      <c r="G99" s="175">
        <f t="shared" si="21"/>
        <v>0.64931889839015233</v>
      </c>
    </row>
    <row r="100" spans="1:7" ht="90" customHeight="1" thickBot="1" x14ac:dyDescent="0.25">
      <c r="A100" s="108" t="s">
        <v>839</v>
      </c>
      <c r="B100" s="114" t="s">
        <v>840</v>
      </c>
      <c r="C100" s="120">
        <f>'SGTO POAI -SEPTIEMBRE-2021'!BP175+'SGTO POAI -SEPTIEMBRE-2021'!BP176</f>
        <v>50985000</v>
      </c>
      <c r="D100" s="120">
        <f>'SGTO POAI -SEPTIEMBRE-2021'!BQ175+'SGTO POAI -SEPTIEMBRE-2021'!BQ176</f>
        <v>20195000</v>
      </c>
      <c r="E100" s="175">
        <f t="shared" si="17"/>
        <v>0.39609689124252229</v>
      </c>
      <c r="F100" s="120">
        <f>'SGTO POAI -SEPTIEMBRE-2021'!BR175+'SGTO POAI -SEPTIEMBRE-2021'!BR176</f>
        <v>14425000</v>
      </c>
      <c r="G100" s="175">
        <f t="shared" si="21"/>
        <v>0.7142857142857143</v>
      </c>
    </row>
    <row r="101" spans="1:7" ht="90" customHeight="1" thickBot="1" x14ac:dyDescent="0.25">
      <c r="A101" s="108" t="s">
        <v>851</v>
      </c>
      <c r="B101" s="114" t="s">
        <v>1439</v>
      </c>
      <c r="C101" s="120">
        <f>'SGTO POAI -SEPTIEMBRE-2021'!BP177</f>
        <v>37000000</v>
      </c>
      <c r="D101" s="120">
        <f>'SGTO POAI -SEPTIEMBRE-2021'!BQ177</f>
        <v>13952167</v>
      </c>
      <c r="E101" s="175">
        <f t="shared" si="17"/>
        <v>0.37708559459459462</v>
      </c>
      <c r="F101" s="120">
        <f>'SGTO POAI -SEPTIEMBRE-2021'!BR177</f>
        <v>2500000</v>
      </c>
      <c r="G101" s="175">
        <f t="shared" si="21"/>
        <v>0.17918363505826729</v>
      </c>
    </row>
    <row r="102" spans="1:7" ht="90" customHeight="1" thickBot="1" x14ac:dyDescent="0.25">
      <c r="A102" s="108" t="s">
        <v>857</v>
      </c>
      <c r="B102" s="113" t="s">
        <v>1440</v>
      </c>
      <c r="C102" s="120">
        <f>'SGTO POAI -SEPTIEMBRE-2021'!BP178</f>
        <v>15000000</v>
      </c>
      <c r="D102" s="120">
        <f>'SGTO POAI -SEPTIEMBRE-2021'!BQ178</f>
        <v>13600000</v>
      </c>
      <c r="E102" s="175">
        <f t="shared" si="17"/>
        <v>0.90666666666666662</v>
      </c>
      <c r="F102" s="120">
        <f>'SGTO POAI -SEPTIEMBRE-2021'!BR178</f>
        <v>6600000</v>
      </c>
      <c r="G102" s="175">
        <f t="shared" si="21"/>
        <v>0.48529411764705882</v>
      </c>
    </row>
    <row r="103" spans="1:7" ht="90" customHeight="1" thickBot="1" x14ac:dyDescent="0.25">
      <c r="A103" s="108" t="s">
        <v>862</v>
      </c>
      <c r="B103" s="113" t="s">
        <v>1441</v>
      </c>
      <c r="C103" s="120">
        <f>'SGTO POAI -SEPTIEMBRE-2021'!BP179</f>
        <v>20000000</v>
      </c>
      <c r="D103" s="120">
        <f>'SGTO POAI -SEPTIEMBRE-2021'!BQ179</f>
        <v>20000000</v>
      </c>
      <c r="E103" s="175">
        <f t="shared" si="17"/>
        <v>1</v>
      </c>
      <c r="F103" s="120">
        <f>'SGTO POAI -SEPTIEMBRE-2021'!BR179</f>
        <v>11540000</v>
      </c>
      <c r="G103" s="175">
        <f t="shared" si="21"/>
        <v>0.57699999999999996</v>
      </c>
    </row>
    <row r="104" spans="1:7" ht="90" customHeight="1" thickBot="1" x14ac:dyDescent="0.25">
      <c r="A104" s="108" t="s">
        <v>867</v>
      </c>
      <c r="B104" s="113" t="s">
        <v>1442</v>
      </c>
      <c r="C104" s="120">
        <f>'SGTO POAI -SEPTIEMBRE-2021'!BP180</f>
        <v>25000000</v>
      </c>
      <c r="D104" s="120">
        <f>'SGTO POAI -SEPTIEMBRE-2021'!BQ180</f>
        <v>24000000</v>
      </c>
      <c r="E104" s="175">
        <f t="shared" si="17"/>
        <v>0.96</v>
      </c>
      <c r="F104" s="120">
        <f>'SGTO POAI -SEPTIEMBRE-2021'!BR180</f>
        <v>15800000</v>
      </c>
      <c r="G104" s="175">
        <f t="shared" si="21"/>
        <v>0.65833333333333333</v>
      </c>
    </row>
    <row r="105" spans="1:7" ht="90" customHeight="1" thickBot="1" x14ac:dyDescent="0.25">
      <c r="A105" s="108" t="s">
        <v>873</v>
      </c>
      <c r="B105" s="113" t="s">
        <v>1443</v>
      </c>
      <c r="C105" s="120">
        <f>'SGTO POAI -SEPTIEMBRE-2021'!BP181</f>
        <v>75112368</v>
      </c>
      <c r="D105" s="120">
        <f>'SGTO POAI -SEPTIEMBRE-2021'!BQ181</f>
        <v>26965000</v>
      </c>
      <c r="E105" s="175">
        <f t="shared" si="17"/>
        <v>0.35899547195742781</v>
      </c>
      <c r="F105" s="120">
        <f>'SGTO POAI -SEPTIEMBRE-2021'!BR181</f>
        <v>15738387.51</v>
      </c>
      <c r="G105" s="175">
        <f t="shared" si="21"/>
        <v>0.58365983719636561</v>
      </c>
    </row>
    <row r="106" spans="1:7" ht="90" customHeight="1" thickBot="1" x14ac:dyDescent="0.25">
      <c r="A106" s="108" t="s">
        <v>881</v>
      </c>
      <c r="B106" s="113" t="s">
        <v>1444</v>
      </c>
      <c r="C106" s="120">
        <f>'SGTO POAI -SEPTIEMBRE-2021'!BP182+'SGTO POAI -SEPTIEMBRE-2021'!BP183</f>
        <v>47000000</v>
      </c>
      <c r="D106" s="120">
        <f>'SGTO POAI -SEPTIEMBRE-2021'!BQ182+'SGTO POAI -SEPTIEMBRE-2021'!BQ183</f>
        <v>12844445</v>
      </c>
      <c r="E106" s="175">
        <f t="shared" si="17"/>
        <v>0.27328606382978721</v>
      </c>
      <c r="F106" s="120">
        <f>'SGTO POAI -SEPTIEMBRE-2021'!BR182+'SGTO POAI -SEPTIEMBRE-2021'!BR183</f>
        <v>0</v>
      </c>
      <c r="G106" s="175">
        <v>0</v>
      </c>
    </row>
    <row r="107" spans="1:7" ht="90" customHeight="1" thickBot="1" x14ac:dyDescent="0.25">
      <c r="A107" s="108" t="s">
        <v>890</v>
      </c>
      <c r="B107" s="113" t="s">
        <v>891</v>
      </c>
      <c r="C107" s="120">
        <f>'SGTO POAI -SEPTIEMBRE-2021'!BP184</f>
        <v>51681346</v>
      </c>
      <c r="D107" s="120">
        <f>'SGTO POAI -SEPTIEMBRE-2021'!BQ184</f>
        <v>35177167</v>
      </c>
      <c r="E107" s="175">
        <f t="shared" si="17"/>
        <v>0.68065500848217075</v>
      </c>
      <c r="F107" s="120">
        <f>'SGTO POAI -SEPTIEMBRE-2021'!BR184</f>
        <v>5770000</v>
      </c>
      <c r="G107" s="175">
        <v>0</v>
      </c>
    </row>
    <row r="108" spans="1:7" ht="90" customHeight="1" thickBot="1" x14ac:dyDescent="0.25">
      <c r="A108" s="108" t="s">
        <v>899</v>
      </c>
      <c r="B108" s="114" t="s">
        <v>900</v>
      </c>
      <c r="C108" s="120">
        <f>'SGTO POAI -SEPTIEMBRE-2021'!BP185+'SGTO POAI -SEPTIEMBRE-2021'!BP186</f>
        <v>102080000</v>
      </c>
      <c r="D108" s="120">
        <f>'SGTO POAI -SEPTIEMBRE-2021'!BQ185+'SGTO POAI -SEPTIEMBRE-2021'!BQ186</f>
        <v>25080000</v>
      </c>
      <c r="E108" s="175">
        <f t="shared" si="17"/>
        <v>0.24568965517241378</v>
      </c>
      <c r="F108" s="120">
        <f>'SGTO POAI -SEPTIEMBRE-2021'!BR185+'SGTO POAI -SEPTIEMBRE-2021'!BR186</f>
        <v>14425000</v>
      </c>
      <c r="G108" s="175">
        <f t="shared" si="21"/>
        <v>0.57515948963317387</v>
      </c>
    </row>
    <row r="109" spans="1:7" ht="90" customHeight="1" thickBot="1" x14ac:dyDescent="0.25">
      <c r="A109" s="107" t="s">
        <v>909</v>
      </c>
      <c r="B109" s="113" t="s">
        <v>1445</v>
      </c>
      <c r="C109" s="120">
        <f>'SGTO POAI -SEPTIEMBRE-2021'!BP187</f>
        <v>35000000</v>
      </c>
      <c r="D109" s="120">
        <f>'SGTO POAI -SEPTIEMBRE-2021'!BQ187</f>
        <v>34910735</v>
      </c>
      <c r="E109" s="175">
        <f t="shared" si="17"/>
        <v>0.99744957142857138</v>
      </c>
      <c r="F109" s="120">
        <f>'SGTO POAI -SEPTIEMBRE-2021'!BR187</f>
        <v>23845000</v>
      </c>
      <c r="G109" s="175">
        <f t="shared" si="21"/>
        <v>0.68302772771756304</v>
      </c>
    </row>
    <row r="110" spans="1:7" ht="90" customHeight="1" thickBot="1" x14ac:dyDescent="0.25">
      <c r="A110" s="108" t="s">
        <v>956</v>
      </c>
      <c r="B110" s="113" t="s">
        <v>1446</v>
      </c>
      <c r="C110" s="120">
        <f>'SGTO POAI -SEPTIEMBRE-2021'!BP194</f>
        <v>90000000</v>
      </c>
      <c r="D110" s="120">
        <f>'SGTO POAI -SEPTIEMBRE-2021'!BQ194</f>
        <v>82265800</v>
      </c>
      <c r="E110" s="175">
        <f t="shared" si="17"/>
        <v>0.91406444444444446</v>
      </c>
      <c r="F110" s="120">
        <f>'SGTO POAI -SEPTIEMBRE-2021'!BR194</f>
        <v>62360000</v>
      </c>
      <c r="G110" s="175">
        <f t="shared" si="21"/>
        <v>0.75803067617406017</v>
      </c>
    </row>
    <row r="111" spans="1:7" ht="90" customHeight="1" thickBot="1" x14ac:dyDescent="0.25">
      <c r="A111" s="108" t="s">
        <v>950</v>
      </c>
      <c r="B111" s="113" t="s">
        <v>951</v>
      </c>
      <c r="C111" s="120">
        <f>'SGTO POAI -SEPTIEMBRE-2021'!BP193</f>
        <v>77000000</v>
      </c>
      <c r="D111" s="120">
        <f>'SGTO POAI -SEPTIEMBRE-2021'!BQ193</f>
        <v>71013346</v>
      </c>
      <c r="E111" s="175">
        <f t="shared" si="17"/>
        <v>0.92225124675324677</v>
      </c>
      <c r="F111" s="120">
        <f>'SGTO POAI -SEPTIEMBRE-2021'!BR193</f>
        <v>50230000</v>
      </c>
      <c r="G111" s="175">
        <f t="shared" si="21"/>
        <v>0.70733183027314328</v>
      </c>
    </row>
    <row r="112" spans="1:7" ht="90" customHeight="1" thickBot="1" x14ac:dyDescent="0.25">
      <c r="A112" s="108" t="s">
        <v>917</v>
      </c>
      <c r="B112" s="114" t="s">
        <v>1447</v>
      </c>
      <c r="C112" s="120">
        <f>'SGTO POAI -SEPTIEMBRE-2021'!BP188+'SGTO POAI -SEPTIEMBRE-2021'!BP189</f>
        <v>4100885007.0100002</v>
      </c>
      <c r="D112" s="120">
        <f>'SGTO POAI -SEPTIEMBRE-2021'!BQ188+'SGTO POAI -SEPTIEMBRE-2021'!BQ189</f>
        <v>2327019333.25</v>
      </c>
      <c r="E112" s="175">
        <f t="shared" si="17"/>
        <v>0.56744320537450399</v>
      </c>
      <c r="F112" s="120">
        <f>'SGTO POAI -SEPTIEMBRE-2021'!BR188+'SGTO POAI -SEPTIEMBRE-2021'!BR189</f>
        <v>2321904333.25</v>
      </c>
      <c r="G112" s="175">
        <f t="shared" si="21"/>
        <v>0.99780190910882716</v>
      </c>
    </row>
    <row r="113" spans="1:7" ht="90" customHeight="1" thickBot="1" x14ac:dyDescent="0.25">
      <c r="A113" s="108" t="s">
        <v>983</v>
      </c>
      <c r="B113" s="113" t="s">
        <v>1448</v>
      </c>
      <c r="C113" s="120">
        <f>'SGTO POAI -SEPTIEMBRE-2021'!BP199</f>
        <v>143094503</v>
      </c>
      <c r="D113" s="120">
        <f>'SGTO POAI -SEPTIEMBRE-2021'!BQ199</f>
        <v>38335000</v>
      </c>
      <c r="E113" s="175">
        <f t="shared" si="17"/>
        <v>0.26789987872559995</v>
      </c>
      <c r="F113" s="120">
        <f>'SGTO POAI -SEPTIEMBRE-2021'!BR199</f>
        <v>29680000</v>
      </c>
      <c r="G113" s="175">
        <f t="shared" si="21"/>
        <v>0.77422720751271679</v>
      </c>
    </row>
    <row r="114" spans="1:7" ht="90" customHeight="1" thickBot="1" x14ac:dyDescent="0.25">
      <c r="A114" s="108" t="s">
        <v>962</v>
      </c>
      <c r="B114" s="113" t="s">
        <v>1449</v>
      </c>
      <c r="C114" s="120">
        <f>'SGTO POAI -SEPTIEMBRE-2021'!BP195</f>
        <v>33000000</v>
      </c>
      <c r="D114" s="120">
        <f>'SGTO POAI -SEPTIEMBRE-2021'!BQ195</f>
        <v>29538000</v>
      </c>
      <c r="E114" s="175">
        <f t="shared" si="17"/>
        <v>0.89509090909090905</v>
      </c>
      <c r="F114" s="120">
        <f>'SGTO POAI -SEPTIEMBRE-2021'!BR195</f>
        <v>22818000</v>
      </c>
      <c r="G114" s="175">
        <f t="shared" si="21"/>
        <v>0.77249644525695715</v>
      </c>
    </row>
    <row r="115" spans="1:7" ht="90" customHeight="1" thickBot="1" x14ac:dyDescent="0.25">
      <c r="A115" s="108" t="s">
        <v>966</v>
      </c>
      <c r="B115" s="114" t="s">
        <v>967</v>
      </c>
      <c r="C115" s="120">
        <f>'SGTO POAI -SEPTIEMBRE-2021'!BP196</f>
        <v>33000000</v>
      </c>
      <c r="D115" s="120">
        <f>'SGTO POAI -SEPTIEMBRE-2021'!BQ196</f>
        <v>32331167</v>
      </c>
      <c r="E115" s="175">
        <f t="shared" si="17"/>
        <v>0.97973233333333332</v>
      </c>
      <c r="F115" s="120">
        <f>'SGTO POAI -SEPTIEMBRE-2021'!BR196</f>
        <v>20702000</v>
      </c>
      <c r="G115" s="175">
        <f t="shared" si="21"/>
        <v>0.64031094207023209</v>
      </c>
    </row>
    <row r="116" spans="1:7" ht="90" customHeight="1" thickBot="1" x14ac:dyDescent="0.25">
      <c r="A116" s="108" t="s">
        <v>929</v>
      </c>
      <c r="B116" s="114" t="s">
        <v>1450</v>
      </c>
      <c r="C116" s="120">
        <f>'SGTO POAI -SEPTIEMBRE-2021'!BP190</f>
        <v>18000000</v>
      </c>
      <c r="D116" s="120">
        <f>'SGTO POAI -SEPTIEMBRE-2021'!BQ190</f>
        <v>18000000</v>
      </c>
      <c r="E116" s="175">
        <f t="shared" si="17"/>
        <v>1</v>
      </c>
      <c r="F116" s="120">
        <f>'SGTO POAI -SEPTIEMBRE-2021'!BR190</f>
        <v>11540000</v>
      </c>
      <c r="G116" s="175">
        <f t="shared" si="21"/>
        <v>0.64111111111111108</v>
      </c>
    </row>
    <row r="117" spans="1:7" ht="90" customHeight="1" thickBot="1" x14ac:dyDescent="0.25">
      <c r="A117" s="108" t="s">
        <v>935</v>
      </c>
      <c r="B117" s="114" t="s">
        <v>1451</v>
      </c>
      <c r="C117" s="120">
        <f>'SGTO POAI -SEPTIEMBRE-2021'!BP191</f>
        <v>38195000</v>
      </c>
      <c r="D117" s="120">
        <f>'SGTO POAI -SEPTIEMBRE-2021'!BQ191</f>
        <v>29095000</v>
      </c>
      <c r="E117" s="175">
        <f t="shared" si="17"/>
        <v>0.76174892001570882</v>
      </c>
      <c r="F117" s="120">
        <f>'SGTO POAI -SEPTIEMBRE-2021'!BR191</f>
        <v>14670000</v>
      </c>
      <c r="G117" s="175">
        <f t="shared" si="21"/>
        <v>0.50421034542017529</v>
      </c>
    </row>
    <row r="118" spans="1:7" ht="90" customHeight="1" thickBot="1" x14ac:dyDescent="0.25">
      <c r="A118" s="108" t="s">
        <v>942</v>
      </c>
      <c r="B118" s="114" t="s">
        <v>1452</v>
      </c>
      <c r="C118" s="120">
        <f>'SGTO POAI -SEPTIEMBRE-2021'!BP192</f>
        <v>18000000</v>
      </c>
      <c r="D118" s="120">
        <f>'SGTO POAI -SEPTIEMBRE-2021'!BQ192</f>
        <v>13195000</v>
      </c>
      <c r="E118" s="175">
        <f t="shared" si="17"/>
        <v>0.73305555555555557</v>
      </c>
      <c r="F118" s="120">
        <f>'SGTO POAI -SEPTIEMBRE-2021'!BR192</f>
        <v>0</v>
      </c>
      <c r="G118" s="175">
        <v>0</v>
      </c>
    </row>
    <row r="119" spans="1:7" ht="90" customHeight="1" thickBot="1" x14ac:dyDescent="0.25">
      <c r="A119" s="171" t="str">
        <f>'SGTO POAI -SEPTIEMBRE-2021'!W197</f>
        <v>202000363-0150</v>
      </c>
      <c r="B119" s="115" t="s">
        <v>1453</v>
      </c>
      <c r="C119" s="120">
        <f>'SGTO POAI -SEPTIEMBRE-2021'!BP197</f>
        <v>50000000</v>
      </c>
      <c r="D119" s="120">
        <f>'SGTO POAI -SEPTIEMBRE-2021'!BQ197</f>
        <v>31941022</v>
      </c>
      <c r="E119" s="175">
        <f t="shared" si="17"/>
        <v>0.63882044000000004</v>
      </c>
      <c r="F119" s="120">
        <f>'SGTO POAI -SEPTIEMBRE-2021'!BR197</f>
        <v>0</v>
      </c>
      <c r="G119" s="175">
        <v>0</v>
      </c>
    </row>
    <row r="120" spans="1:7" ht="90" customHeight="1" thickBot="1" x14ac:dyDescent="0.25">
      <c r="A120" s="172" t="str">
        <f>'SGTO POAI -SEPTIEMBRE-2021'!W198</f>
        <v>202000363-0151</v>
      </c>
      <c r="B120" s="113" t="s">
        <v>979</v>
      </c>
      <c r="C120" s="120">
        <f>'SGTO POAI -SEPTIEMBRE-2021'!BP198</f>
        <v>18000000</v>
      </c>
      <c r="D120" s="120">
        <f>'SGTO POAI -SEPTIEMBRE-2021'!BQ198</f>
        <v>18000000</v>
      </c>
      <c r="E120" s="175">
        <f t="shared" si="17"/>
        <v>1</v>
      </c>
      <c r="F120" s="120">
        <f>'SGTO POAI -SEPTIEMBRE-2021'!BR198</f>
        <v>12230000</v>
      </c>
      <c r="G120" s="175">
        <f t="shared" si="21"/>
        <v>0.67944444444444441</v>
      </c>
    </row>
    <row r="121" spans="1:7" ht="20.100000000000001" customHeight="1" thickBot="1" x14ac:dyDescent="0.25">
      <c r="A121" s="604" t="s">
        <v>986</v>
      </c>
      <c r="B121" s="605"/>
      <c r="C121" s="119">
        <f>SUM(C122:C144)</f>
        <v>58530598681.800003</v>
      </c>
      <c r="D121" s="119">
        <f t="shared" ref="D121:F121" si="22">SUM(D122:D144)</f>
        <v>47631688135.249992</v>
      </c>
      <c r="E121" s="179">
        <f t="shared" si="17"/>
        <v>0.8137912341235114</v>
      </c>
      <c r="F121" s="119">
        <f t="shared" si="22"/>
        <v>38673383851.229996</v>
      </c>
      <c r="G121" s="174">
        <f>F121/D121</f>
        <v>0.81192553456046057</v>
      </c>
    </row>
    <row r="122" spans="1:7" ht="90" customHeight="1" thickBot="1" x14ac:dyDescent="0.25">
      <c r="A122" s="108" t="s">
        <v>992</v>
      </c>
      <c r="B122" s="115" t="s">
        <v>993</v>
      </c>
      <c r="C122" s="120">
        <f>'SGTO POAI -SEPTIEMBRE-2021'!BP200+'SGTO POAI -SEPTIEMBRE-2021'!BP201+'SGTO POAI -SEPTIEMBRE-2021'!BP202+'SGTO POAI -SEPTIEMBRE-2021'!BP203+'SGTO POAI -SEPTIEMBRE-2021'!BP204+'SGTO POAI -SEPTIEMBRE-2021'!BP205+'SGTO POAI -SEPTIEMBRE-2021'!BP206+'SGTO POAI -SEPTIEMBRE-2021'!BP207</f>
        <v>1689281421.21</v>
      </c>
      <c r="D122" s="120">
        <f>'SGTO POAI -SEPTIEMBRE-2021'!BQ200+'SGTO POAI -SEPTIEMBRE-2021'!BQ201+'SGTO POAI -SEPTIEMBRE-2021'!BQ202+'SGTO POAI -SEPTIEMBRE-2021'!BQ203+'SGTO POAI -SEPTIEMBRE-2021'!BQ204+'SGTO POAI -SEPTIEMBRE-2021'!BQ205+'SGTO POAI -SEPTIEMBRE-2021'!BQ206+'SGTO POAI -SEPTIEMBRE-2021'!BQ207</f>
        <v>691101606.32999992</v>
      </c>
      <c r="E122" s="175">
        <f t="shared" si="17"/>
        <v>0.40910981299668653</v>
      </c>
      <c r="F122" s="120">
        <f>'SGTO POAI -SEPTIEMBRE-2021'!BR200+'SGTO POAI -SEPTIEMBRE-2021'!BR201+'SGTO POAI -SEPTIEMBRE-2021'!BR202+'SGTO POAI -SEPTIEMBRE-2021'!BR203+'SGTO POAI -SEPTIEMBRE-2021'!BR204+'SGTO POAI -SEPTIEMBRE-2021'!BR205+'SGTO POAI -SEPTIEMBRE-2021'!BR206+'SGTO POAI -SEPTIEMBRE-2021'!BR207</f>
        <v>580410106.32999992</v>
      </c>
      <c r="G122" s="175">
        <f t="shared" ref="G122:G144" si="23">F122/D122</f>
        <v>0.83983324740364595</v>
      </c>
    </row>
    <row r="123" spans="1:7" ht="90" customHeight="1" thickBot="1" x14ac:dyDescent="0.25">
      <c r="A123" s="108" t="s">
        <v>1020</v>
      </c>
      <c r="B123" s="114" t="s">
        <v>1454</v>
      </c>
      <c r="C123" s="120">
        <f>'SGTO POAI -SEPTIEMBRE-2021'!BP208+'SGTO POAI -SEPTIEMBRE-2021'!BP209</f>
        <v>293000000</v>
      </c>
      <c r="D123" s="120">
        <f>'SGTO POAI -SEPTIEMBRE-2021'!BQ208+'SGTO POAI -SEPTIEMBRE-2021'!BQ209</f>
        <v>237020000</v>
      </c>
      <c r="E123" s="175">
        <f t="shared" si="17"/>
        <v>0.80894197952218427</v>
      </c>
      <c r="F123" s="120">
        <f>'SGTO POAI -SEPTIEMBRE-2021'!BR208+'SGTO POAI -SEPTIEMBRE-2021'!BR209</f>
        <v>198670000</v>
      </c>
      <c r="G123" s="175">
        <f t="shared" si="23"/>
        <v>0.83819930807526788</v>
      </c>
    </row>
    <row r="124" spans="1:7" ht="90" customHeight="1" thickBot="1" x14ac:dyDescent="0.25">
      <c r="A124" s="108" t="s">
        <v>1029</v>
      </c>
      <c r="B124" s="114" t="s">
        <v>1455</v>
      </c>
      <c r="C124" s="120">
        <f>'SGTO POAI -SEPTIEMBRE-2021'!BP210+'SGTO POAI -SEPTIEMBRE-2021'!BP211+'SGTO POAI -SEPTIEMBRE-2021'!BP212</f>
        <v>947714309</v>
      </c>
      <c r="D124" s="120">
        <f>'SGTO POAI -SEPTIEMBRE-2021'!BQ210+'SGTO POAI -SEPTIEMBRE-2021'!BQ211+'SGTO POAI -SEPTIEMBRE-2021'!BQ212</f>
        <v>745507131</v>
      </c>
      <c r="E124" s="175">
        <f t="shared" si="17"/>
        <v>0.78663698956559702</v>
      </c>
      <c r="F124" s="120">
        <f>'SGTO POAI -SEPTIEMBRE-2021'!BR210+'SGTO POAI -SEPTIEMBRE-2021'!BR211+'SGTO POAI -SEPTIEMBRE-2021'!BR212</f>
        <v>542938650</v>
      </c>
      <c r="G124" s="175">
        <f t="shared" si="23"/>
        <v>0.72828096127225372</v>
      </c>
    </row>
    <row r="125" spans="1:7" ht="90" customHeight="1" thickBot="1" x14ac:dyDescent="0.25">
      <c r="A125" s="108" t="s">
        <v>1037</v>
      </c>
      <c r="B125" s="114" t="s">
        <v>1038</v>
      </c>
      <c r="C125" s="120">
        <f>'SGTO POAI -SEPTIEMBRE-2021'!BP213</f>
        <v>96954000</v>
      </c>
      <c r="D125" s="120">
        <f>'SGTO POAI -SEPTIEMBRE-2021'!BQ213</f>
        <v>46930000</v>
      </c>
      <c r="E125" s="175">
        <f t="shared" si="17"/>
        <v>0.48404397961920087</v>
      </c>
      <c r="F125" s="120">
        <f>'SGTO POAI -SEPTIEMBRE-2021'!BR213</f>
        <v>29908500</v>
      </c>
      <c r="G125" s="175">
        <f t="shared" si="23"/>
        <v>0.63730023439164718</v>
      </c>
    </row>
    <row r="126" spans="1:7" ht="90" customHeight="1" thickBot="1" x14ac:dyDescent="0.25">
      <c r="A126" s="108" t="s">
        <v>1043</v>
      </c>
      <c r="B126" s="114" t="s">
        <v>1044</v>
      </c>
      <c r="C126" s="120">
        <f>'SGTO POAI -SEPTIEMBRE-2021'!BP214+'SGTO POAI -SEPTIEMBRE-2021'!BP215+'SGTO POAI -SEPTIEMBRE-2021'!BP216+'SGTO POAI -SEPTIEMBRE-2021'!BP217</f>
        <v>64636000</v>
      </c>
      <c r="D126" s="120">
        <f>'SGTO POAI -SEPTIEMBRE-2021'!BQ214+'SGTO POAI -SEPTIEMBRE-2021'!BQ215+'SGTO POAI -SEPTIEMBRE-2021'!BQ216+'SGTO POAI -SEPTIEMBRE-2021'!BQ217</f>
        <v>56935000</v>
      </c>
      <c r="E126" s="175">
        <f t="shared" si="17"/>
        <v>0.88085586979392294</v>
      </c>
      <c r="F126" s="120">
        <f>'SGTO POAI -SEPTIEMBRE-2021'!BR214+'SGTO POAI -SEPTIEMBRE-2021'!BR215+'SGTO POAI -SEPTIEMBRE-2021'!BR216+'SGTO POAI -SEPTIEMBRE-2021'!BR217</f>
        <v>41080000</v>
      </c>
      <c r="G126" s="175">
        <f t="shared" si="23"/>
        <v>0.72152454553438128</v>
      </c>
    </row>
    <row r="127" spans="1:7" ht="90" customHeight="1" thickBot="1" x14ac:dyDescent="0.25">
      <c r="A127" s="108" t="s">
        <v>1053</v>
      </c>
      <c r="B127" s="114" t="s">
        <v>1054</v>
      </c>
      <c r="C127" s="120">
        <f>'SGTO POAI -SEPTIEMBRE-2021'!BP218+'SGTO POAI -SEPTIEMBRE-2021'!BP219+'SGTO POAI -SEPTIEMBRE-2021'!BP220+'SGTO POAI -SEPTIEMBRE-2021'!BP221</f>
        <v>91081005</v>
      </c>
      <c r="D127" s="120">
        <f>'SGTO POAI -SEPTIEMBRE-2021'!BQ218+'SGTO POAI -SEPTIEMBRE-2021'!BQ219+'SGTO POAI -SEPTIEMBRE-2021'!BQ220+'SGTO POAI -SEPTIEMBRE-2021'!BQ221</f>
        <v>46170000</v>
      </c>
      <c r="E127" s="175">
        <f t="shared" si="17"/>
        <v>0.50691140265744761</v>
      </c>
      <c r="F127" s="120">
        <f>'SGTO POAI -SEPTIEMBRE-2021'!BR218+'SGTO POAI -SEPTIEMBRE-2021'!BR219+'SGTO POAI -SEPTIEMBRE-2021'!BR220+'SGTO POAI -SEPTIEMBRE-2021'!BR221</f>
        <v>37100000</v>
      </c>
      <c r="G127" s="175">
        <f t="shared" si="23"/>
        <v>0.80355209010179773</v>
      </c>
    </row>
    <row r="128" spans="1:7" ht="90" customHeight="1" thickBot="1" x14ac:dyDescent="0.25">
      <c r="A128" s="108" t="s">
        <v>1066</v>
      </c>
      <c r="B128" s="114" t="s">
        <v>1456</v>
      </c>
      <c r="C128" s="120">
        <f>'SGTO POAI -SEPTIEMBRE-2021'!BP222+'SGTO POAI -SEPTIEMBRE-2021'!BP223</f>
        <v>76000000</v>
      </c>
      <c r="D128" s="120">
        <f>'SGTO POAI -SEPTIEMBRE-2021'!BQ222+'SGTO POAI -SEPTIEMBRE-2021'!BQ223</f>
        <v>75887000</v>
      </c>
      <c r="E128" s="175">
        <f t="shared" si="17"/>
        <v>0.99851315789473682</v>
      </c>
      <c r="F128" s="120">
        <f>'SGTO POAI -SEPTIEMBRE-2021'!BR222+'SGTO POAI -SEPTIEMBRE-2021'!BR223</f>
        <v>53700000</v>
      </c>
      <c r="G128" s="175">
        <f t="shared" si="23"/>
        <v>0.70763108305770417</v>
      </c>
    </row>
    <row r="129" spans="1:7" ht="90" customHeight="1" thickBot="1" x14ac:dyDescent="0.25">
      <c r="A129" s="108" t="s">
        <v>1073</v>
      </c>
      <c r="B129" s="114" t="s">
        <v>1457</v>
      </c>
      <c r="C129" s="120">
        <f>'SGTO POAI -SEPTIEMBRE-2021'!BP224+'SGTO POAI -SEPTIEMBRE-2021'!BP225+'SGTO POAI -SEPTIEMBRE-2021'!BP226+'SGTO POAI -SEPTIEMBRE-2021'!BP227+'SGTO POAI -SEPTIEMBRE-2021'!BP228+'SGTO POAI -SEPTIEMBRE-2021'!BP229+'SGTO POAI -SEPTIEMBRE-2021'!BP230</f>
        <v>200000000</v>
      </c>
      <c r="D129" s="120">
        <f>'SGTO POAI -SEPTIEMBRE-2021'!BQ224+'SGTO POAI -SEPTIEMBRE-2021'!BQ225+'SGTO POAI -SEPTIEMBRE-2021'!BQ226+'SGTO POAI -SEPTIEMBRE-2021'!BQ227+'SGTO POAI -SEPTIEMBRE-2021'!BQ228+'SGTO POAI -SEPTIEMBRE-2021'!BQ229+'SGTO POAI -SEPTIEMBRE-2021'!BQ230</f>
        <v>171455000</v>
      </c>
      <c r="E129" s="175">
        <f t="shared" si="17"/>
        <v>0.85727500000000001</v>
      </c>
      <c r="F129" s="120">
        <f>'SGTO POAI -SEPTIEMBRE-2021'!BR224+'SGTO POAI -SEPTIEMBRE-2021'!BR225+'SGTO POAI -SEPTIEMBRE-2021'!BR226+'SGTO POAI -SEPTIEMBRE-2021'!BR227+'SGTO POAI -SEPTIEMBRE-2021'!BR228+'SGTO POAI -SEPTIEMBRE-2021'!BR229+'SGTO POAI -SEPTIEMBRE-2021'!BR230</f>
        <v>131080000</v>
      </c>
      <c r="G129" s="175">
        <f t="shared" si="23"/>
        <v>0.76451547053162638</v>
      </c>
    </row>
    <row r="130" spans="1:7" ht="90" customHeight="1" thickBot="1" x14ac:dyDescent="0.25">
      <c r="A130" s="108" t="s">
        <v>1096</v>
      </c>
      <c r="B130" s="114" t="s">
        <v>1097</v>
      </c>
      <c r="C130" s="120">
        <f>'SGTO POAI -SEPTIEMBRE-2021'!BP231+'SGTO POAI -SEPTIEMBRE-2021'!BP232</f>
        <v>161000000</v>
      </c>
      <c r="D130" s="120">
        <f>'SGTO POAI -SEPTIEMBRE-2021'!BQ231+'SGTO POAI -SEPTIEMBRE-2021'!BQ232</f>
        <v>122600000</v>
      </c>
      <c r="E130" s="175">
        <f t="shared" si="17"/>
        <v>0.76149068322981361</v>
      </c>
      <c r="F130" s="120">
        <f>'SGTO POAI -SEPTIEMBRE-2021'!BR231+'SGTO POAI -SEPTIEMBRE-2021'!BR232</f>
        <v>67775000</v>
      </c>
      <c r="G130" s="175">
        <f t="shared" si="23"/>
        <v>0.55281402936378465</v>
      </c>
    </row>
    <row r="131" spans="1:7" ht="90" customHeight="1" thickBot="1" x14ac:dyDescent="0.25">
      <c r="A131" s="107" t="s">
        <v>1104</v>
      </c>
      <c r="B131" s="113" t="s">
        <v>1105</v>
      </c>
      <c r="C131" s="120">
        <f>'SGTO POAI -SEPTIEMBRE-2021'!BP233+'SGTO POAI -SEPTIEMBRE-2021'!BP234+'SGTO POAI -SEPTIEMBRE-2021'!BP235</f>
        <v>153000000</v>
      </c>
      <c r="D131" s="120">
        <f>'SGTO POAI -SEPTIEMBRE-2021'!BQ233+'SGTO POAI -SEPTIEMBRE-2021'!BQ234+'SGTO POAI -SEPTIEMBRE-2021'!BQ235</f>
        <v>106275000</v>
      </c>
      <c r="E131" s="175">
        <f t="shared" si="17"/>
        <v>0.69460784313725488</v>
      </c>
      <c r="F131" s="120">
        <f>'SGTO POAI -SEPTIEMBRE-2021'!BR233+'SGTO POAI -SEPTIEMBRE-2021'!BR234+'SGTO POAI -SEPTIEMBRE-2021'!BR235</f>
        <v>69860000</v>
      </c>
      <c r="G131" s="175">
        <f t="shared" si="23"/>
        <v>0.65735121147965181</v>
      </c>
    </row>
    <row r="132" spans="1:7" ht="90" customHeight="1" thickBot="1" x14ac:dyDescent="0.25">
      <c r="A132" s="107" t="s">
        <v>1114</v>
      </c>
      <c r="B132" s="113" t="s">
        <v>1115</v>
      </c>
      <c r="C132" s="120">
        <f>'SGTO POAI -SEPTIEMBRE-2021'!BP236+'SGTO POAI -SEPTIEMBRE-2021'!BP237</f>
        <v>181000000</v>
      </c>
      <c r="D132" s="120">
        <f>'SGTO POAI -SEPTIEMBRE-2021'!BQ236+'SGTO POAI -SEPTIEMBRE-2021'!BQ237</f>
        <v>180845000</v>
      </c>
      <c r="E132" s="175">
        <f t="shared" si="17"/>
        <v>0.99914364640883979</v>
      </c>
      <c r="F132" s="120">
        <f>'SGTO POAI -SEPTIEMBRE-2021'!BR236+'SGTO POAI -SEPTIEMBRE-2021'!BR237</f>
        <v>123896000</v>
      </c>
      <c r="G132" s="175">
        <f t="shared" si="23"/>
        <v>0.68509497083137494</v>
      </c>
    </row>
    <row r="133" spans="1:7" ht="90" customHeight="1" thickBot="1" x14ac:dyDescent="0.25">
      <c r="A133" s="107" t="s">
        <v>1119</v>
      </c>
      <c r="B133" s="113" t="s">
        <v>1120</v>
      </c>
      <c r="C133" s="120">
        <f>'SGTO POAI -SEPTIEMBRE-2021'!BP238+'SGTO POAI -SEPTIEMBRE-2021'!BP239+'SGTO POAI -SEPTIEMBRE-2021'!BP240</f>
        <v>1299584216.27</v>
      </c>
      <c r="D133" s="120">
        <f>'SGTO POAI -SEPTIEMBRE-2021'!BQ238+'SGTO POAI -SEPTIEMBRE-2021'!BQ239+'SGTO POAI -SEPTIEMBRE-2021'!BQ240</f>
        <v>133560000</v>
      </c>
      <c r="E133" s="175">
        <f t="shared" si="17"/>
        <v>0.10277133126727028</v>
      </c>
      <c r="F133" s="120">
        <f>'SGTO POAI -SEPTIEMBRE-2021'!BR238+'SGTO POAI -SEPTIEMBRE-2021'!BR239+'SGTO POAI -SEPTIEMBRE-2021'!BR240</f>
        <v>115035000</v>
      </c>
      <c r="G133" s="175">
        <f t="shared" si="23"/>
        <v>0.8612982929020665</v>
      </c>
    </row>
    <row r="134" spans="1:7" ht="90" customHeight="1" thickBot="1" x14ac:dyDescent="0.25">
      <c r="A134" s="108" t="s">
        <v>1130</v>
      </c>
      <c r="B134" s="113" t="s">
        <v>1131</v>
      </c>
      <c r="C134" s="120">
        <f>'SGTO POAI -SEPTIEMBRE-2021'!BP241+'SGTO POAI -SEPTIEMBRE-2021'!BP242</f>
        <v>543927149</v>
      </c>
      <c r="D134" s="120">
        <f>'SGTO POAI -SEPTIEMBRE-2021'!BQ241+'SGTO POAI -SEPTIEMBRE-2021'!BQ242</f>
        <v>373168190</v>
      </c>
      <c r="E134" s="175">
        <f t="shared" ref="E134:E165" si="24">D134/C134</f>
        <v>0.68606281316544471</v>
      </c>
      <c r="F134" s="120">
        <f>'SGTO POAI -SEPTIEMBRE-2021'!BR241+'SGTO POAI -SEPTIEMBRE-2021'!BR242</f>
        <v>313673090</v>
      </c>
      <c r="G134" s="175">
        <f t="shared" si="23"/>
        <v>0.84056760036272116</v>
      </c>
    </row>
    <row r="135" spans="1:7" ht="90" customHeight="1" thickBot="1" x14ac:dyDescent="0.25">
      <c r="A135" s="107" t="s">
        <v>1133</v>
      </c>
      <c r="B135" s="113" t="s">
        <v>1134</v>
      </c>
      <c r="C135" s="120">
        <f>'SGTO POAI -SEPTIEMBRE-2021'!BP243+'SGTO POAI -SEPTIEMBRE-2021'!BP244</f>
        <v>222424239</v>
      </c>
      <c r="D135" s="120">
        <f>'SGTO POAI -SEPTIEMBRE-2021'!BQ243+'SGTO POAI -SEPTIEMBRE-2021'!BQ244</f>
        <v>141958636</v>
      </c>
      <c r="E135" s="175">
        <f t="shared" si="24"/>
        <v>0.63823365941694876</v>
      </c>
      <c r="F135" s="120">
        <f>'SGTO POAI -SEPTIEMBRE-2021'!BR243+'SGTO POAI -SEPTIEMBRE-2021'!BR244</f>
        <v>98773636</v>
      </c>
      <c r="G135" s="175">
        <f t="shared" si="23"/>
        <v>0.69579166708815099</v>
      </c>
    </row>
    <row r="136" spans="1:7" ht="90" customHeight="1" thickBot="1" x14ac:dyDescent="0.25">
      <c r="A136" s="108" t="s">
        <v>1137</v>
      </c>
      <c r="B136" s="113" t="s">
        <v>1138</v>
      </c>
      <c r="C136" s="120">
        <f>'SGTO POAI -SEPTIEMBRE-2021'!BP245</f>
        <v>1100000000</v>
      </c>
      <c r="D136" s="120">
        <f>'SGTO POAI -SEPTIEMBRE-2021'!BQ245</f>
        <v>915655114</v>
      </c>
      <c r="E136" s="175">
        <f t="shared" si="24"/>
        <v>0.83241374000000001</v>
      </c>
      <c r="F136" s="120">
        <f>'SGTO POAI -SEPTIEMBRE-2021'!BR245</f>
        <v>611955614</v>
      </c>
      <c r="G136" s="175">
        <f t="shared" si="23"/>
        <v>0.66832544769689339</v>
      </c>
    </row>
    <row r="137" spans="1:7" ht="90" customHeight="1" thickBot="1" x14ac:dyDescent="0.25">
      <c r="A137" s="108" t="s">
        <v>1143</v>
      </c>
      <c r="B137" s="113" t="s">
        <v>1144</v>
      </c>
      <c r="C137" s="120">
        <f>'SGTO POAI -SEPTIEMBRE-2021'!BP246</f>
        <v>20000000</v>
      </c>
      <c r="D137" s="120">
        <f>'SGTO POAI -SEPTIEMBRE-2021'!BQ246</f>
        <v>19906500</v>
      </c>
      <c r="E137" s="175">
        <f t="shared" si="24"/>
        <v>0.99532500000000002</v>
      </c>
      <c r="F137" s="120">
        <f>'SGTO POAI -SEPTIEMBRE-2021'!BR246</f>
        <v>19906500</v>
      </c>
      <c r="G137" s="175">
        <f t="shared" si="23"/>
        <v>1</v>
      </c>
    </row>
    <row r="138" spans="1:7" ht="90" customHeight="1" thickBot="1" x14ac:dyDescent="0.25">
      <c r="A138" s="108" t="s">
        <v>1148</v>
      </c>
      <c r="B138" s="113" t="s">
        <v>1149</v>
      </c>
      <c r="C138" s="120">
        <f>'SGTO POAI -SEPTIEMBRE-2021'!BP247</f>
        <v>84414100</v>
      </c>
      <c r="D138" s="120">
        <f>'SGTO POAI -SEPTIEMBRE-2021'!BQ247</f>
        <v>72125000</v>
      </c>
      <c r="E138" s="175">
        <f t="shared" si="24"/>
        <v>0.85441887078106615</v>
      </c>
      <c r="F138" s="120">
        <f>'SGTO POAI -SEPTIEMBRE-2021'!BR247</f>
        <v>49045000</v>
      </c>
      <c r="G138" s="175">
        <f t="shared" si="23"/>
        <v>0.68</v>
      </c>
    </row>
    <row r="139" spans="1:7" ht="90" customHeight="1" thickBot="1" x14ac:dyDescent="0.25">
      <c r="A139" s="108" t="s">
        <v>1152</v>
      </c>
      <c r="B139" s="113" t="s">
        <v>1153</v>
      </c>
      <c r="C139" s="120">
        <f>'SGTO POAI -SEPTIEMBRE-2021'!BP248</f>
        <v>320000000</v>
      </c>
      <c r="D139" s="120">
        <f>'SGTO POAI -SEPTIEMBRE-2021'!BQ248</f>
        <v>303122500</v>
      </c>
      <c r="E139" s="175">
        <f t="shared" si="24"/>
        <v>0.94725781249999996</v>
      </c>
      <c r="F139" s="120">
        <f>'SGTO POAI -SEPTIEMBRE-2021'!BR248</f>
        <v>253435000</v>
      </c>
      <c r="G139" s="175">
        <f t="shared" si="23"/>
        <v>0.8360811223185346</v>
      </c>
    </row>
    <row r="140" spans="1:7" ht="90" customHeight="1" thickBot="1" x14ac:dyDescent="0.25">
      <c r="A140" s="108" t="s">
        <v>1162</v>
      </c>
      <c r="B140" s="114" t="s">
        <v>1163</v>
      </c>
      <c r="C140" s="120">
        <f>'SGTO POAI -SEPTIEMBRE-2021'!BP249</f>
        <v>321904376</v>
      </c>
      <c r="D140" s="120">
        <f>'SGTO POAI -SEPTIEMBRE-2021'!BQ249</f>
        <v>282101876</v>
      </c>
      <c r="E140" s="175">
        <f t="shared" si="24"/>
        <v>0.87635303224333927</v>
      </c>
      <c r="F140" s="120">
        <f>'SGTO POAI -SEPTIEMBRE-2021'!BR249</f>
        <v>194279376</v>
      </c>
      <c r="G140" s="175">
        <f t="shared" si="23"/>
        <v>0.68868516138474745</v>
      </c>
    </row>
    <row r="141" spans="1:7" ht="90" customHeight="1" thickBot="1" x14ac:dyDescent="0.25">
      <c r="A141" s="108" t="s">
        <v>1165</v>
      </c>
      <c r="B141" s="114" t="s">
        <v>1166</v>
      </c>
      <c r="C141" s="120">
        <f>'SGTO POAI -SEPTIEMBRE-2021'!BP250</f>
        <v>1760866325.49</v>
      </c>
      <c r="D141" s="120">
        <f>'SGTO POAI -SEPTIEMBRE-2021'!BQ250</f>
        <v>948255600</v>
      </c>
      <c r="E141" s="175">
        <f t="shared" si="24"/>
        <v>0.53851651671294631</v>
      </c>
      <c r="F141" s="120">
        <f>'SGTO POAI -SEPTIEMBRE-2021'!BR250</f>
        <v>298963000</v>
      </c>
      <c r="G141" s="175">
        <f t="shared" si="23"/>
        <v>0.3152768093328423</v>
      </c>
    </row>
    <row r="142" spans="1:7" ht="90" customHeight="1" thickBot="1" x14ac:dyDescent="0.25">
      <c r="A142" s="107" t="s">
        <v>1170</v>
      </c>
      <c r="B142" s="113" t="s">
        <v>1171</v>
      </c>
      <c r="C142" s="120">
        <f>'SGTO POAI -SEPTIEMBRE-2021'!BP251+'SGTO POAI -SEPTIEMBRE-2021'!BP252</f>
        <v>31351259122</v>
      </c>
      <c r="D142" s="120">
        <f>'SGTO POAI -SEPTIEMBRE-2021'!BQ251+'SGTO POAI -SEPTIEMBRE-2021'!BQ252</f>
        <v>31351259121.999996</v>
      </c>
      <c r="E142" s="175">
        <f t="shared" si="24"/>
        <v>0.99999999999999989</v>
      </c>
      <c r="F142" s="120">
        <f>'SGTO POAI -SEPTIEMBRE-2021'!BR251+'SGTO POAI -SEPTIEMBRE-2021'!BR252</f>
        <v>25730368390.979996</v>
      </c>
      <c r="G142" s="175">
        <f t="shared" si="23"/>
        <v>0.82071244063446003</v>
      </c>
    </row>
    <row r="143" spans="1:7" ht="90" customHeight="1" thickBot="1" x14ac:dyDescent="0.25">
      <c r="A143" s="107" t="s">
        <v>1181</v>
      </c>
      <c r="B143" s="113" t="s">
        <v>1458</v>
      </c>
      <c r="C143" s="120">
        <f>'SGTO POAI -SEPTIEMBRE-2021'!BP253+'SGTO POAI -SEPTIEMBRE-2021'!BP254+'SGTO POAI -SEPTIEMBRE-2021'!BP255</f>
        <v>16370596531.709999</v>
      </c>
      <c r="D143" s="120">
        <f>'SGTO POAI -SEPTIEMBRE-2021'!BQ253+'SGTO POAI -SEPTIEMBRE-2021'!BQ254+'SGTO POAI -SEPTIEMBRE-2021'!BQ255</f>
        <v>10364590183.92</v>
      </c>
      <c r="E143" s="175">
        <f t="shared" si="24"/>
        <v>0.63312232781766331</v>
      </c>
      <c r="F143" s="120">
        <f>'SGTO POAI -SEPTIEMBRE-2021'!BR253+'SGTO POAI -SEPTIEMBRE-2021'!BR254+'SGTO POAI -SEPTIEMBRE-2021'!BR255</f>
        <v>8891552303.9200001</v>
      </c>
      <c r="G143" s="175">
        <v>0</v>
      </c>
    </row>
    <row r="144" spans="1:7" ht="90" customHeight="1" thickBot="1" x14ac:dyDescent="0.25">
      <c r="A144" s="108" t="s">
        <v>1192</v>
      </c>
      <c r="B144" s="114" t="s">
        <v>1193</v>
      </c>
      <c r="C144" s="120">
        <f>'SGTO POAI -SEPTIEMBRE-2021'!BP256+'SGTO POAI -SEPTIEMBRE-2021'!BP257+'SGTO POAI -SEPTIEMBRE-2021'!BP258+'SGTO POAI -SEPTIEMBRE-2021'!BP259+'SGTO POAI -SEPTIEMBRE-2021'!BP260</f>
        <v>1181955887.1199999</v>
      </c>
      <c r="D144" s="120">
        <f>'SGTO POAI -SEPTIEMBRE-2021'!BQ256+'SGTO POAI -SEPTIEMBRE-2021'!BQ257+'SGTO POAI -SEPTIEMBRE-2021'!BQ258+'SGTO POAI -SEPTIEMBRE-2021'!BQ259+'SGTO POAI -SEPTIEMBRE-2021'!BQ260</f>
        <v>245259676</v>
      </c>
      <c r="E144" s="175">
        <f t="shared" si="24"/>
        <v>0.20750323990314845</v>
      </c>
      <c r="F144" s="120">
        <f>'SGTO POAI -SEPTIEMBRE-2021'!BR256+'SGTO POAI -SEPTIEMBRE-2021'!BR257+'SGTO POAI -SEPTIEMBRE-2021'!BR258+'SGTO POAI -SEPTIEMBRE-2021'!BR259+'SGTO POAI -SEPTIEMBRE-2021'!BR260</f>
        <v>219978684</v>
      </c>
      <c r="G144" s="175">
        <f t="shared" si="23"/>
        <v>0.89692153063106872</v>
      </c>
    </row>
    <row r="145" spans="1:7" ht="20.100000000000001" customHeight="1" thickBot="1" x14ac:dyDescent="0.25">
      <c r="A145" s="604" t="s">
        <v>1459</v>
      </c>
      <c r="B145" s="605"/>
      <c r="C145" s="119">
        <f>SUM(C146:C151)</f>
        <v>1196000000</v>
      </c>
      <c r="D145" s="119">
        <f t="shared" ref="D145:F145" si="25">SUM(D146:D151)</f>
        <v>665187500</v>
      </c>
      <c r="E145" s="179">
        <f t="shared" si="24"/>
        <v>0.55617683946488294</v>
      </c>
      <c r="F145" s="119">
        <f t="shared" si="25"/>
        <v>366524167</v>
      </c>
      <c r="G145" s="174">
        <f>F145/D145</f>
        <v>0.55100880127783525</v>
      </c>
    </row>
    <row r="146" spans="1:7" ht="90" customHeight="1" thickBot="1" x14ac:dyDescent="0.25">
      <c r="A146" s="107" t="s">
        <v>1207</v>
      </c>
      <c r="B146" s="115" t="s">
        <v>1460</v>
      </c>
      <c r="C146" s="120">
        <f>'SGTO POAI -SEPTIEMBRE-2021'!BP261+'SGTO POAI -SEPTIEMBRE-2021'!BP262+'SGTO POAI -SEPTIEMBRE-2021'!BP263+'SGTO POAI -SEPTIEMBRE-2021'!BP264</f>
        <v>325460000</v>
      </c>
      <c r="D146" s="120">
        <f>'SGTO POAI -SEPTIEMBRE-2021'!BQ261+'SGTO POAI -SEPTIEMBRE-2021'!BQ262+'SGTO POAI -SEPTIEMBRE-2021'!BQ263+'SGTO POAI -SEPTIEMBRE-2021'!BQ264</f>
        <v>49720000</v>
      </c>
      <c r="E146" s="175">
        <f t="shared" si="24"/>
        <v>0.15276838935660297</v>
      </c>
      <c r="F146" s="120">
        <f>'SGTO POAI -SEPTIEMBRE-2021'!BR261+'SGTO POAI -SEPTIEMBRE-2021'!BR262+'SGTO POAI -SEPTIEMBRE-2021'!BR263+'SGTO POAI -SEPTIEMBRE-2021'!BR264</f>
        <v>29920000</v>
      </c>
      <c r="G146" s="175">
        <f t="shared" ref="G146:G151" si="26">F146/D146</f>
        <v>0.60176991150442483</v>
      </c>
    </row>
    <row r="147" spans="1:7" ht="90" customHeight="1" thickBot="1" x14ac:dyDescent="0.25">
      <c r="A147" s="110" t="s">
        <v>1220</v>
      </c>
      <c r="B147" s="113" t="s">
        <v>1221</v>
      </c>
      <c r="C147" s="120">
        <f>'SGTO POAI -SEPTIEMBRE-2021'!BP265+'SGTO POAI -SEPTIEMBRE-2021'!BP266+'SGTO POAI -SEPTIEMBRE-2021'!BP267+'SGTO POAI -SEPTIEMBRE-2021'!BP268+'SGTO POAI -SEPTIEMBRE-2021'!BP269</f>
        <v>348540000</v>
      </c>
      <c r="D147" s="120">
        <f>'SGTO POAI -SEPTIEMBRE-2021'!BQ265+'SGTO POAI -SEPTIEMBRE-2021'!BQ266+'SGTO POAI -SEPTIEMBRE-2021'!BQ267+'SGTO POAI -SEPTIEMBRE-2021'!BQ268+'SGTO POAI -SEPTIEMBRE-2021'!BQ269</f>
        <v>226913333</v>
      </c>
      <c r="E147" s="175">
        <f t="shared" si="24"/>
        <v>0.65103957365008325</v>
      </c>
      <c r="F147" s="120">
        <f>'SGTO POAI -SEPTIEMBRE-2021'!BR265+'SGTO POAI -SEPTIEMBRE-2021'!BR266+'SGTO POAI -SEPTIEMBRE-2021'!BR267+'SGTO POAI -SEPTIEMBRE-2021'!BR268+'SGTO POAI -SEPTIEMBRE-2021'!BR269</f>
        <v>106545000</v>
      </c>
      <c r="G147" s="175">
        <f t="shared" si="26"/>
        <v>0.46954050073381981</v>
      </c>
    </row>
    <row r="148" spans="1:7" ht="90" customHeight="1" thickBot="1" x14ac:dyDescent="0.25">
      <c r="A148" s="109" t="s">
        <v>1231</v>
      </c>
      <c r="B148" s="114" t="s">
        <v>1232</v>
      </c>
      <c r="C148" s="120">
        <f>'SGTO POAI -SEPTIEMBRE-2021'!BP270+'SGTO POAI -SEPTIEMBRE-2021'!BP271+'SGTO POAI -SEPTIEMBRE-2021'!BP272+'SGTO POAI -SEPTIEMBRE-2021'!BP273+'SGTO POAI -SEPTIEMBRE-2021'!BP274</f>
        <v>146000000</v>
      </c>
      <c r="D148" s="120">
        <f>'SGTO POAI -SEPTIEMBRE-2021'!BQ270+'SGTO POAI -SEPTIEMBRE-2021'!BQ271+'SGTO POAI -SEPTIEMBRE-2021'!BQ272+'SGTO POAI -SEPTIEMBRE-2021'!BQ273+'SGTO POAI -SEPTIEMBRE-2021'!BQ274</f>
        <v>93195334</v>
      </c>
      <c r="E148" s="175">
        <f t="shared" si="24"/>
        <v>0.63832420547945201</v>
      </c>
      <c r="F148" s="120">
        <f>'SGTO POAI -SEPTIEMBRE-2021'!BR270+'SGTO POAI -SEPTIEMBRE-2021'!BR271+'SGTO POAI -SEPTIEMBRE-2021'!BR272+'SGTO POAI -SEPTIEMBRE-2021'!BR273+'SGTO POAI -SEPTIEMBRE-2021'!BR274</f>
        <v>84640334</v>
      </c>
      <c r="G148" s="175">
        <f t="shared" si="26"/>
        <v>0.90820355877473435</v>
      </c>
    </row>
    <row r="149" spans="1:7" ht="90" customHeight="1" thickBot="1" x14ac:dyDescent="0.25">
      <c r="A149" s="109" t="s">
        <v>1249</v>
      </c>
      <c r="B149" s="113" t="s">
        <v>1250</v>
      </c>
      <c r="C149" s="120">
        <f>'SGTO POAI -SEPTIEMBRE-2021'!BP275+'SGTO POAI -SEPTIEMBRE-2021'!BP276+'SGTO POAI -SEPTIEMBRE-2021'!BP277</f>
        <v>60000000</v>
      </c>
      <c r="D149" s="120">
        <f>'SGTO POAI -SEPTIEMBRE-2021'!BQ275+'SGTO POAI -SEPTIEMBRE-2021'!BQ276+'SGTO POAI -SEPTIEMBRE-2021'!BQ277</f>
        <v>43178833</v>
      </c>
      <c r="E149" s="175">
        <f t="shared" si="24"/>
        <v>0.71964721666666664</v>
      </c>
      <c r="F149" s="120">
        <f>'SGTO POAI -SEPTIEMBRE-2021'!BR275+'SGTO POAI -SEPTIEMBRE-2021'!BR276+'SGTO POAI -SEPTIEMBRE-2021'!BR277</f>
        <v>25868833</v>
      </c>
      <c r="G149" s="175">
        <f t="shared" si="26"/>
        <v>0.59910912830830787</v>
      </c>
    </row>
    <row r="150" spans="1:7" ht="90" customHeight="1" thickBot="1" x14ac:dyDescent="0.25">
      <c r="A150" s="109" t="s">
        <v>1259</v>
      </c>
      <c r="B150" s="113" t="s">
        <v>1461</v>
      </c>
      <c r="C150" s="120">
        <f>'SGTO POAI -SEPTIEMBRE-2021'!BP278</f>
        <v>18000000</v>
      </c>
      <c r="D150" s="120">
        <f>'SGTO POAI -SEPTIEMBRE-2021'!BQ278</f>
        <v>6600000</v>
      </c>
      <c r="E150" s="175">
        <f t="shared" si="24"/>
        <v>0.36666666666666664</v>
      </c>
      <c r="F150" s="120">
        <f>'SGTO POAI -SEPTIEMBRE-2021'!BR278</f>
        <v>0</v>
      </c>
      <c r="G150" s="175">
        <v>0</v>
      </c>
    </row>
    <row r="151" spans="1:7" ht="90" customHeight="1" thickBot="1" x14ac:dyDescent="0.25">
      <c r="A151" s="109" t="s">
        <v>1265</v>
      </c>
      <c r="B151" s="114" t="s">
        <v>1462</v>
      </c>
      <c r="C151" s="120">
        <f>'SGTO POAI -SEPTIEMBRE-2021'!BP279+'SGTO POAI -SEPTIEMBRE-2021'!BP280+'SGTO POAI -SEPTIEMBRE-2021'!BP281+'SGTO POAI -SEPTIEMBRE-2021'!BP282+'SGTO POAI -SEPTIEMBRE-2021'!BP283+'SGTO POAI -SEPTIEMBRE-2021'!BP284</f>
        <v>298000000</v>
      </c>
      <c r="D151" s="120">
        <f>'SGTO POAI -SEPTIEMBRE-2021'!BQ279+'SGTO POAI -SEPTIEMBRE-2021'!BQ280+'SGTO POAI -SEPTIEMBRE-2021'!BQ281+'SGTO POAI -SEPTIEMBRE-2021'!BQ282+'SGTO POAI -SEPTIEMBRE-2021'!BQ283+'SGTO POAI -SEPTIEMBRE-2021'!BQ284</f>
        <v>245580000</v>
      </c>
      <c r="E151" s="175">
        <f t="shared" si="24"/>
        <v>0.82409395973154365</v>
      </c>
      <c r="F151" s="120">
        <f>'SGTO POAI -SEPTIEMBRE-2021'!BR279+'SGTO POAI -SEPTIEMBRE-2021'!BR280+'SGTO POAI -SEPTIEMBRE-2021'!BR281+'SGTO POAI -SEPTIEMBRE-2021'!BR282+'SGTO POAI -SEPTIEMBRE-2021'!BR283+'SGTO POAI -SEPTIEMBRE-2021'!BR284</f>
        <v>119550000</v>
      </c>
      <c r="G151" s="175">
        <f t="shared" si="26"/>
        <v>0.48680674322013195</v>
      </c>
    </row>
    <row r="152" spans="1:7" s="123" customFormat="1" ht="20.100000000000001" customHeight="1" thickBot="1" x14ac:dyDescent="0.3">
      <c r="A152" s="602" t="s">
        <v>1463</v>
      </c>
      <c r="B152" s="603"/>
      <c r="C152" s="122">
        <f>C145+C121+C92+C82+C78+C58+C52+C47+C34+C20+C17+C9+C4</f>
        <v>300874324699.38</v>
      </c>
      <c r="D152" s="122">
        <f t="shared" ref="D152:F152" si="27">D145+D121+D92+D82+D78+D58+D52+D47+D34+D20+D17+D9+D4</f>
        <v>199543937171.59998</v>
      </c>
      <c r="E152" s="176">
        <f t="shared" si="24"/>
        <v>0.66321357720029861</v>
      </c>
      <c r="F152" s="122">
        <f t="shared" si="27"/>
        <v>178726340061.36996</v>
      </c>
      <c r="G152" s="176">
        <f>F152/D152</f>
        <v>0.895674118666268</v>
      </c>
    </row>
    <row r="153" spans="1:7" ht="20.100000000000001" customHeight="1" thickBot="1" x14ac:dyDescent="0.25">
      <c r="A153" s="604" t="s">
        <v>1277</v>
      </c>
      <c r="B153" s="605"/>
      <c r="C153" s="119">
        <f>SUM(C154:C156)</f>
        <v>13105059806.029999</v>
      </c>
      <c r="D153" s="119">
        <f t="shared" ref="D153:F153" si="28">SUM(D154:D156)</f>
        <v>3806286205.8599997</v>
      </c>
      <c r="E153" s="179">
        <f t="shared" si="24"/>
        <v>0.290444016448412</v>
      </c>
      <c r="F153" s="119">
        <f t="shared" si="28"/>
        <v>2740223144.8599997</v>
      </c>
      <c r="G153" s="174">
        <f>F153/D153</f>
        <v>0.71992041498121351</v>
      </c>
    </row>
    <row r="154" spans="1:7" ht="90" customHeight="1" thickBot="1" x14ac:dyDescent="0.25">
      <c r="A154" s="111" t="s">
        <v>1464</v>
      </c>
      <c r="B154" s="114" t="s">
        <v>1281</v>
      </c>
      <c r="C154" s="120">
        <f>'SGTO POAI -SEPTIEMBRE-2021'!BP285+'SGTO POAI -SEPTIEMBRE-2021'!BP286+'SGTO POAI -SEPTIEMBRE-2021'!BP287+'SGTO POAI -SEPTIEMBRE-2021'!BP288</f>
        <v>5326871683.9799995</v>
      </c>
      <c r="D154" s="120">
        <f>'SGTO POAI -SEPTIEMBRE-2021'!BQ285+'SGTO POAI -SEPTIEMBRE-2021'!BQ286+'SGTO POAI -SEPTIEMBRE-2021'!BQ287+'SGTO POAI -SEPTIEMBRE-2021'!BQ288</f>
        <v>1835911299.6800001</v>
      </c>
      <c r="E154" s="175">
        <f t="shared" si="24"/>
        <v>0.34465093371805972</v>
      </c>
      <c r="F154" s="120">
        <f>'SGTO POAI -SEPTIEMBRE-2021'!BR285+'SGTO POAI -SEPTIEMBRE-2021'!BR286+'SGTO POAI -SEPTIEMBRE-2021'!BR287+'SGTO POAI -SEPTIEMBRE-2021'!BR288</f>
        <v>1440934905.8599999</v>
      </c>
      <c r="G154" s="175">
        <f t="shared" ref="G154:G155" si="29">F154/D154</f>
        <v>0.78486085145352902</v>
      </c>
    </row>
    <row r="155" spans="1:7" ht="90" customHeight="1" thickBot="1" x14ac:dyDescent="0.25">
      <c r="A155" s="111" t="s">
        <v>1465</v>
      </c>
      <c r="B155" s="113" t="s">
        <v>1295</v>
      </c>
      <c r="C155" s="120">
        <f>'SGTO POAI -SEPTIEMBRE-2021'!BP289</f>
        <v>7651306047.4099998</v>
      </c>
      <c r="D155" s="120">
        <f>'SGTO POAI -SEPTIEMBRE-2021'!BQ289</f>
        <v>1927563240.1799998</v>
      </c>
      <c r="E155" s="175">
        <f t="shared" si="24"/>
        <v>0.25192604089238962</v>
      </c>
      <c r="F155" s="120">
        <f>'SGTO POAI -SEPTIEMBRE-2021'!BR289</f>
        <v>1280651573</v>
      </c>
      <c r="G155" s="175">
        <f t="shared" si="29"/>
        <v>0.66438887518959433</v>
      </c>
    </row>
    <row r="156" spans="1:7" ht="90" customHeight="1" thickBot="1" x14ac:dyDescent="0.25">
      <c r="A156" s="112" t="s">
        <v>1466</v>
      </c>
      <c r="B156" s="113" t="s">
        <v>1467</v>
      </c>
      <c r="C156" s="120">
        <f>'SGTO POAI -SEPTIEMBRE-2021'!BP290</f>
        <v>126882074.64</v>
      </c>
      <c r="D156" s="120">
        <f>'SGTO POAI -SEPTIEMBRE-2021'!BQ290</f>
        <v>42811666</v>
      </c>
      <c r="E156" s="175">
        <f t="shared" si="24"/>
        <v>0.3374130358560789</v>
      </c>
      <c r="F156" s="120">
        <f>'SGTO POAI -SEPTIEMBRE-2021'!BR290</f>
        <v>18636666</v>
      </c>
      <c r="G156" s="175">
        <v>0</v>
      </c>
    </row>
    <row r="157" spans="1:7" ht="20.100000000000001" customHeight="1" thickBot="1" x14ac:dyDescent="0.25">
      <c r="A157" s="604" t="s">
        <v>1303</v>
      </c>
      <c r="B157" s="605"/>
      <c r="C157" s="119">
        <f>SUM(C158:C161)</f>
        <v>2195124680.0799999</v>
      </c>
      <c r="D157" s="119">
        <f t="shared" ref="D157:F157" si="30">SUM(D158:D161)</f>
        <v>940694483.35204995</v>
      </c>
      <c r="E157" s="179">
        <f t="shared" si="24"/>
        <v>0.42853806523544119</v>
      </c>
      <c r="F157" s="119">
        <f t="shared" si="30"/>
        <v>483545815.74600005</v>
      </c>
      <c r="G157" s="174">
        <v>0</v>
      </c>
    </row>
    <row r="158" spans="1:7" ht="90" customHeight="1" thickBot="1" x14ac:dyDescent="0.25">
      <c r="A158" s="109" t="s">
        <v>1306</v>
      </c>
      <c r="B158" s="114" t="s">
        <v>1468</v>
      </c>
      <c r="C158" s="120">
        <f>'SGTO POAI -SEPTIEMBRE-2021'!BP291</f>
        <v>308302422.89999998</v>
      </c>
      <c r="D158" s="120">
        <f>'SGTO POAI -SEPTIEMBRE-2021'!BQ291</f>
        <v>83625087.285999894</v>
      </c>
      <c r="E158" s="175">
        <f t="shared" si="24"/>
        <v>0.2712436915006804</v>
      </c>
      <c r="F158" s="120">
        <f>'SGTO POAI -SEPTIEMBRE-2021'!BR291</f>
        <v>6574999.8999999985</v>
      </c>
      <c r="G158" s="175">
        <v>0</v>
      </c>
    </row>
    <row r="159" spans="1:7" ht="90" customHeight="1" thickBot="1" x14ac:dyDescent="0.25">
      <c r="A159" s="109" t="s">
        <v>1309</v>
      </c>
      <c r="B159" s="114" t="s">
        <v>1310</v>
      </c>
      <c r="C159" s="120">
        <f>'SGTO POAI -SEPTIEMBRE-2021'!BP292</f>
        <v>329008863.94999999</v>
      </c>
      <c r="D159" s="120">
        <f>'SGTO POAI -SEPTIEMBRE-2021'!BQ292</f>
        <v>41687051.560000002</v>
      </c>
      <c r="E159" s="175">
        <f t="shared" si="24"/>
        <v>0.12670494970717644</v>
      </c>
      <c r="F159" s="120">
        <f>'SGTO POAI -SEPTIEMBRE-2021'!BR292</f>
        <v>15000000</v>
      </c>
      <c r="G159" s="175">
        <v>0</v>
      </c>
    </row>
    <row r="160" spans="1:7" ht="90" customHeight="1" thickBot="1" x14ac:dyDescent="0.25">
      <c r="A160" s="109" t="s">
        <v>1313</v>
      </c>
      <c r="B160" s="114" t="s">
        <v>1469</v>
      </c>
      <c r="C160" s="120">
        <f>'SGTO POAI -SEPTIEMBRE-2021'!BP293</f>
        <v>348896731.19999999</v>
      </c>
      <c r="D160" s="120">
        <f>'SGTO POAI -SEPTIEMBRE-2021'!BQ293</f>
        <v>118726877.62840003</v>
      </c>
      <c r="E160" s="175">
        <f t="shared" si="24"/>
        <v>0.34029231864697973</v>
      </c>
      <c r="F160" s="120">
        <f>'SGTO POAI -SEPTIEMBRE-2021'!BR293</f>
        <v>99450239.376000002</v>
      </c>
      <c r="G160" s="175">
        <v>0</v>
      </c>
    </row>
    <row r="161" spans="1:7" ht="90" customHeight="1" thickBot="1" x14ac:dyDescent="0.25">
      <c r="A161" s="109" t="s">
        <v>1319</v>
      </c>
      <c r="B161" s="114" t="s">
        <v>1470</v>
      </c>
      <c r="C161" s="120">
        <f>'SGTO POAI -SEPTIEMBRE-2021'!BP294+'SGTO POAI -SEPTIEMBRE-2021'!BP295+'SGTO POAI -SEPTIEMBRE-2021'!BP296+'SGTO POAI -SEPTIEMBRE-2021'!BP297+'SGTO POAI -SEPTIEMBRE-2021'!BP298+'SGTO POAI -SEPTIEMBRE-2021'!BP299+'SGTO POAI -SEPTIEMBRE-2021'!BP300</f>
        <v>1208916662.03</v>
      </c>
      <c r="D161" s="120">
        <f>'SGTO POAI -SEPTIEMBRE-2021'!BQ294+'SGTO POAI -SEPTIEMBRE-2021'!BQ295+'SGTO POAI -SEPTIEMBRE-2021'!BQ296+'SGTO POAI -SEPTIEMBRE-2021'!BQ297+'SGTO POAI -SEPTIEMBRE-2021'!BQ298+'SGTO POAI -SEPTIEMBRE-2021'!BQ299+'SGTO POAI -SEPTIEMBRE-2021'!BQ300</f>
        <v>696655466.87765002</v>
      </c>
      <c r="E161" s="175">
        <f t="shared" si="24"/>
        <v>0.57626426101848371</v>
      </c>
      <c r="F161" s="120">
        <f>'SGTO POAI -SEPTIEMBRE-2021'!BR294+'SGTO POAI -SEPTIEMBRE-2021'!BR295+'SGTO POAI -SEPTIEMBRE-2021'!BR296+'SGTO POAI -SEPTIEMBRE-2021'!BR297+'SGTO POAI -SEPTIEMBRE-2021'!BR298+'SGTO POAI -SEPTIEMBRE-2021'!BR299+'SGTO POAI -SEPTIEMBRE-2021'!BR300</f>
        <v>362520576.47000003</v>
      </c>
      <c r="G161" s="175">
        <v>0</v>
      </c>
    </row>
    <row r="162" spans="1:7" ht="20.100000000000001" customHeight="1" thickBot="1" x14ac:dyDescent="0.25">
      <c r="A162" s="606" t="s">
        <v>1337</v>
      </c>
      <c r="B162" s="607"/>
      <c r="C162" s="119">
        <f>SUM(C163)</f>
        <v>110210000</v>
      </c>
      <c r="D162" s="119">
        <f t="shared" ref="D162:F162" si="31">SUM(D163)</f>
        <v>87445000</v>
      </c>
      <c r="E162" s="179">
        <f t="shared" si="24"/>
        <v>0.79343979675165588</v>
      </c>
      <c r="F162" s="119">
        <f t="shared" si="31"/>
        <v>68700000</v>
      </c>
      <c r="G162" s="174">
        <f>F162/D162</f>
        <v>0.78563668591686198</v>
      </c>
    </row>
    <row r="163" spans="1:7" ht="90" customHeight="1" thickBot="1" x14ac:dyDescent="0.25">
      <c r="A163" s="117" t="s">
        <v>1471</v>
      </c>
      <c r="B163" s="118" t="s">
        <v>1472</v>
      </c>
      <c r="C163" s="121">
        <f>'SGTO POAI -SEPTIEMBRE-2021'!BP301+'SGTO POAI -SEPTIEMBRE-2021'!BP302+'SGTO POAI -SEPTIEMBRE-2021'!BP303+'SGTO POAI -SEPTIEMBRE-2021'!BP304</f>
        <v>110210000</v>
      </c>
      <c r="D163" s="121">
        <f>'SGTO POAI -SEPTIEMBRE-2021'!BQ301+'SGTO POAI -SEPTIEMBRE-2021'!BQ302+'SGTO POAI -SEPTIEMBRE-2021'!BQ303+'SGTO POAI -SEPTIEMBRE-2021'!BQ304</f>
        <v>87445000</v>
      </c>
      <c r="E163" s="175">
        <f t="shared" si="24"/>
        <v>0.79343979675165588</v>
      </c>
      <c r="F163" s="121">
        <f>'SGTO POAI -SEPTIEMBRE-2021'!BR301+'SGTO POAI -SEPTIEMBRE-2021'!BR302+'SGTO POAI -SEPTIEMBRE-2021'!BR303+'SGTO POAI -SEPTIEMBRE-2021'!BR304</f>
        <v>68700000</v>
      </c>
      <c r="G163" s="175">
        <f>F163/D163</f>
        <v>0.78563668591686198</v>
      </c>
    </row>
    <row r="164" spans="1:7" s="123" customFormat="1" ht="20.100000000000001" customHeight="1" thickBot="1" x14ac:dyDescent="0.3">
      <c r="A164" s="602" t="s">
        <v>1473</v>
      </c>
      <c r="B164" s="603"/>
      <c r="C164" s="122">
        <f>C162+C157+C153</f>
        <v>15410394486.109999</v>
      </c>
      <c r="D164" s="122">
        <f t="shared" ref="D164:F164" si="32">D162+D157+D153</f>
        <v>4834425689.2120495</v>
      </c>
      <c r="E164" s="176">
        <f t="shared" si="24"/>
        <v>0.31371200092051565</v>
      </c>
      <c r="F164" s="122">
        <f t="shared" si="32"/>
        <v>3292468960.6059999</v>
      </c>
      <c r="G164" s="176">
        <f>F164/D164</f>
        <v>0.68104655490994437</v>
      </c>
    </row>
    <row r="165" spans="1:7" s="123" customFormat="1" ht="20.100000000000001" customHeight="1" thickBot="1" x14ac:dyDescent="0.3">
      <c r="A165" s="600" t="s">
        <v>1474</v>
      </c>
      <c r="B165" s="601"/>
      <c r="C165" s="124">
        <f>C164+C152</f>
        <v>316284719185.48999</v>
      </c>
      <c r="D165" s="124">
        <f t="shared" ref="D165:F165" si="33">D164+D152</f>
        <v>204378362860.81201</v>
      </c>
      <c r="E165" s="177">
        <f t="shared" si="24"/>
        <v>0.6461847521029026</v>
      </c>
      <c r="F165" s="124">
        <f t="shared" si="33"/>
        <v>182018809021.97595</v>
      </c>
      <c r="G165" s="177">
        <f>F165/D165</f>
        <v>0.89059725537549395</v>
      </c>
    </row>
    <row r="168" spans="1:7" x14ac:dyDescent="0.2">
      <c r="D168" s="123"/>
      <c r="E168" s="123"/>
      <c r="F168" s="123"/>
    </row>
  </sheetData>
  <sheetProtection algorithmName="SHA-512" hashValue="YvN1Y4DOw9xWacs88A0NVQQ1U6F94U0ihKNz/NAVZaorMMza7IMKZZmOrCetpMOLG8GYAv6DYCvwCshMv1WhUw==" saltValue="8ZFocvHCM1UUpwK7XvsFgw==" spinCount="100000" sheet="1" objects="1" scenarios="1"/>
  <mergeCells count="23">
    <mergeCell ref="A78:B78"/>
    <mergeCell ref="A82:B82"/>
    <mergeCell ref="A20:B20"/>
    <mergeCell ref="A34:B34"/>
    <mergeCell ref="A47:B47"/>
    <mergeCell ref="A52:B52"/>
    <mergeCell ref="A58:B58"/>
    <mergeCell ref="A2:A3"/>
    <mergeCell ref="B2:B3"/>
    <mergeCell ref="C2:G2"/>
    <mergeCell ref="A1:G1"/>
    <mergeCell ref="A165:B165"/>
    <mergeCell ref="A152:B152"/>
    <mergeCell ref="A164:B164"/>
    <mergeCell ref="A145:B145"/>
    <mergeCell ref="A153:B153"/>
    <mergeCell ref="A157:B157"/>
    <mergeCell ref="A162:B162"/>
    <mergeCell ref="A92:B92"/>
    <mergeCell ref="A121:B121"/>
    <mergeCell ref="A4:B4"/>
    <mergeCell ref="A9:B9"/>
    <mergeCell ref="A17:B17"/>
  </mergeCells>
  <phoneticPr fontId="9"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Q77"/>
  <sheetViews>
    <sheetView showGridLines="0" zoomScale="70" zoomScaleNormal="70" workbookViewId="0">
      <selection activeCell="C4" sqref="C4:BQ4"/>
    </sheetView>
  </sheetViews>
  <sheetFormatPr baseColWidth="10" defaultRowHeight="12.75" x14ac:dyDescent="0.2"/>
  <cols>
    <col min="1" max="1" width="13.28515625" style="199" customWidth="1"/>
    <col min="2" max="2" width="32.140625" style="235" customWidth="1"/>
    <col min="3" max="3" width="24.28515625" style="232" customWidth="1"/>
    <col min="4" max="4" width="13" style="232" customWidth="1"/>
    <col min="5" max="5" width="24.42578125" style="232" customWidth="1"/>
    <col min="6" max="6" width="15.42578125" style="232" customWidth="1"/>
    <col min="7" max="7" width="25.7109375" style="232" customWidth="1"/>
    <col min="8" max="8" width="12.5703125" style="232" customWidth="1"/>
    <col min="9" max="9" width="24.7109375" style="232" customWidth="1"/>
    <col min="10" max="10" width="10.28515625" style="232" customWidth="1"/>
    <col min="11" max="11" width="22.85546875" style="232" customWidth="1"/>
    <col min="12" max="12" width="11.7109375" style="232" customWidth="1"/>
    <col min="13" max="13" width="23.140625" style="232" customWidth="1"/>
    <col min="14" max="14" width="23.140625" style="199" customWidth="1"/>
    <col min="15" max="256" width="11.42578125" style="199"/>
    <col min="257" max="257" width="13.28515625" style="199" customWidth="1"/>
    <col min="258" max="258" width="32.140625" style="199" customWidth="1"/>
    <col min="259" max="259" width="20.7109375" style="199" customWidth="1"/>
    <col min="260" max="260" width="10.42578125" style="199" customWidth="1"/>
    <col min="261" max="261" width="18.5703125" style="199" customWidth="1"/>
    <col min="262" max="262" width="11.7109375" style="199" customWidth="1"/>
    <col min="263" max="263" width="19.28515625" style="199" customWidth="1"/>
    <col min="264" max="264" width="10.28515625" style="199" customWidth="1"/>
    <col min="265" max="265" width="19.42578125" style="199" customWidth="1"/>
    <col min="266" max="266" width="10.28515625" style="199" customWidth="1"/>
    <col min="267" max="267" width="19.5703125" style="199" customWidth="1"/>
    <col min="268" max="268" width="10.42578125" style="199" customWidth="1"/>
    <col min="269" max="269" width="21.140625" style="199" customWidth="1"/>
    <col min="270" max="270" width="11.7109375" style="199" customWidth="1"/>
    <col min="271" max="512" width="11.42578125" style="199"/>
    <col min="513" max="513" width="13.28515625" style="199" customWidth="1"/>
    <col min="514" max="514" width="32.140625" style="199" customWidth="1"/>
    <col min="515" max="515" width="20.7109375" style="199" customWidth="1"/>
    <col min="516" max="516" width="10.42578125" style="199" customWidth="1"/>
    <col min="517" max="517" width="18.5703125" style="199" customWidth="1"/>
    <col min="518" max="518" width="11.7109375" style="199" customWidth="1"/>
    <col min="519" max="519" width="19.28515625" style="199" customWidth="1"/>
    <col min="520" max="520" width="10.28515625" style="199" customWidth="1"/>
    <col min="521" max="521" width="19.42578125" style="199" customWidth="1"/>
    <col min="522" max="522" width="10.28515625" style="199" customWidth="1"/>
    <col min="523" max="523" width="19.5703125" style="199" customWidth="1"/>
    <col min="524" max="524" width="10.42578125" style="199" customWidth="1"/>
    <col min="525" max="525" width="21.140625" style="199" customWidth="1"/>
    <col min="526" max="526" width="11.7109375" style="199" customWidth="1"/>
    <col min="527" max="768" width="11.42578125" style="199"/>
    <col min="769" max="769" width="13.28515625" style="199" customWidth="1"/>
    <col min="770" max="770" width="32.140625" style="199" customWidth="1"/>
    <col min="771" max="771" width="20.7109375" style="199" customWidth="1"/>
    <col min="772" max="772" width="10.42578125" style="199" customWidth="1"/>
    <col min="773" max="773" width="18.5703125" style="199" customWidth="1"/>
    <col min="774" max="774" width="11.7109375" style="199" customWidth="1"/>
    <col min="775" max="775" width="19.28515625" style="199" customWidth="1"/>
    <col min="776" max="776" width="10.28515625" style="199" customWidth="1"/>
    <col min="777" max="777" width="19.42578125" style="199" customWidth="1"/>
    <col min="778" max="778" width="10.28515625" style="199" customWidth="1"/>
    <col min="779" max="779" width="19.5703125" style="199" customWidth="1"/>
    <col min="780" max="780" width="10.42578125" style="199" customWidth="1"/>
    <col min="781" max="781" width="21.140625" style="199" customWidth="1"/>
    <col min="782" max="782" width="11.7109375" style="199" customWidth="1"/>
    <col min="783" max="1024" width="11.42578125" style="199"/>
    <col min="1025" max="1025" width="13.28515625" style="199" customWidth="1"/>
    <col min="1026" max="1026" width="32.140625" style="199" customWidth="1"/>
    <col min="1027" max="1027" width="20.7109375" style="199" customWidth="1"/>
    <col min="1028" max="1028" width="10.42578125" style="199" customWidth="1"/>
    <col min="1029" max="1029" width="18.5703125" style="199" customWidth="1"/>
    <col min="1030" max="1030" width="11.7109375" style="199" customWidth="1"/>
    <col min="1031" max="1031" width="19.28515625" style="199" customWidth="1"/>
    <col min="1032" max="1032" width="10.28515625" style="199" customWidth="1"/>
    <col min="1033" max="1033" width="19.42578125" style="199" customWidth="1"/>
    <col min="1034" max="1034" width="10.28515625" style="199" customWidth="1"/>
    <col min="1035" max="1035" width="19.5703125" style="199" customWidth="1"/>
    <col min="1036" max="1036" width="10.42578125" style="199" customWidth="1"/>
    <col min="1037" max="1037" width="21.140625" style="199" customWidth="1"/>
    <col min="1038" max="1038" width="11.7109375" style="199" customWidth="1"/>
    <col min="1039" max="1280" width="11.42578125" style="199"/>
    <col min="1281" max="1281" width="13.28515625" style="199" customWidth="1"/>
    <col min="1282" max="1282" width="32.140625" style="199" customWidth="1"/>
    <col min="1283" max="1283" width="20.7109375" style="199" customWidth="1"/>
    <col min="1284" max="1284" width="10.42578125" style="199" customWidth="1"/>
    <col min="1285" max="1285" width="18.5703125" style="199" customWidth="1"/>
    <col min="1286" max="1286" width="11.7109375" style="199" customWidth="1"/>
    <col min="1287" max="1287" width="19.28515625" style="199" customWidth="1"/>
    <col min="1288" max="1288" width="10.28515625" style="199" customWidth="1"/>
    <col min="1289" max="1289" width="19.42578125" style="199" customWidth="1"/>
    <col min="1290" max="1290" width="10.28515625" style="199" customWidth="1"/>
    <col min="1291" max="1291" width="19.5703125" style="199" customWidth="1"/>
    <col min="1292" max="1292" width="10.42578125" style="199" customWidth="1"/>
    <col min="1293" max="1293" width="21.140625" style="199" customWidth="1"/>
    <col min="1294" max="1294" width="11.7109375" style="199" customWidth="1"/>
    <col min="1295" max="1536" width="11.42578125" style="199"/>
    <col min="1537" max="1537" width="13.28515625" style="199" customWidth="1"/>
    <col min="1538" max="1538" width="32.140625" style="199" customWidth="1"/>
    <col min="1539" max="1539" width="20.7109375" style="199" customWidth="1"/>
    <col min="1540" max="1540" width="10.42578125" style="199" customWidth="1"/>
    <col min="1541" max="1541" width="18.5703125" style="199" customWidth="1"/>
    <col min="1542" max="1542" width="11.7109375" style="199" customWidth="1"/>
    <col min="1543" max="1543" width="19.28515625" style="199" customWidth="1"/>
    <col min="1544" max="1544" width="10.28515625" style="199" customWidth="1"/>
    <col min="1545" max="1545" width="19.42578125" style="199" customWidth="1"/>
    <col min="1546" max="1546" width="10.28515625" style="199" customWidth="1"/>
    <col min="1547" max="1547" width="19.5703125" style="199" customWidth="1"/>
    <col min="1548" max="1548" width="10.42578125" style="199" customWidth="1"/>
    <col min="1549" max="1549" width="21.140625" style="199" customWidth="1"/>
    <col min="1550" max="1550" width="11.7109375" style="199" customWidth="1"/>
    <col min="1551" max="1792" width="11.42578125" style="199"/>
    <col min="1793" max="1793" width="13.28515625" style="199" customWidth="1"/>
    <col min="1794" max="1794" width="32.140625" style="199" customWidth="1"/>
    <col min="1795" max="1795" width="20.7109375" style="199" customWidth="1"/>
    <col min="1796" max="1796" width="10.42578125" style="199" customWidth="1"/>
    <col min="1797" max="1797" width="18.5703125" style="199" customWidth="1"/>
    <col min="1798" max="1798" width="11.7109375" style="199" customWidth="1"/>
    <col min="1799" max="1799" width="19.28515625" style="199" customWidth="1"/>
    <col min="1800" max="1800" width="10.28515625" style="199" customWidth="1"/>
    <col min="1801" max="1801" width="19.42578125" style="199" customWidth="1"/>
    <col min="1802" max="1802" width="10.28515625" style="199" customWidth="1"/>
    <col min="1803" max="1803" width="19.5703125" style="199" customWidth="1"/>
    <col min="1804" max="1804" width="10.42578125" style="199" customWidth="1"/>
    <col min="1805" max="1805" width="21.140625" style="199" customWidth="1"/>
    <col min="1806" max="1806" width="11.7109375" style="199" customWidth="1"/>
    <col min="1807" max="2048" width="11.42578125" style="199"/>
    <col min="2049" max="2049" width="13.28515625" style="199" customWidth="1"/>
    <col min="2050" max="2050" width="32.140625" style="199" customWidth="1"/>
    <col min="2051" max="2051" width="20.7109375" style="199" customWidth="1"/>
    <col min="2052" max="2052" width="10.42578125" style="199" customWidth="1"/>
    <col min="2053" max="2053" width="18.5703125" style="199" customWidth="1"/>
    <col min="2054" max="2054" width="11.7109375" style="199" customWidth="1"/>
    <col min="2055" max="2055" width="19.28515625" style="199" customWidth="1"/>
    <col min="2056" max="2056" width="10.28515625" style="199" customWidth="1"/>
    <col min="2057" max="2057" width="19.42578125" style="199" customWidth="1"/>
    <col min="2058" max="2058" width="10.28515625" style="199" customWidth="1"/>
    <col min="2059" max="2059" width="19.5703125" style="199" customWidth="1"/>
    <col min="2060" max="2060" width="10.42578125" style="199" customWidth="1"/>
    <col min="2061" max="2061" width="21.140625" style="199" customWidth="1"/>
    <col min="2062" max="2062" width="11.7109375" style="199" customWidth="1"/>
    <col min="2063" max="2304" width="11.42578125" style="199"/>
    <col min="2305" max="2305" width="13.28515625" style="199" customWidth="1"/>
    <col min="2306" max="2306" width="32.140625" style="199" customWidth="1"/>
    <col min="2307" max="2307" width="20.7109375" style="199" customWidth="1"/>
    <col min="2308" max="2308" width="10.42578125" style="199" customWidth="1"/>
    <col min="2309" max="2309" width="18.5703125" style="199" customWidth="1"/>
    <col min="2310" max="2310" width="11.7109375" style="199" customWidth="1"/>
    <col min="2311" max="2311" width="19.28515625" style="199" customWidth="1"/>
    <col min="2312" max="2312" width="10.28515625" style="199" customWidth="1"/>
    <col min="2313" max="2313" width="19.42578125" style="199" customWidth="1"/>
    <col min="2314" max="2314" width="10.28515625" style="199" customWidth="1"/>
    <col min="2315" max="2315" width="19.5703125" style="199" customWidth="1"/>
    <col min="2316" max="2316" width="10.42578125" style="199" customWidth="1"/>
    <col min="2317" max="2317" width="21.140625" style="199" customWidth="1"/>
    <col min="2318" max="2318" width="11.7109375" style="199" customWidth="1"/>
    <col min="2319" max="2560" width="11.42578125" style="199"/>
    <col min="2561" max="2561" width="13.28515625" style="199" customWidth="1"/>
    <col min="2562" max="2562" width="32.140625" style="199" customWidth="1"/>
    <col min="2563" max="2563" width="20.7109375" style="199" customWidth="1"/>
    <col min="2564" max="2564" width="10.42578125" style="199" customWidth="1"/>
    <col min="2565" max="2565" width="18.5703125" style="199" customWidth="1"/>
    <col min="2566" max="2566" width="11.7109375" style="199" customWidth="1"/>
    <col min="2567" max="2567" width="19.28515625" style="199" customWidth="1"/>
    <col min="2568" max="2568" width="10.28515625" style="199" customWidth="1"/>
    <col min="2569" max="2569" width="19.42578125" style="199" customWidth="1"/>
    <col min="2570" max="2570" width="10.28515625" style="199" customWidth="1"/>
    <col min="2571" max="2571" width="19.5703125" style="199" customWidth="1"/>
    <col min="2572" max="2572" width="10.42578125" style="199" customWidth="1"/>
    <col min="2573" max="2573" width="21.140625" style="199" customWidth="1"/>
    <col min="2574" max="2574" width="11.7109375" style="199" customWidth="1"/>
    <col min="2575" max="2816" width="11.42578125" style="199"/>
    <col min="2817" max="2817" width="13.28515625" style="199" customWidth="1"/>
    <col min="2818" max="2818" width="32.140625" style="199" customWidth="1"/>
    <col min="2819" max="2819" width="20.7109375" style="199" customWidth="1"/>
    <col min="2820" max="2820" width="10.42578125" style="199" customWidth="1"/>
    <col min="2821" max="2821" width="18.5703125" style="199" customWidth="1"/>
    <col min="2822" max="2822" width="11.7109375" style="199" customWidth="1"/>
    <col min="2823" max="2823" width="19.28515625" style="199" customWidth="1"/>
    <col min="2824" max="2824" width="10.28515625" style="199" customWidth="1"/>
    <col min="2825" max="2825" width="19.42578125" style="199" customWidth="1"/>
    <col min="2826" max="2826" width="10.28515625" style="199" customWidth="1"/>
    <col min="2827" max="2827" width="19.5703125" style="199" customWidth="1"/>
    <col min="2828" max="2828" width="10.42578125" style="199" customWidth="1"/>
    <col min="2829" max="2829" width="21.140625" style="199" customWidth="1"/>
    <col min="2830" max="2830" width="11.7109375" style="199" customWidth="1"/>
    <col min="2831" max="3072" width="11.42578125" style="199"/>
    <col min="3073" max="3073" width="13.28515625" style="199" customWidth="1"/>
    <col min="3074" max="3074" width="32.140625" style="199" customWidth="1"/>
    <col min="3075" max="3075" width="20.7109375" style="199" customWidth="1"/>
    <col min="3076" max="3076" width="10.42578125" style="199" customWidth="1"/>
    <col min="3077" max="3077" width="18.5703125" style="199" customWidth="1"/>
    <col min="3078" max="3078" width="11.7109375" style="199" customWidth="1"/>
    <col min="3079" max="3079" width="19.28515625" style="199" customWidth="1"/>
    <col min="3080" max="3080" width="10.28515625" style="199" customWidth="1"/>
    <col min="3081" max="3081" width="19.42578125" style="199" customWidth="1"/>
    <col min="3082" max="3082" width="10.28515625" style="199" customWidth="1"/>
    <col min="3083" max="3083" width="19.5703125" style="199" customWidth="1"/>
    <col min="3084" max="3084" width="10.42578125" style="199" customWidth="1"/>
    <col min="3085" max="3085" width="21.140625" style="199" customWidth="1"/>
    <col min="3086" max="3086" width="11.7109375" style="199" customWidth="1"/>
    <col min="3087" max="3328" width="11.42578125" style="199"/>
    <col min="3329" max="3329" width="13.28515625" style="199" customWidth="1"/>
    <col min="3330" max="3330" width="32.140625" style="199" customWidth="1"/>
    <col min="3331" max="3331" width="20.7109375" style="199" customWidth="1"/>
    <col min="3332" max="3332" width="10.42578125" style="199" customWidth="1"/>
    <col min="3333" max="3333" width="18.5703125" style="199" customWidth="1"/>
    <col min="3334" max="3334" width="11.7109375" style="199" customWidth="1"/>
    <col min="3335" max="3335" width="19.28515625" style="199" customWidth="1"/>
    <col min="3336" max="3336" width="10.28515625" style="199" customWidth="1"/>
    <col min="3337" max="3337" width="19.42578125" style="199" customWidth="1"/>
    <col min="3338" max="3338" width="10.28515625" style="199" customWidth="1"/>
    <col min="3339" max="3339" width="19.5703125" style="199" customWidth="1"/>
    <col min="3340" max="3340" width="10.42578125" style="199" customWidth="1"/>
    <col min="3341" max="3341" width="21.140625" style="199" customWidth="1"/>
    <col min="3342" max="3342" width="11.7109375" style="199" customWidth="1"/>
    <col min="3343" max="3584" width="11.42578125" style="199"/>
    <col min="3585" max="3585" width="13.28515625" style="199" customWidth="1"/>
    <col min="3586" max="3586" width="32.140625" style="199" customWidth="1"/>
    <col min="3587" max="3587" width="20.7109375" style="199" customWidth="1"/>
    <col min="3588" max="3588" width="10.42578125" style="199" customWidth="1"/>
    <col min="3589" max="3589" width="18.5703125" style="199" customWidth="1"/>
    <col min="3590" max="3590" width="11.7109375" style="199" customWidth="1"/>
    <col min="3591" max="3591" width="19.28515625" style="199" customWidth="1"/>
    <col min="3592" max="3592" width="10.28515625" style="199" customWidth="1"/>
    <col min="3593" max="3593" width="19.42578125" style="199" customWidth="1"/>
    <col min="3594" max="3594" width="10.28515625" style="199" customWidth="1"/>
    <col min="3595" max="3595" width="19.5703125" style="199" customWidth="1"/>
    <col min="3596" max="3596" width="10.42578125" style="199" customWidth="1"/>
    <col min="3597" max="3597" width="21.140625" style="199" customWidth="1"/>
    <col min="3598" max="3598" width="11.7109375" style="199" customWidth="1"/>
    <col min="3599" max="3840" width="11.42578125" style="199"/>
    <col min="3841" max="3841" width="13.28515625" style="199" customWidth="1"/>
    <col min="3842" max="3842" width="32.140625" style="199" customWidth="1"/>
    <col min="3843" max="3843" width="20.7109375" style="199" customWidth="1"/>
    <col min="3844" max="3844" width="10.42578125" style="199" customWidth="1"/>
    <col min="3845" max="3845" width="18.5703125" style="199" customWidth="1"/>
    <col min="3846" max="3846" width="11.7109375" style="199" customWidth="1"/>
    <col min="3847" max="3847" width="19.28515625" style="199" customWidth="1"/>
    <col min="3848" max="3848" width="10.28515625" style="199" customWidth="1"/>
    <col min="3849" max="3849" width="19.42578125" style="199" customWidth="1"/>
    <col min="3850" max="3850" width="10.28515625" style="199" customWidth="1"/>
    <col min="3851" max="3851" width="19.5703125" style="199" customWidth="1"/>
    <col min="3852" max="3852" width="10.42578125" style="199" customWidth="1"/>
    <col min="3853" max="3853" width="21.140625" style="199" customWidth="1"/>
    <col min="3854" max="3854" width="11.7109375" style="199" customWidth="1"/>
    <col min="3855" max="4096" width="11.42578125" style="199"/>
    <col min="4097" max="4097" width="13.28515625" style="199" customWidth="1"/>
    <col min="4098" max="4098" width="32.140625" style="199" customWidth="1"/>
    <col min="4099" max="4099" width="20.7109375" style="199" customWidth="1"/>
    <col min="4100" max="4100" width="10.42578125" style="199" customWidth="1"/>
    <col min="4101" max="4101" width="18.5703125" style="199" customWidth="1"/>
    <col min="4102" max="4102" width="11.7109375" style="199" customWidth="1"/>
    <col min="4103" max="4103" width="19.28515625" style="199" customWidth="1"/>
    <col min="4104" max="4104" width="10.28515625" style="199" customWidth="1"/>
    <col min="4105" max="4105" width="19.42578125" style="199" customWidth="1"/>
    <col min="4106" max="4106" width="10.28515625" style="199" customWidth="1"/>
    <col min="4107" max="4107" width="19.5703125" style="199" customWidth="1"/>
    <col min="4108" max="4108" width="10.42578125" style="199" customWidth="1"/>
    <col min="4109" max="4109" width="21.140625" style="199" customWidth="1"/>
    <col min="4110" max="4110" width="11.7109375" style="199" customWidth="1"/>
    <col min="4111" max="4352" width="11.42578125" style="199"/>
    <col min="4353" max="4353" width="13.28515625" style="199" customWidth="1"/>
    <col min="4354" max="4354" width="32.140625" style="199" customWidth="1"/>
    <col min="4355" max="4355" width="20.7109375" style="199" customWidth="1"/>
    <col min="4356" max="4356" width="10.42578125" style="199" customWidth="1"/>
    <col min="4357" max="4357" width="18.5703125" style="199" customWidth="1"/>
    <col min="4358" max="4358" width="11.7109375" style="199" customWidth="1"/>
    <col min="4359" max="4359" width="19.28515625" style="199" customWidth="1"/>
    <col min="4360" max="4360" width="10.28515625" style="199" customWidth="1"/>
    <col min="4361" max="4361" width="19.42578125" style="199" customWidth="1"/>
    <col min="4362" max="4362" width="10.28515625" style="199" customWidth="1"/>
    <col min="4363" max="4363" width="19.5703125" style="199" customWidth="1"/>
    <col min="4364" max="4364" width="10.42578125" style="199" customWidth="1"/>
    <col min="4365" max="4365" width="21.140625" style="199" customWidth="1"/>
    <col min="4366" max="4366" width="11.7109375" style="199" customWidth="1"/>
    <col min="4367" max="4608" width="11.42578125" style="199"/>
    <col min="4609" max="4609" width="13.28515625" style="199" customWidth="1"/>
    <col min="4610" max="4610" width="32.140625" style="199" customWidth="1"/>
    <col min="4611" max="4611" width="20.7109375" style="199" customWidth="1"/>
    <col min="4612" max="4612" width="10.42578125" style="199" customWidth="1"/>
    <col min="4613" max="4613" width="18.5703125" style="199" customWidth="1"/>
    <col min="4614" max="4614" width="11.7109375" style="199" customWidth="1"/>
    <col min="4615" max="4615" width="19.28515625" style="199" customWidth="1"/>
    <col min="4616" max="4616" width="10.28515625" style="199" customWidth="1"/>
    <col min="4617" max="4617" width="19.42578125" style="199" customWidth="1"/>
    <col min="4618" max="4618" width="10.28515625" style="199" customWidth="1"/>
    <col min="4619" max="4619" width="19.5703125" style="199" customWidth="1"/>
    <col min="4620" max="4620" width="10.42578125" style="199" customWidth="1"/>
    <col min="4621" max="4621" width="21.140625" style="199" customWidth="1"/>
    <col min="4622" max="4622" width="11.7109375" style="199" customWidth="1"/>
    <col min="4623" max="4864" width="11.42578125" style="199"/>
    <col min="4865" max="4865" width="13.28515625" style="199" customWidth="1"/>
    <col min="4866" max="4866" width="32.140625" style="199" customWidth="1"/>
    <col min="4867" max="4867" width="20.7109375" style="199" customWidth="1"/>
    <col min="4868" max="4868" width="10.42578125" style="199" customWidth="1"/>
    <col min="4869" max="4869" width="18.5703125" style="199" customWidth="1"/>
    <col min="4870" max="4870" width="11.7109375" style="199" customWidth="1"/>
    <col min="4871" max="4871" width="19.28515625" style="199" customWidth="1"/>
    <col min="4872" max="4872" width="10.28515625" style="199" customWidth="1"/>
    <col min="4873" max="4873" width="19.42578125" style="199" customWidth="1"/>
    <col min="4874" max="4874" width="10.28515625" style="199" customWidth="1"/>
    <col min="4875" max="4875" width="19.5703125" style="199" customWidth="1"/>
    <col min="4876" max="4876" width="10.42578125" style="199" customWidth="1"/>
    <col min="4877" max="4877" width="21.140625" style="199" customWidth="1"/>
    <col min="4878" max="4878" width="11.7109375" style="199" customWidth="1"/>
    <col min="4879" max="5120" width="11.42578125" style="199"/>
    <col min="5121" max="5121" width="13.28515625" style="199" customWidth="1"/>
    <col min="5122" max="5122" width="32.140625" style="199" customWidth="1"/>
    <col min="5123" max="5123" width="20.7109375" style="199" customWidth="1"/>
    <col min="5124" max="5124" width="10.42578125" style="199" customWidth="1"/>
    <col min="5125" max="5125" width="18.5703125" style="199" customWidth="1"/>
    <col min="5126" max="5126" width="11.7109375" style="199" customWidth="1"/>
    <col min="5127" max="5127" width="19.28515625" style="199" customWidth="1"/>
    <col min="5128" max="5128" width="10.28515625" style="199" customWidth="1"/>
    <col min="5129" max="5129" width="19.42578125" style="199" customWidth="1"/>
    <col min="5130" max="5130" width="10.28515625" style="199" customWidth="1"/>
    <col min="5131" max="5131" width="19.5703125" style="199" customWidth="1"/>
    <col min="5132" max="5132" width="10.42578125" style="199" customWidth="1"/>
    <col min="5133" max="5133" width="21.140625" style="199" customWidth="1"/>
    <col min="5134" max="5134" width="11.7109375" style="199" customWidth="1"/>
    <col min="5135" max="5376" width="11.42578125" style="199"/>
    <col min="5377" max="5377" width="13.28515625" style="199" customWidth="1"/>
    <col min="5378" max="5378" width="32.140625" style="199" customWidth="1"/>
    <col min="5379" max="5379" width="20.7109375" style="199" customWidth="1"/>
    <col min="5380" max="5380" width="10.42578125" style="199" customWidth="1"/>
    <col min="5381" max="5381" width="18.5703125" style="199" customWidth="1"/>
    <col min="5382" max="5382" width="11.7109375" style="199" customWidth="1"/>
    <col min="5383" max="5383" width="19.28515625" style="199" customWidth="1"/>
    <col min="5384" max="5384" width="10.28515625" style="199" customWidth="1"/>
    <col min="5385" max="5385" width="19.42578125" style="199" customWidth="1"/>
    <col min="5386" max="5386" width="10.28515625" style="199" customWidth="1"/>
    <col min="5387" max="5387" width="19.5703125" style="199" customWidth="1"/>
    <col min="5388" max="5388" width="10.42578125" style="199" customWidth="1"/>
    <col min="5389" max="5389" width="21.140625" style="199" customWidth="1"/>
    <col min="5390" max="5390" width="11.7109375" style="199" customWidth="1"/>
    <col min="5391" max="5632" width="11.42578125" style="199"/>
    <col min="5633" max="5633" width="13.28515625" style="199" customWidth="1"/>
    <col min="5634" max="5634" width="32.140625" style="199" customWidth="1"/>
    <col min="5635" max="5635" width="20.7109375" style="199" customWidth="1"/>
    <col min="5636" max="5636" width="10.42578125" style="199" customWidth="1"/>
    <col min="5637" max="5637" width="18.5703125" style="199" customWidth="1"/>
    <col min="5638" max="5638" width="11.7109375" style="199" customWidth="1"/>
    <col min="5639" max="5639" width="19.28515625" style="199" customWidth="1"/>
    <col min="5640" max="5640" width="10.28515625" style="199" customWidth="1"/>
    <col min="5641" max="5641" width="19.42578125" style="199" customWidth="1"/>
    <col min="5642" max="5642" width="10.28515625" style="199" customWidth="1"/>
    <col min="5643" max="5643" width="19.5703125" style="199" customWidth="1"/>
    <col min="5644" max="5644" width="10.42578125" style="199" customWidth="1"/>
    <col min="5645" max="5645" width="21.140625" style="199" customWidth="1"/>
    <col min="5646" max="5646" width="11.7109375" style="199" customWidth="1"/>
    <col min="5647" max="5888" width="11.42578125" style="199"/>
    <col min="5889" max="5889" width="13.28515625" style="199" customWidth="1"/>
    <col min="5890" max="5890" width="32.140625" style="199" customWidth="1"/>
    <col min="5891" max="5891" width="20.7109375" style="199" customWidth="1"/>
    <col min="5892" max="5892" width="10.42578125" style="199" customWidth="1"/>
    <col min="5893" max="5893" width="18.5703125" style="199" customWidth="1"/>
    <col min="5894" max="5894" width="11.7109375" style="199" customWidth="1"/>
    <col min="5895" max="5895" width="19.28515625" style="199" customWidth="1"/>
    <col min="5896" max="5896" width="10.28515625" style="199" customWidth="1"/>
    <col min="5897" max="5897" width="19.42578125" style="199" customWidth="1"/>
    <col min="5898" max="5898" width="10.28515625" style="199" customWidth="1"/>
    <col min="5899" max="5899" width="19.5703125" style="199" customWidth="1"/>
    <col min="5900" max="5900" width="10.42578125" style="199" customWidth="1"/>
    <col min="5901" max="5901" width="21.140625" style="199" customWidth="1"/>
    <col min="5902" max="5902" width="11.7109375" style="199" customWidth="1"/>
    <col min="5903" max="6144" width="11.42578125" style="199"/>
    <col min="6145" max="6145" width="13.28515625" style="199" customWidth="1"/>
    <col min="6146" max="6146" width="32.140625" style="199" customWidth="1"/>
    <col min="6147" max="6147" width="20.7109375" style="199" customWidth="1"/>
    <col min="6148" max="6148" width="10.42578125" style="199" customWidth="1"/>
    <col min="6149" max="6149" width="18.5703125" style="199" customWidth="1"/>
    <col min="6150" max="6150" width="11.7109375" style="199" customWidth="1"/>
    <col min="6151" max="6151" width="19.28515625" style="199" customWidth="1"/>
    <col min="6152" max="6152" width="10.28515625" style="199" customWidth="1"/>
    <col min="6153" max="6153" width="19.42578125" style="199" customWidth="1"/>
    <col min="6154" max="6154" width="10.28515625" style="199" customWidth="1"/>
    <col min="6155" max="6155" width="19.5703125" style="199" customWidth="1"/>
    <col min="6156" max="6156" width="10.42578125" style="199" customWidth="1"/>
    <col min="6157" max="6157" width="21.140625" style="199" customWidth="1"/>
    <col min="6158" max="6158" width="11.7109375" style="199" customWidth="1"/>
    <col min="6159" max="6400" width="11.42578125" style="199"/>
    <col min="6401" max="6401" width="13.28515625" style="199" customWidth="1"/>
    <col min="6402" max="6402" width="32.140625" style="199" customWidth="1"/>
    <col min="6403" max="6403" width="20.7109375" style="199" customWidth="1"/>
    <col min="6404" max="6404" width="10.42578125" style="199" customWidth="1"/>
    <col min="6405" max="6405" width="18.5703125" style="199" customWidth="1"/>
    <col min="6406" max="6406" width="11.7109375" style="199" customWidth="1"/>
    <col min="6407" max="6407" width="19.28515625" style="199" customWidth="1"/>
    <col min="6408" max="6408" width="10.28515625" style="199" customWidth="1"/>
    <col min="6409" max="6409" width="19.42578125" style="199" customWidth="1"/>
    <col min="6410" max="6410" width="10.28515625" style="199" customWidth="1"/>
    <col min="6411" max="6411" width="19.5703125" style="199" customWidth="1"/>
    <col min="6412" max="6412" width="10.42578125" style="199" customWidth="1"/>
    <col min="6413" max="6413" width="21.140625" style="199" customWidth="1"/>
    <col min="6414" max="6414" width="11.7109375" style="199" customWidth="1"/>
    <col min="6415" max="6656" width="11.42578125" style="199"/>
    <col min="6657" max="6657" width="13.28515625" style="199" customWidth="1"/>
    <col min="6658" max="6658" width="32.140625" style="199" customWidth="1"/>
    <col min="6659" max="6659" width="20.7109375" style="199" customWidth="1"/>
    <col min="6660" max="6660" width="10.42578125" style="199" customWidth="1"/>
    <col min="6661" max="6661" width="18.5703125" style="199" customWidth="1"/>
    <col min="6662" max="6662" width="11.7109375" style="199" customWidth="1"/>
    <col min="6663" max="6663" width="19.28515625" style="199" customWidth="1"/>
    <col min="6664" max="6664" width="10.28515625" style="199" customWidth="1"/>
    <col min="6665" max="6665" width="19.42578125" style="199" customWidth="1"/>
    <col min="6666" max="6666" width="10.28515625" style="199" customWidth="1"/>
    <col min="6667" max="6667" width="19.5703125" style="199" customWidth="1"/>
    <col min="6668" max="6668" width="10.42578125" style="199" customWidth="1"/>
    <col min="6669" max="6669" width="21.140625" style="199" customWidth="1"/>
    <col min="6670" max="6670" width="11.7109375" style="199" customWidth="1"/>
    <col min="6671" max="6912" width="11.42578125" style="199"/>
    <col min="6913" max="6913" width="13.28515625" style="199" customWidth="1"/>
    <col min="6914" max="6914" width="32.140625" style="199" customWidth="1"/>
    <col min="6915" max="6915" width="20.7109375" style="199" customWidth="1"/>
    <col min="6916" max="6916" width="10.42578125" style="199" customWidth="1"/>
    <col min="6917" max="6917" width="18.5703125" style="199" customWidth="1"/>
    <col min="6918" max="6918" width="11.7109375" style="199" customWidth="1"/>
    <col min="6919" max="6919" width="19.28515625" style="199" customWidth="1"/>
    <col min="6920" max="6920" width="10.28515625" style="199" customWidth="1"/>
    <col min="6921" max="6921" width="19.42578125" style="199" customWidth="1"/>
    <col min="6922" max="6922" width="10.28515625" style="199" customWidth="1"/>
    <col min="6923" max="6923" width="19.5703125" style="199" customWidth="1"/>
    <col min="6924" max="6924" width="10.42578125" style="199" customWidth="1"/>
    <col min="6925" max="6925" width="21.140625" style="199" customWidth="1"/>
    <col min="6926" max="6926" width="11.7109375" style="199" customWidth="1"/>
    <col min="6927" max="7168" width="11.42578125" style="199"/>
    <col min="7169" max="7169" width="13.28515625" style="199" customWidth="1"/>
    <col min="7170" max="7170" width="32.140625" style="199" customWidth="1"/>
    <col min="7171" max="7171" width="20.7109375" style="199" customWidth="1"/>
    <col min="7172" max="7172" width="10.42578125" style="199" customWidth="1"/>
    <col min="7173" max="7173" width="18.5703125" style="199" customWidth="1"/>
    <col min="7174" max="7174" width="11.7109375" style="199" customWidth="1"/>
    <col min="7175" max="7175" width="19.28515625" style="199" customWidth="1"/>
    <col min="7176" max="7176" width="10.28515625" style="199" customWidth="1"/>
    <col min="7177" max="7177" width="19.42578125" style="199" customWidth="1"/>
    <col min="7178" max="7178" width="10.28515625" style="199" customWidth="1"/>
    <col min="7179" max="7179" width="19.5703125" style="199" customWidth="1"/>
    <col min="7180" max="7180" width="10.42578125" style="199" customWidth="1"/>
    <col min="7181" max="7181" width="21.140625" style="199" customWidth="1"/>
    <col min="7182" max="7182" width="11.7109375" style="199" customWidth="1"/>
    <col min="7183" max="7424" width="11.42578125" style="199"/>
    <col min="7425" max="7425" width="13.28515625" style="199" customWidth="1"/>
    <col min="7426" max="7426" width="32.140625" style="199" customWidth="1"/>
    <col min="7427" max="7427" width="20.7109375" style="199" customWidth="1"/>
    <col min="7428" max="7428" width="10.42578125" style="199" customWidth="1"/>
    <col min="7429" max="7429" width="18.5703125" style="199" customWidth="1"/>
    <col min="7430" max="7430" width="11.7109375" style="199" customWidth="1"/>
    <col min="7431" max="7431" width="19.28515625" style="199" customWidth="1"/>
    <col min="7432" max="7432" width="10.28515625" style="199" customWidth="1"/>
    <col min="7433" max="7433" width="19.42578125" style="199" customWidth="1"/>
    <col min="7434" max="7434" width="10.28515625" style="199" customWidth="1"/>
    <col min="7435" max="7435" width="19.5703125" style="199" customWidth="1"/>
    <col min="7436" max="7436" width="10.42578125" style="199" customWidth="1"/>
    <col min="7437" max="7437" width="21.140625" style="199" customWidth="1"/>
    <col min="7438" max="7438" width="11.7109375" style="199" customWidth="1"/>
    <col min="7439" max="7680" width="11.42578125" style="199"/>
    <col min="7681" max="7681" width="13.28515625" style="199" customWidth="1"/>
    <col min="7682" max="7682" width="32.140625" style="199" customWidth="1"/>
    <col min="7683" max="7683" width="20.7109375" style="199" customWidth="1"/>
    <col min="7684" max="7684" width="10.42578125" style="199" customWidth="1"/>
    <col min="7685" max="7685" width="18.5703125" style="199" customWidth="1"/>
    <col min="7686" max="7686" width="11.7109375" style="199" customWidth="1"/>
    <col min="7687" max="7687" width="19.28515625" style="199" customWidth="1"/>
    <col min="7688" max="7688" width="10.28515625" style="199" customWidth="1"/>
    <col min="7689" max="7689" width="19.42578125" style="199" customWidth="1"/>
    <col min="7690" max="7690" width="10.28515625" style="199" customWidth="1"/>
    <col min="7691" max="7691" width="19.5703125" style="199" customWidth="1"/>
    <col min="7692" max="7692" width="10.42578125" style="199" customWidth="1"/>
    <col min="7693" max="7693" width="21.140625" style="199" customWidth="1"/>
    <col min="7694" max="7694" width="11.7109375" style="199" customWidth="1"/>
    <col min="7695" max="7936" width="11.42578125" style="199"/>
    <col min="7937" max="7937" width="13.28515625" style="199" customWidth="1"/>
    <col min="7938" max="7938" width="32.140625" style="199" customWidth="1"/>
    <col min="7939" max="7939" width="20.7109375" style="199" customWidth="1"/>
    <col min="7940" max="7940" width="10.42578125" style="199" customWidth="1"/>
    <col min="7941" max="7941" width="18.5703125" style="199" customWidth="1"/>
    <col min="7942" max="7942" width="11.7109375" style="199" customWidth="1"/>
    <col min="7943" max="7943" width="19.28515625" style="199" customWidth="1"/>
    <col min="7944" max="7944" width="10.28515625" style="199" customWidth="1"/>
    <col min="7945" max="7945" width="19.42578125" style="199" customWidth="1"/>
    <col min="7946" max="7946" width="10.28515625" style="199" customWidth="1"/>
    <col min="7947" max="7947" width="19.5703125" style="199" customWidth="1"/>
    <col min="7948" max="7948" width="10.42578125" style="199" customWidth="1"/>
    <col min="7949" max="7949" width="21.140625" style="199" customWidth="1"/>
    <col min="7950" max="7950" width="11.7109375" style="199" customWidth="1"/>
    <col min="7951" max="8192" width="11.42578125" style="199"/>
    <col min="8193" max="8193" width="13.28515625" style="199" customWidth="1"/>
    <col min="8194" max="8194" width="32.140625" style="199" customWidth="1"/>
    <col min="8195" max="8195" width="20.7109375" style="199" customWidth="1"/>
    <col min="8196" max="8196" width="10.42578125" style="199" customWidth="1"/>
    <col min="8197" max="8197" width="18.5703125" style="199" customWidth="1"/>
    <col min="8198" max="8198" width="11.7109375" style="199" customWidth="1"/>
    <col min="8199" max="8199" width="19.28515625" style="199" customWidth="1"/>
    <col min="8200" max="8200" width="10.28515625" style="199" customWidth="1"/>
    <col min="8201" max="8201" width="19.42578125" style="199" customWidth="1"/>
    <col min="8202" max="8202" width="10.28515625" style="199" customWidth="1"/>
    <col min="8203" max="8203" width="19.5703125" style="199" customWidth="1"/>
    <col min="8204" max="8204" width="10.42578125" style="199" customWidth="1"/>
    <col min="8205" max="8205" width="21.140625" style="199" customWidth="1"/>
    <col min="8206" max="8206" width="11.7109375" style="199" customWidth="1"/>
    <col min="8207" max="8448" width="11.42578125" style="199"/>
    <col min="8449" max="8449" width="13.28515625" style="199" customWidth="1"/>
    <col min="8450" max="8450" width="32.140625" style="199" customWidth="1"/>
    <col min="8451" max="8451" width="20.7109375" style="199" customWidth="1"/>
    <col min="8452" max="8452" width="10.42578125" style="199" customWidth="1"/>
    <col min="8453" max="8453" width="18.5703125" style="199" customWidth="1"/>
    <col min="8454" max="8454" width="11.7109375" style="199" customWidth="1"/>
    <col min="8455" max="8455" width="19.28515625" style="199" customWidth="1"/>
    <col min="8456" max="8456" width="10.28515625" style="199" customWidth="1"/>
    <col min="8457" max="8457" width="19.42578125" style="199" customWidth="1"/>
    <col min="8458" max="8458" width="10.28515625" style="199" customWidth="1"/>
    <col min="8459" max="8459" width="19.5703125" style="199" customWidth="1"/>
    <col min="8460" max="8460" width="10.42578125" style="199" customWidth="1"/>
    <col min="8461" max="8461" width="21.140625" style="199" customWidth="1"/>
    <col min="8462" max="8462" width="11.7109375" style="199" customWidth="1"/>
    <col min="8463" max="8704" width="11.42578125" style="199"/>
    <col min="8705" max="8705" width="13.28515625" style="199" customWidth="1"/>
    <col min="8706" max="8706" width="32.140625" style="199" customWidth="1"/>
    <col min="8707" max="8707" width="20.7109375" style="199" customWidth="1"/>
    <col min="8708" max="8708" width="10.42578125" style="199" customWidth="1"/>
    <col min="8709" max="8709" width="18.5703125" style="199" customWidth="1"/>
    <col min="8710" max="8710" width="11.7109375" style="199" customWidth="1"/>
    <col min="8711" max="8711" width="19.28515625" style="199" customWidth="1"/>
    <col min="8712" max="8712" width="10.28515625" style="199" customWidth="1"/>
    <col min="8713" max="8713" width="19.42578125" style="199" customWidth="1"/>
    <col min="8714" max="8714" width="10.28515625" style="199" customWidth="1"/>
    <col min="8715" max="8715" width="19.5703125" style="199" customWidth="1"/>
    <col min="8716" max="8716" width="10.42578125" style="199" customWidth="1"/>
    <col min="8717" max="8717" width="21.140625" style="199" customWidth="1"/>
    <col min="8718" max="8718" width="11.7109375" style="199" customWidth="1"/>
    <col min="8719" max="8960" width="11.42578125" style="199"/>
    <col min="8961" max="8961" width="13.28515625" style="199" customWidth="1"/>
    <col min="8962" max="8962" width="32.140625" style="199" customWidth="1"/>
    <col min="8963" max="8963" width="20.7109375" style="199" customWidth="1"/>
    <col min="8964" max="8964" width="10.42578125" style="199" customWidth="1"/>
    <col min="8965" max="8965" width="18.5703125" style="199" customWidth="1"/>
    <col min="8966" max="8966" width="11.7109375" style="199" customWidth="1"/>
    <col min="8967" max="8967" width="19.28515625" style="199" customWidth="1"/>
    <col min="8968" max="8968" width="10.28515625" style="199" customWidth="1"/>
    <col min="8969" max="8969" width="19.42578125" style="199" customWidth="1"/>
    <col min="8970" max="8970" width="10.28515625" style="199" customWidth="1"/>
    <col min="8971" max="8971" width="19.5703125" style="199" customWidth="1"/>
    <col min="8972" max="8972" width="10.42578125" style="199" customWidth="1"/>
    <col min="8973" max="8973" width="21.140625" style="199" customWidth="1"/>
    <col min="8974" max="8974" width="11.7109375" style="199" customWidth="1"/>
    <col min="8975" max="9216" width="11.42578125" style="199"/>
    <col min="9217" max="9217" width="13.28515625" style="199" customWidth="1"/>
    <col min="9218" max="9218" width="32.140625" style="199" customWidth="1"/>
    <col min="9219" max="9219" width="20.7109375" style="199" customWidth="1"/>
    <col min="9220" max="9220" width="10.42578125" style="199" customWidth="1"/>
    <col min="9221" max="9221" width="18.5703125" style="199" customWidth="1"/>
    <col min="9222" max="9222" width="11.7109375" style="199" customWidth="1"/>
    <col min="9223" max="9223" width="19.28515625" style="199" customWidth="1"/>
    <col min="9224" max="9224" width="10.28515625" style="199" customWidth="1"/>
    <col min="9225" max="9225" width="19.42578125" style="199" customWidth="1"/>
    <col min="9226" max="9226" width="10.28515625" style="199" customWidth="1"/>
    <col min="9227" max="9227" width="19.5703125" style="199" customWidth="1"/>
    <col min="9228" max="9228" width="10.42578125" style="199" customWidth="1"/>
    <col min="9229" max="9229" width="21.140625" style="199" customWidth="1"/>
    <col min="9230" max="9230" width="11.7109375" style="199" customWidth="1"/>
    <col min="9231" max="9472" width="11.42578125" style="199"/>
    <col min="9473" max="9473" width="13.28515625" style="199" customWidth="1"/>
    <col min="9474" max="9474" width="32.140625" style="199" customWidth="1"/>
    <col min="9475" max="9475" width="20.7109375" style="199" customWidth="1"/>
    <col min="9476" max="9476" width="10.42578125" style="199" customWidth="1"/>
    <col min="9477" max="9477" width="18.5703125" style="199" customWidth="1"/>
    <col min="9478" max="9478" width="11.7109375" style="199" customWidth="1"/>
    <col min="9479" max="9479" width="19.28515625" style="199" customWidth="1"/>
    <col min="9480" max="9480" width="10.28515625" style="199" customWidth="1"/>
    <col min="9481" max="9481" width="19.42578125" style="199" customWidth="1"/>
    <col min="9482" max="9482" width="10.28515625" style="199" customWidth="1"/>
    <col min="9483" max="9483" width="19.5703125" style="199" customWidth="1"/>
    <col min="9484" max="9484" width="10.42578125" style="199" customWidth="1"/>
    <col min="9485" max="9485" width="21.140625" style="199" customWidth="1"/>
    <col min="9486" max="9486" width="11.7109375" style="199" customWidth="1"/>
    <col min="9487" max="9728" width="11.42578125" style="199"/>
    <col min="9729" max="9729" width="13.28515625" style="199" customWidth="1"/>
    <col min="9730" max="9730" width="32.140625" style="199" customWidth="1"/>
    <col min="9731" max="9731" width="20.7109375" style="199" customWidth="1"/>
    <col min="9732" max="9732" width="10.42578125" style="199" customWidth="1"/>
    <col min="9733" max="9733" width="18.5703125" style="199" customWidth="1"/>
    <col min="9734" max="9734" width="11.7109375" style="199" customWidth="1"/>
    <col min="9735" max="9735" width="19.28515625" style="199" customWidth="1"/>
    <col min="9736" max="9736" width="10.28515625" style="199" customWidth="1"/>
    <col min="9737" max="9737" width="19.42578125" style="199" customWidth="1"/>
    <col min="9738" max="9738" width="10.28515625" style="199" customWidth="1"/>
    <col min="9739" max="9739" width="19.5703125" style="199" customWidth="1"/>
    <col min="9740" max="9740" width="10.42578125" style="199" customWidth="1"/>
    <col min="9741" max="9741" width="21.140625" style="199" customWidth="1"/>
    <col min="9742" max="9742" width="11.7109375" style="199" customWidth="1"/>
    <col min="9743" max="9984" width="11.42578125" style="199"/>
    <col min="9985" max="9985" width="13.28515625" style="199" customWidth="1"/>
    <col min="9986" max="9986" width="32.140625" style="199" customWidth="1"/>
    <col min="9987" max="9987" width="20.7109375" style="199" customWidth="1"/>
    <col min="9988" max="9988" width="10.42578125" style="199" customWidth="1"/>
    <col min="9989" max="9989" width="18.5703125" style="199" customWidth="1"/>
    <col min="9990" max="9990" width="11.7109375" style="199" customWidth="1"/>
    <col min="9991" max="9991" width="19.28515625" style="199" customWidth="1"/>
    <col min="9992" max="9992" width="10.28515625" style="199" customWidth="1"/>
    <col min="9993" max="9993" width="19.42578125" style="199" customWidth="1"/>
    <col min="9994" max="9994" width="10.28515625" style="199" customWidth="1"/>
    <col min="9995" max="9995" width="19.5703125" style="199" customWidth="1"/>
    <col min="9996" max="9996" width="10.42578125" style="199" customWidth="1"/>
    <col min="9997" max="9997" width="21.140625" style="199" customWidth="1"/>
    <col min="9998" max="9998" width="11.7109375" style="199" customWidth="1"/>
    <col min="9999" max="10240" width="11.42578125" style="199"/>
    <col min="10241" max="10241" width="13.28515625" style="199" customWidth="1"/>
    <col min="10242" max="10242" width="32.140625" style="199" customWidth="1"/>
    <col min="10243" max="10243" width="20.7109375" style="199" customWidth="1"/>
    <col min="10244" max="10244" width="10.42578125" style="199" customWidth="1"/>
    <col min="10245" max="10245" width="18.5703125" style="199" customWidth="1"/>
    <col min="10246" max="10246" width="11.7109375" style="199" customWidth="1"/>
    <col min="10247" max="10247" width="19.28515625" style="199" customWidth="1"/>
    <col min="10248" max="10248" width="10.28515625" style="199" customWidth="1"/>
    <col min="10249" max="10249" width="19.42578125" style="199" customWidth="1"/>
    <col min="10250" max="10250" width="10.28515625" style="199" customWidth="1"/>
    <col min="10251" max="10251" width="19.5703125" style="199" customWidth="1"/>
    <col min="10252" max="10252" width="10.42578125" style="199" customWidth="1"/>
    <col min="10253" max="10253" width="21.140625" style="199" customWidth="1"/>
    <col min="10254" max="10254" width="11.7109375" style="199" customWidth="1"/>
    <col min="10255" max="10496" width="11.42578125" style="199"/>
    <col min="10497" max="10497" width="13.28515625" style="199" customWidth="1"/>
    <col min="10498" max="10498" width="32.140625" style="199" customWidth="1"/>
    <col min="10499" max="10499" width="20.7109375" style="199" customWidth="1"/>
    <col min="10500" max="10500" width="10.42578125" style="199" customWidth="1"/>
    <col min="10501" max="10501" width="18.5703125" style="199" customWidth="1"/>
    <col min="10502" max="10502" width="11.7109375" style="199" customWidth="1"/>
    <col min="10503" max="10503" width="19.28515625" style="199" customWidth="1"/>
    <col min="10504" max="10504" width="10.28515625" style="199" customWidth="1"/>
    <col min="10505" max="10505" width="19.42578125" style="199" customWidth="1"/>
    <col min="10506" max="10506" width="10.28515625" style="199" customWidth="1"/>
    <col min="10507" max="10507" width="19.5703125" style="199" customWidth="1"/>
    <col min="10508" max="10508" width="10.42578125" style="199" customWidth="1"/>
    <col min="10509" max="10509" width="21.140625" style="199" customWidth="1"/>
    <col min="10510" max="10510" width="11.7109375" style="199" customWidth="1"/>
    <col min="10511" max="10752" width="11.42578125" style="199"/>
    <col min="10753" max="10753" width="13.28515625" style="199" customWidth="1"/>
    <col min="10754" max="10754" width="32.140625" style="199" customWidth="1"/>
    <col min="10755" max="10755" width="20.7109375" style="199" customWidth="1"/>
    <col min="10756" max="10756" width="10.42578125" style="199" customWidth="1"/>
    <col min="10757" max="10757" width="18.5703125" style="199" customWidth="1"/>
    <col min="10758" max="10758" width="11.7109375" style="199" customWidth="1"/>
    <col min="10759" max="10759" width="19.28515625" style="199" customWidth="1"/>
    <col min="10760" max="10760" width="10.28515625" style="199" customWidth="1"/>
    <col min="10761" max="10761" width="19.42578125" style="199" customWidth="1"/>
    <col min="10762" max="10762" width="10.28515625" style="199" customWidth="1"/>
    <col min="10763" max="10763" width="19.5703125" style="199" customWidth="1"/>
    <col min="10764" max="10764" width="10.42578125" style="199" customWidth="1"/>
    <col min="10765" max="10765" width="21.140625" style="199" customWidth="1"/>
    <col min="10766" max="10766" width="11.7109375" style="199" customWidth="1"/>
    <col min="10767" max="11008" width="11.42578125" style="199"/>
    <col min="11009" max="11009" width="13.28515625" style="199" customWidth="1"/>
    <col min="11010" max="11010" width="32.140625" style="199" customWidth="1"/>
    <col min="11011" max="11011" width="20.7109375" style="199" customWidth="1"/>
    <col min="11012" max="11012" width="10.42578125" style="199" customWidth="1"/>
    <col min="11013" max="11013" width="18.5703125" style="199" customWidth="1"/>
    <col min="11014" max="11014" width="11.7109375" style="199" customWidth="1"/>
    <col min="11015" max="11015" width="19.28515625" style="199" customWidth="1"/>
    <col min="11016" max="11016" width="10.28515625" style="199" customWidth="1"/>
    <col min="11017" max="11017" width="19.42578125" style="199" customWidth="1"/>
    <col min="11018" max="11018" width="10.28515625" style="199" customWidth="1"/>
    <col min="11019" max="11019" width="19.5703125" style="199" customWidth="1"/>
    <col min="11020" max="11020" width="10.42578125" style="199" customWidth="1"/>
    <col min="11021" max="11021" width="21.140625" style="199" customWidth="1"/>
    <col min="11022" max="11022" width="11.7109375" style="199" customWidth="1"/>
    <col min="11023" max="11264" width="11.42578125" style="199"/>
    <col min="11265" max="11265" width="13.28515625" style="199" customWidth="1"/>
    <col min="11266" max="11266" width="32.140625" style="199" customWidth="1"/>
    <col min="11267" max="11267" width="20.7109375" style="199" customWidth="1"/>
    <col min="11268" max="11268" width="10.42578125" style="199" customWidth="1"/>
    <col min="11269" max="11269" width="18.5703125" style="199" customWidth="1"/>
    <col min="11270" max="11270" width="11.7109375" style="199" customWidth="1"/>
    <col min="11271" max="11271" width="19.28515625" style="199" customWidth="1"/>
    <col min="11272" max="11272" width="10.28515625" style="199" customWidth="1"/>
    <col min="11273" max="11273" width="19.42578125" style="199" customWidth="1"/>
    <col min="11274" max="11274" width="10.28515625" style="199" customWidth="1"/>
    <col min="11275" max="11275" width="19.5703125" style="199" customWidth="1"/>
    <col min="11276" max="11276" width="10.42578125" style="199" customWidth="1"/>
    <col min="11277" max="11277" width="21.140625" style="199" customWidth="1"/>
    <col min="11278" max="11278" width="11.7109375" style="199" customWidth="1"/>
    <col min="11279" max="11520" width="11.42578125" style="199"/>
    <col min="11521" max="11521" width="13.28515625" style="199" customWidth="1"/>
    <col min="11522" max="11522" width="32.140625" style="199" customWidth="1"/>
    <col min="11523" max="11523" width="20.7109375" style="199" customWidth="1"/>
    <col min="11524" max="11524" width="10.42578125" style="199" customWidth="1"/>
    <col min="11525" max="11525" width="18.5703125" style="199" customWidth="1"/>
    <col min="11526" max="11526" width="11.7109375" style="199" customWidth="1"/>
    <col min="11527" max="11527" width="19.28515625" style="199" customWidth="1"/>
    <col min="11528" max="11528" width="10.28515625" style="199" customWidth="1"/>
    <col min="11529" max="11529" width="19.42578125" style="199" customWidth="1"/>
    <col min="11530" max="11530" width="10.28515625" style="199" customWidth="1"/>
    <col min="11531" max="11531" width="19.5703125" style="199" customWidth="1"/>
    <col min="11532" max="11532" width="10.42578125" style="199" customWidth="1"/>
    <col min="11533" max="11533" width="21.140625" style="199" customWidth="1"/>
    <col min="11534" max="11534" width="11.7109375" style="199" customWidth="1"/>
    <col min="11535" max="11776" width="11.42578125" style="199"/>
    <col min="11777" max="11777" width="13.28515625" style="199" customWidth="1"/>
    <col min="11778" max="11778" width="32.140625" style="199" customWidth="1"/>
    <col min="11779" max="11779" width="20.7109375" style="199" customWidth="1"/>
    <col min="11780" max="11780" width="10.42578125" style="199" customWidth="1"/>
    <col min="11781" max="11781" width="18.5703125" style="199" customWidth="1"/>
    <col min="11782" max="11782" width="11.7109375" style="199" customWidth="1"/>
    <col min="11783" max="11783" width="19.28515625" style="199" customWidth="1"/>
    <col min="11784" max="11784" width="10.28515625" style="199" customWidth="1"/>
    <col min="11785" max="11785" width="19.42578125" style="199" customWidth="1"/>
    <col min="11786" max="11786" width="10.28515625" style="199" customWidth="1"/>
    <col min="11787" max="11787" width="19.5703125" style="199" customWidth="1"/>
    <col min="11788" max="11788" width="10.42578125" style="199" customWidth="1"/>
    <col min="11789" max="11789" width="21.140625" style="199" customWidth="1"/>
    <col min="11790" max="11790" width="11.7109375" style="199" customWidth="1"/>
    <col min="11791" max="12032" width="11.42578125" style="199"/>
    <col min="12033" max="12033" width="13.28515625" style="199" customWidth="1"/>
    <col min="12034" max="12034" width="32.140625" style="199" customWidth="1"/>
    <col min="12035" max="12035" width="20.7109375" style="199" customWidth="1"/>
    <col min="12036" max="12036" width="10.42578125" style="199" customWidth="1"/>
    <col min="12037" max="12037" width="18.5703125" style="199" customWidth="1"/>
    <col min="12038" max="12038" width="11.7109375" style="199" customWidth="1"/>
    <col min="12039" max="12039" width="19.28515625" style="199" customWidth="1"/>
    <col min="12040" max="12040" width="10.28515625" style="199" customWidth="1"/>
    <col min="12041" max="12041" width="19.42578125" style="199" customWidth="1"/>
    <col min="12042" max="12042" width="10.28515625" style="199" customWidth="1"/>
    <col min="12043" max="12043" width="19.5703125" style="199" customWidth="1"/>
    <col min="12044" max="12044" width="10.42578125" style="199" customWidth="1"/>
    <col min="12045" max="12045" width="21.140625" style="199" customWidth="1"/>
    <col min="12046" max="12046" width="11.7109375" style="199" customWidth="1"/>
    <col min="12047" max="12288" width="11.42578125" style="199"/>
    <col min="12289" max="12289" width="13.28515625" style="199" customWidth="1"/>
    <col min="12290" max="12290" width="32.140625" style="199" customWidth="1"/>
    <col min="12291" max="12291" width="20.7109375" style="199" customWidth="1"/>
    <col min="12292" max="12292" width="10.42578125" style="199" customWidth="1"/>
    <col min="12293" max="12293" width="18.5703125" style="199" customWidth="1"/>
    <col min="12294" max="12294" width="11.7109375" style="199" customWidth="1"/>
    <col min="12295" max="12295" width="19.28515625" style="199" customWidth="1"/>
    <col min="12296" max="12296" width="10.28515625" style="199" customWidth="1"/>
    <col min="12297" max="12297" width="19.42578125" style="199" customWidth="1"/>
    <col min="12298" max="12298" width="10.28515625" style="199" customWidth="1"/>
    <col min="12299" max="12299" width="19.5703125" style="199" customWidth="1"/>
    <col min="12300" max="12300" width="10.42578125" style="199" customWidth="1"/>
    <col min="12301" max="12301" width="21.140625" style="199" customWidth="1"/>
    <col min="12302" max="12302" width="11.7109375" style="199" customWidth="1"/>
    <col min="12303" max="12544" width="11.42578125" style="199"/>
    <col min="12545" max="12545" width="13.28515625" style="199" customWidth="1"/>
    <col min="12546" max="12546" width="32.140625" style="199" customWidth="1"/>
    <col min="12547" max="12547" width="20.7109375" style="199" customWidth="1"/>
    <col min="12548" max="12548" width="10.42578125" style="199" customWidth="1"/>
    <col min="12549" max="12549" width="18.5703125" style="199" customWidth="1"/>
    <col min="12550" max="12550" width="11.7109375" style="199" customWidth="1"/>
    <col min="12551" max="12551" width="19.28515625" style="199" customWidth="1"/>
    <col min="12552" max="12552" width="10.28515625" style="199" customWidth="1"/>
    <col min="12553" max="12553" width="19.42578125" style="199" customWidth="1"/>
    <col min="12554" max="12554" width="10.28515625" style="199" customWidth="1"/>
    <col min="12555" max="12555" width="19.5703125" style="199" customWidth="1"/>
    <col min="12556" max="12556" width="10.42578125" style="199" customWidth="1"/>
    <col min="12557" max="12557" width="21.140625" style="199" customWidth="1"/>
    <col min="12558" max="12558" width="11.7109375" style="199" customWidth="1"/>
    <col min="12559" max="12800" width="11.42578125" style="199"/>
    <col min="12801" max="12801" width="13.28515625" style="199" customWidth="1"/>
    <col min="12802" max="12802" width="32.140625" style="199" customWidth="1"/>
    <col min="12803" max="12803" width="20.7109375" style="199" customWidth="1"/>
    <col min="12804" max="12804" width="10.42578125" style="199" customWidth="1"/>
    <col min="12805" max="12805" width="18.5703125" style="199" customWidth="1"/>
    <col min="12806" max="12806" width="11.7109375" style="199" customWidth="1"/>
    <col min="12807" max="12807" width="19.28515625" style="199" customWidth="1"/>
    <col min="12808" max="12808" width="10.28515625" style="199" customWidth="1"/>
    <col min="12809" max="12809" width="19.42578125" style="199" customWidth="1"/>
    <col min="12810" max="12810" width="10.28515625" style="199" customWidth="1"/>
    <col min="12811" max="12811" width="19.5703125" style="199" customWidth="1"/>
    <col min="12812" max="12812" width="10.42578125" style="199" customWidth="1"/>
    <col min="12813" max="12813" width="21.140625" style="199" customWidth="1"/>
    <col min="12814" max="12814" width="11.7109375" style="199" customWidth="1"/>
    <col min="12815" max="13056" width="11.42578125" style="199"/>
    <col min="13057" max="13057" width="13.28515625" style="199" customWidth="1"/>
    <col min="13058" max="13058" width="32.140625" style="199" customWidth="1"/>
    <col min="13059" max="13059" width="20.7109375" style="199" customWidth="1"/>
    <col min="13060" max="13060" width="10.42578125" style="199" customWidth="1"/>
    <col min="13061" max="13061" width="18.5703125" style="199" customWidth="1"/>
    <col min="13062" max="13062" width="11.7109375" style="199" customWidth="1"/>
    <col min="13063" max="13063" width="19.28515625" style="199" customWidth="1"/>
    <col min="13064" max="13064" width="10.28515625" style="199" customWidth="1"/>
    <col min="13065" max="13065" width="19.42578125" style="199" customWidth="1"/>
    <col min="13066" max="13066" width="10.28515625" style="199" customWidth="1"/>
    <col min="13067" max="13067" width="19.5703125" style="199" customWidth="1"/>
    <col min="13068" max="13068" width="10.42578125" style="199" customWidth="1"/>
    <col min="13069" max="13069" width="21.140625" style="199" customWidth="1"/>
    <col min="13070" max="13070" width="11.7109375" style="199" customWidth="1"/>
    <col min="13071" max="13312" width="11.42578125" style="199"/>
    <col min="13313" max="13313" width="13.28515625" style="199" customWidth="1"/>
    <col min="13314" max="13314" width="32.140625" style="199" customWidth="1"/>
    <col min="13315" max="13315" width="20.7109375" style="199" customWidth="1"/>
    <col min="13316" max="13316" width="10.42578125" style="199" customWidth="1"/>
    <col min="13317" max="13317" width="18.5703125" style="199" customWidth="1"/>
    <col min="13318" max="13318" width="11.7109375" style="199" customWidth="1"/>
    <col min="13319" max="13319" width="19.28515625" style="199" customWidth="1"/>
    <col min="13320" max="13320" width="10.28515625" style="199" customWidth="1"/>
    <col min="13321" max="13321" width="19.42578125" style="199" customWidth="1"/>
    <col min="13322" max="13322" width="10.28515625" style="199" customWidth="1"/>
    <col min="13323" max="13323" width="19.5703125" style="199" customWidth="1"/>
    <col min="13324" max="13324" width="10.42578125" style="199" customWidth="1"/>
    <col min="13325" max="13325" width="21.140625" style="199" customWidth="1"/>
    <col min="13326" max="13326" width="11.7109375" style="199" customWidth="1"/>
    <col min="13327" max="13568" width="11.42578125" style="199"/>
    <col min="13569" max="13569" width="13.28515625" style="199" customWidth="1"/>
    <col min="13570" max="13570" width="32.140625" style="199" customWidth="1"/>
    <col min="13571" max="13571" width="20.7109375" style="199" customWidth="1"/>
    <col min="13572" max="13572" width="10.42578125" style="199" customWidth="1"/>
    <col min="13573" max="13573" width="18.5703125" style="199" customWidth="1"/>
    <col min="13574" max="13574" width="11.7109375" style="199" customWidth="1"/>
    <col min="13575" max="13575" width="19.28515625" style="199" customWidth="1"/>
    <col min="13576" max="13576" width="10.28515625" style="199" customWidth="1"/>
    <col min="13577" max="13577" width="19.42578125" style="199" customWidth="1"/>
    <col min="13578" max="13578" width="10.28515625" style="199" customWidth="1"/>
    <col min="13579" max="13579" width="19.5703125" style="199" customWidth="1"/>
    <col min="13580" max="13580" width="10.42578125" style="199" customWidth="1"/>
    <col min="13581" max="13581" width="21.140625" style="199" customWidth="1"/>
    <col min="13582" max="13582" width="11.7109375" style="199" customWidth="1"/>
    <col min="13583" max="13824" width="11.42578125" style="199"/>
    <col min="13825" max="13825" width="13.28515625" style="199" customWidth="1"/>
    <col min="13826" max="13826" width="32.140625" style="199" customWidth="1"/>
    <col min="13827" max="13827" width="20.7109375" style="199" customWidth="1"/>
    <col min="13828" max="13828" width="10.42578125" style="199" customWidth="1"/>
    <col min="13829" max="13829" width="18.5703125" style="199" customWidth="1"/>
    <col min="13830" max="13830" width="11.7109375" style="199" customWidth="1"/>
    <col min="13831" max="13831" width="19.28515625" style="199" customWidth="1"/>
    <col min="13832" max="13832" width="10.28515625" style="199" customWidth="1"/>
    <col min="13833" max="13833" width="19.42578125" style="199" customWidth="1"/>
    <col min="13834" max="13834" width="10.28515625" style="199" customWidth="1"/>
    <col min="13835" max="13835" width="19.5703125" style="199" customWidth="1"/>
    <col min="13836" max="13836" width="10.42578125" style="199" customWidth="1"/>
    <col min="13837" max="13837" width="21.140625" style="199" customWidth="1"/>
    <col min="13838" max="13838" width="11.7109375" style="199" customWidth="1"/>
    <col min="13839" max="14080" width="11.42578125" style="199"/>
    <col min="14081" max="14081" width="13.28515625" style="199" customWidth="1"/>
    <col min="14082" max="14082" width="32.140625" style="199" customWidth="1"/>
    <col min="14083" max="14083" width="20.7109375" style="199" customWidth="1"/>
    <col min="14084" max="14084" width="10.42578125" style="199" customWidth="1"/>
    <col min="14085" max="14085" width="18.5703125" style="199" customWidth="1"/>
    <col min="14086" max="14086" width="11.7109375" style="199" customWidth="1"/>
    <col min="14087" max="14087" width="19.28515625" style="199" customWidth="1"/>
    <col min="14088" max="14088" width="10.28515625" style="199" customWidth="1"/>
    <col min="14089" max="14089" width="19.42578125" style="199" customWidth="1"/>
    <col min="14090" max="14090" width="10.28515625" style="199" customWidth="1"/>
    <col min="14091" max="14091" width="19.5703125" style="199" customWidth="1"/>
    <col min="14092" max="14092" width="10.42578125" style="199" customWidth="1"/>
    <col min="14093" max="14093" width="21.140625" style="199" customWidth="1"/>
    <col min="14094" max="14094" width="11.7109375" style="199" customWidth="1"/>
    <col min="14095" max="14336" width="11.42578125" style="199"/>
    <col min="14337" max="14337" width="13.28515625" style="199" customWidth="1"/>
    <col min="14338" max="14338" width="32.140625" style="199" customWidth="1"/>
    <col min="14339" max="14339" width="20.7109375" style="199" customWidth="1"/>
    <col min="14340" max="14340" width="10.42578125" style="199" customWidth="1"/>
    <col min="14341" max="14341" width="18.5703125" style="199" customWidth="1"/>
    <col min="14342" max="14342" width="11.7109375" style="199" customWidth="1"/>
    <col min="14343" max="14343" width="19.28515625" style="199" customWidth="1"/>
    <col min="14344" max="14344" width="10.28515625" style="199" customWidth="1"/>
    <col min="14345" max="14345" width="19.42578125" style="199" customWidth="1"/>
    <col min="14346" max="14346" width="10.28515625" style="199" customWidth="1"/>
    <col min="14347" max="14347" width="19.5703125" style="199" customWidth="1"/>
    <col min="14348" max="14348" width="10.42578125" style="199" customWidth="1"/>
    <col min="14349" max="14349" width="21.140625" style="199" customWidth="1"/>
    <col min="14350" max="14350" width="11.7109375" style="199" customWidth="1"/>
    <col min="14351" max="14592" width="11.42578125" style="199"/>
    <col min="14593" max="14593" width="13.28515625" style="199" customWidth="1"/>
    <col min="14594" max="14594" width="32.140625" style="199" customWidth="1"/>
    <col min="14595" max="14595" width="20.7109375" style="199" customWidth="1"/>
    <col min="14596" max="14596" width="10.42578125" style="199" customWidth="1"/>
    <col min="14597" max="14597" width="18.5703125" style="199" customWidth="1"/>
    <col min="14598" max="14598" width="11.7109375" style="199" customWidth="1"/>
    <col min="14599" max="14599" width="19.28515625" style="199" customWidth="1"/>
    <col min="14600" max="14600" width="10.28515625" style="199" customWidth="1"/>
    <col min="14601" max="14601" width="19.42578125" style="199" customWidth="1"/>
    <col min="14602" max="14602" width="10.28515625" style="199" customWidth="1"/>
    <col min="14603" max="14603" width="19.5703125" style="199" customWidth="1"/>
    <col min="14604" max="14604" width="10.42578125" style="199" customWidth="1"/>
    <col min="14605" max="14605" width="21.140625" style="199" customWidth="1"/>
    <col min="14606" max="14606" width="11.7109375" style="199" customWidth="1"/>
    <col min="14607" max="14848" width="11.42578125" style="199"/>
    <col min="14849" max="14849" width="13.28515625" style="199" customWidth="1"/>
    <col min="14850" max="14850" width="32.140625" style="199" customWidth="1"/>
    <col min="14851" max="14851" width="20.7109375" style="199" customWidth="1"/>
    <col min="14852" max="14852" width="10.42578125" style="199" customWidth="1"/>
    <col min="14853" max="14853" width="18.5703125" style="199" customWidth="1"/>
    <col min="14854" max="14854" width="11.7109375" style="199" customWidth="1"/>
    <col min="14855" max="14855" width="19.28515625" style="199" customWidth="1"/>
    <col min="14856" max="14856" width="10.28515625" style="199" customWidth="1"/>
    <col min="14857" max="14857" width="19.42578125" style="199" customWidth="1"/>
    <col min="14858" max="14858" width="10.28515625" style="199" customWidth="1"/>
    <col min="14859" max="14859" width="19.5703125" style="199" customWidth="1"/>
    <col min="14860" max="14860" width="10.42578125" style="199" customWidth="1"/>
    <col min="14861" max="14861" width="21.140625" style="199" customWidth="1"/>
    <col min="14862" max="14862" width="11.7109375" style="199" customWidth="1"/>
    <col min="14863" max="15104" width="11.42578125" style="199"/>
    <col min="15105" max="15105" width="13.28515625" style="199" customWidth="1"/>
    <col min="15106" max="15106" width="32.140625" style="199" customWidth="1"/>
    <col min="15107" max="15107" width="20.7109375" style="199" customWidth="1"/>
    <col min="15108" max="15108" width="10.42578125" style="199" customWidth="1"/>
    <col min="15109" max="15109" width="18.5703125" style="199" customWidth="1"/>
    <col min="15110" max="15110" width="11.7109375" style="199" customWidth="1"/>
    <col min="15111" max="15111" width="19.28515625" style="199" customWidth="1"/>
    <col min="15112" max="15112" width="10.28515625" style="199" customWidth="1"/>
    <col min="15113" max="15113" width="19.42578125" style="199" customWidth="1"/>
    <col min="15114" max="15114" width="10.28515625" style="199" customWidth="1"/>
    <col min="15115" max="15115" width="19.5703125" style="199" customWidth="1"/>
    <col min="15116" max="15116" width="10.42578125" style="199" customWidth="1"/>
    <col min="15117" max="15117" width="21.140625" style="199" customWidth="1"/>
    <col min="15118" max="15118" width="11.7109375" style="199" customWidth="1"/>
    <col min="15119" max="15360" width="11.42578125" style="199"/>
    <col min="15361" max="15361" width="13.28515625" style="199" customWidth="1"/>
    <col min="15362" max="15362" width="32.140625" style="199" customWidth="1"/>
    <col min="15363" max="15363" width="20.7109375" style="199" customWidth="1"/>
    <col min="15364" max="15364" width="10.42578125" style="199" customWidth="1"/>
    <col min="15365" max="15365" width="18.5703125" style="199" customWidth="1"/>
    <col min="15366" max="15366" width="11.7109375" style="199" customWidth="1"/>
    <col min="15367" max="15367" width="19.28515625" style="199" customWidth="1"/>
    <col min="15368" max="15368" width="10.28515625" style="199" customWidth="1"/>
    <col min="15369" max="15369" width="19.42578125" style="199" customWidth="1"/>
    <col min="15370" max="15370" width="10.28515625" style="199" customWidth="1"/>
    <col min="15371" max="15371" width="19.5703125" style="199" customWidth="1"/>
    <col min="15372" max="15372" width="10.42578125" style="199" customWidth="1"/>
    <col min="15373" max="15373" width="21.140625" style="199" customWidth="1"/>
    <col min="15374" max="15374" width="11.7109375" style="199" customWidth="1"/>
    <col min="15375" max="15616" width="11.42578125" style="199"/>
    <col min="15617" max="15617" width="13.28515625" style="199" customWidth="1"/>
    <col min="15618" max="15618" width="32.140625" style="199" customWidth="1"/>
    <col min="15619" max="15619" width="20.7109375" style="199" customWidth="1"/>
    <col min="15620" max="15620" width="10.42578125" style="199" customWidth="1"/>
    <col min="15621" max="15621" width="18.5703125" style="199" customWidth="1"/>
    <col min="15622" max="15622" width="11.7109375" style="199" customWidth="1"/>
    <col min="15623" max="15623" width="19.28515625" style="199" customWidth="1"/>
    <col min="15624" max="15624" width="10.28515625" style="199" customWidth="1"/>
    <col min="15625" max="15625" width="19.42578125" style="199" customWidth="1"/>
    <col min="15626" max="15626" width="10.28515625" style="199" customWidth="1"/>
    <col min="15627" max="15627" width="19.5703125" style="199" customWidth="1"/>
    <col min="15628" max="15628" width="10.42578125" style="199" customWidth="1"/>
    <col min="15629" max="15629" width="21.140625" style="199" customWidth="1"/>
    <col min="15630" max="15630" width="11.7109375" style="199" customWidth="1"/>
    <col min="15631" max="15872" width="11.42578125" style="199"/>
    <col min="15873" max="15873" width="13.28515625" style="199" customWidth="1"/>
    <col min="15874" max="15874" width="32.140625" style="199" customWidth="1"/>
    <col min="15875" max="15875" width="20.7109375" style="199" customWidth="1"/>
    <col min="15876" max="15876" width="10.42578125" style="199" customWidth="1"/>
    <col min="15877" max="15877" width="18.5703125" style="199" customWidth="1"/>
    <col min="15878" max="15878" width="11.7109375" style="199" customWidth="1"/>
    <col min="15879" max="15879" width="19.28515625" style="199" customWidth="1"/>
    <col min="15880" max="15880" width="10.28515625" style="199" customWidth="1"/>
    <col min="15881" max="15881" width="19.42578125" style="199" customWidth="1"/>
    <col min="15882" max="15882" width="10.28515625" style="199" customWidth="1"/>
    <col min="15883" max="15883" width="19.5703125" style="199" customWidth="1"/>
    <col min="15884" max="15884" width="10.42578125" style="199" customWidth="1"/>
    <col min="15885" max="15885" width="21.140625" style="199" customWidth="1"/>
    <col min="15886" max="15886" width="11.7109375" style="199" customWidth="1"/>
    <col min="15887" max="16128" width="11.42578125" style="199"/>
    <col min="16129" max="16129" width="13.28515625" style="199" customWidth="1"/>
    <col min="16130" max="16130" width="32.140625" style="199" customWidth="1"/>
    <col min="16131" max="16131" width="20.7109375" style="199" customWidth="1"/>
    <col min="16132" max="16132" width="10.42578125" style="199" customWidth="1"/>
    <col min="16133" max="16133" width="18.5703125" style="199" customWidth="1"/>
    <col min="16134" max="16134" width="11.7109375" style="199" customWidth="1"/>
    <col min="16135" max="16135" width="19.28515625" style="199" customWidth="1"/>
    <col min="16136" max="16136" width="10.28515625" style="199" customWidth="1"/>
    <col min="16137" max="16137" width="19.42578125" style="199" customWidth="1"/>
    <col min="16138" max="16138" width="10.28515625" style="199" customWidth="1"/>
    <col min="16139" max="16139" width="19.5703125" style="199" customWidth="1"/>
    <col min="16140" max="16140" width="10.42578125" style="199" customWidth="1"/>
    <col min="16141" max="16141" width="21.140625" style="199" customWidth="1"/>
    <col min="16142" max="16142" width="11.7109375" style="199" customWidth="1"/>
    <col min="16143" max="16384" width="11.42578125" style="199"/>
  </cols>
  <sheetData>
    <row r="1" spans="1:14" ht="67.5" customHeight="1" x14ac:dyDescent="0.2">
      <c r="A1" s="610" t="s">
        <v>1686</v>
      </c>
      <c r="B1" s="611"/>
      <c r="C1" s="611"/>
      <c r="D1" s="611"/>
      <c r="E1" s="611"/>
      <c r="F1" s="611"/>
      <c r="G1" s="611"/>
      <c r="H1" s="611"/>
      <c r="I1" s="611"/>
      <c r="J1" s="611"/>
      <c r="K1" s="611"/>
      <c r="L1" s="611"/>
      <c r="M1" s="611"/>
      <c r="N1" s="611"/>
    </row>
    <row r="2" spans="1:14" s="204" customFormat="1" ht="44.25" customHeight="1" x14ac:dyDescent="0.2">
      <c r="A2" s="200"/>
      <c r="B2" s="390" t="s">
        <v>4</v>
      </c>
      <c r="C2" s="201" t="s">
        <v>1518</v>
      </c>
      <c r="D2" s="201" t="s">
        <v>1519</v>
      </c>
      <c r="E2" s="201" t="s">
        <v>1520</v>
      </c>
      <c r="F2" s="201" t="s">
        <v>1521</v>
      </c>
      <c r="G2" s="201" t="s">
        <v>1495</v>
      </c>
      <c r="H2" s="202" t="s">
        <v>1522</v>
      </c>
      <c r="I2" s="201" t="s">
        <v>1523</v>
      </c>
      <c r="J2" s="201" t="s">
        <v>1510</v>
      </c>
      <c r="K2" s="201" t="s">
        <v>1524</v>
      </c>
      <c r="L2" s="201" t="s">
        <v>1525</v>
      </c>
      <c r="M2" s="203" t="s">
        <v>1526</v>
      </c>
      <c r="N2" s="201" t="s">
        <v>1527</v>
      </c>
    </row>
    <row r="3" spans="1:14" s="218" customFormat="1" ht="15.75" x14ac:dyDescent="0.25">
      <c r="A3" s="205">
        <v>304</v>
      </c>
      <c r="B3" s="206" t="s">
        <v>1528</v>
      </c>
      <c r="C3" s="207">
        <f>'RESUMEN POR UNIDAD'!E7</f>
        <v>476000000</v>
      </c>
      <c r="D3" s="208">
        <v>1</v>
      </c>
      <c r="E3" s="209">
        <v>236779335</v>
      </c>
      <c r="F3" s="210">
        <f>E3/C3</f>
        <v>0.49743557773109243</v>
      </c>
      <c r="G3" s="211">
        <f>'RESUMEN POR UNIDAD'!F8</f>
        <v>161799675</v>
      </c>
      <c r="H3" s="212">
        <f>G3/C3</f>
        <v>0.33991528361344536</v>
      </c>
      <c r="I3" s="213">
        <f>'RESUMEN POR UNIDAD'!G8</f>
        <v>81107166.329999998</v>
      </c>
      <c r="J3" s="214">
        <f>I3/G3</f>
        <v>0.5012813921288779</v>
      </c>
      <c r="K3" s="215">
        <v>81107166.329999998</v>
      </c>
      <c r="L3" s="214">
        <f>K3/G3</f>
        <v>0.5012813921288779</v>
      </c>
      <c r="M3" s="216">
        <f t="shared" ref="M3:M15" si="0">C3-E3</f>
        <v>239220665</v>
      </c>
      <c r="N3" s="217">
        <f t="shared" ref="N3:N20" si="1">M3/C3</f>
        <v>0.50256442226890752</v>
      </c>
    </row>
    <row r="4" spans="1:14" s="218" customFormat="1" ht="15.75" x14ac:dyDescent="0.25">
      <c r="A4" s="205">
        <v>305</v>
      </c>
      <c r="B4" s="206" t="s">
        <v>1529</v>
      </c>
      <c r="C4" s="207">
        <f>'RESUMEN POR UNIDAD'!E13</f>
        <v>986333529</v>
      </c>
      <c r="D4" s="208">
        <v>1</v>
      </c>
      <c r="E4" s="209">
        <v>727740512</v>
      </c>
      <c r="F4" s="210">
        <f t="shared" ref="F4:F15" si="2">E4/C4</f>
        <v>0.73782396177672671</v>
      </c>
      <c r="G4" s="211">
        <f>'RESUMEN POR UNIDAD'!F13</f>
        <v>687842685</v>
      </c>
      <c r="H4" s="212">
        <f>G4/C4</f>
        <v>0.69737331721590501</v>
      </c>
      <c r="I4" s="213">
        <f>'RESUMEN POR UNIDAD'!G13</f>
        <v>424005000</v>
      </c>
      <c r="J4" s="214">
        <f>I4/G4</f>
        <v>0.61642728671309488</v>
      </c>
      <c r="K4" s="215">
        <v>424005000</v>
      </c>
      <c r="L4" s="214">
        <f>K4/G4</f>
        <v>0.61642728671309488</v>
      </c>
      <c r="M4" s="216">
        <f t="shared" si="0"/>
        <v>258593017</v>
      </c>
      <c r="N4" s="217">
        <f t="shared" si="1"/>
        <v>0.26217603822327323</v>
      </c>
    </row>
    <row r="5" spans="1:14" s="218" customFormat="1" ht="15.75" x14ac:dyDescent="0.25">
      <c r="A5" s="205">
        <v>307</v>
      </c>
      <c r="B5" s="206" t="s">
        <v>1530</v>
      </c>
      <c r="C5" s="207">
        <f>'RESUMEN POR UNIDAD'!E19</f>
        <v>2927625342.8400002</v>
      </c>
      <c r="D5" s="208">
        <v>1</v>
      </c>
      <c r="E5" s="209">
        <v>2122075979</v>
      </c>
      <c r="F5" s="210">
        <f t="shared" si="2"/>
        <v>0.72484547388889553</v>
      </c>
      <c r="G5" s="211">
        <f>'RESUMEN POR UNIDAD'!F19</f>
        <v>2083805502</v>
      </c>
      <c r="H5" s="212">
        <f>G5/C5</f>
        <v>0.71177328311366639</v>
      </c>
      <c r="I5" s="213">
        <f>'RESUMEN POR UNIDAD'!G19</f>
        <v>1164627547.0900002</v>
      </c>
      <c r="J5" s="214">
        <f>I5/G5</f>
        <v>0.55889455420489631</v>
      </c>
      <c r="K5" s="215">
        <v>1164627547.0899999</v>
      </c>
      <c r="L5" s="214">
        <f>K5/G5</f>
        <v>0.5588945542048962</v>
      </c>
      <c r="M5" s="216">
        <f t="shared" si="0"/>
        <v>805549363.84000015</v>
      </c>
      <c r="N5" s="217">
        <f t="shared" si="1"/>
        <v>0.27515452611110452</v>
      </c>
    </row>
    <row r="6" spans="1:14" s="218" customFormat="1" ht="15.75" x14ac:dyDescent="0.25">
      <c r="A6" s="205">
        <v>308</v>
      </c>
      <c r="B6" s="206" t="s">
        <v>1531</v>
      </c>
      <c r="C6" s="216">
        <f>'RESUMEN POR UNIDAD'!E24</f>
        <v>15986154634.140001</v>
      </c>
      <c r="D6" s="208">
        <v>1</v>
      </c>
      <c r="E6" s="209">
        <v>12673477036</v>
      </c>
      <c r="F6" s="210">
        <f t="shared" si="2"/>
        <v>0.79277833387990293</v>
      </c>
      <c r="G6" s="219">
        <f>'RESUMEN POR UNIDAD'!F24</f>
        <v>4609696684.3800001</v>
      </c>
      <c r="H6" s="212">
        <f t="shared" ref="H4:H15" si="3">G6/C6</f>
        <v>0.2883555670439682</v>
      </c>
      <c r="I6" s="213">
        <f>'RESUMEN POR UNIDAD'!G24</f>
        <v>3125538394.1900001</v>
      </c>
      <c r="J6" s="214">
        <f>I6/G6</f>
        <v>0.67803558632847061</v>
      </c>
      <c r="K6" s="215">
        <v>3125538394.1900001</v>
      </c>
      <c r="L6" s="214">
        <f>K6/G6</f>
        <v>0.67803558632847061</v>
      </c>
      <c r="M6" s="216">
        <f t="shared" si="0"/>
        <v>3312677598.1400013</v>
      </c>
      <c r="N6" s="217">
        <f t="shared" si="1"/>
        <v>0.20722166612009704</v>
      </c>
    </row>
    <row r="7" spans="1:14" s="218" customFormat="1" ht="15.75" x14ac:dyDescent="0.25">
      <c r="A7" s="205">
        <v>309</v>
      </c>
      <c r="B7" s="206" t="s">
        <v>1532</v>
      </c>
      <c r="C7" s="216">
        <f>'RESUMEN POR UNIDAD'!E49</f>
        <v>6632641520.3299999</v>
      </c>
      <c r="D7" s="208">
        <v>1</v>
      </c>
      <c r="E7" s="209">
        <v>4887568411.3299999</v>
      </c>
      <c r="F7" s="210">
        <f t="shared" si="2"/>
        <v>0.73689621191630816</v>
      </c>
      <c r="G7" s="219">
        <f>'RESUMEN POR UNIDAD'!F49</f>
        <v>2025393287.3299999</v>
      </c>
      <c r="H7" s="212">
        <f t="shared" si="3"/>
        <v>0.30536751927898986</v>
      </c>
      <c r="I7" s="213">
        <f>'RESUMEN POR UNIDAD'!G49</f>
        <v>947271902.30999994</v>
      </c>
      <c r="J7" s="214">
        <f>I7/G7</f>
        <v>0.46769775936146851</v>
      </c>
      <c r="K7" s="215">
        <v>947271902.30999994</v>
      </c>
      <c r="L7" s="214">
        <f>K7/G7</f>
        <v>0.46769775936146851</v>
      </c>
      <c r="M7" s="216">
        <f t="shared" si="0"/>
        <v>1745073109</v>
      </c>
      <c r="N7" s="217">
        <f t="shared" si="1"/>
        <v>0.26310378808369184</v>
      </c>
    </row>
    <row r="8" spans="1:14" s="218" customFormat="1" ht="15.75" x14ac:dyDescent="0.25">
      <c r="A8" s="205">
        <v>310</v>
      </c>
      <c r="B8" s="206" t="s">
        <v>166</v>
      </c>
      <c r="C8" s="207">
        <f>'RESUMEN POR UNIDAD'!E71</f>
        <v>4008607319.3199997</v>
      </c>
      <c r="D8" s="208">
        <v>1</v>
      </c>
      <c r="E8" s="209">
        <v>3283623539.5700002</v>
      </c>
      <c r="F8" s="210">
        <f t="shared" si="2"/>
        <v>0.81914322805931961</v>
      </c>
      <c r="G8" s="219">
        <f>'RESUMEN POR UNIDAD'!F71</f>
        <v>2984380794.5299997</v>
      </c>
      <c r="H8" s="212">
        <f t="shared" si="3"/>
        <v>0.74449317600813425</v>
      </c>
      <c r="I8" s="213">
        <f>'RESUMEN POR UNIDAD'!G71</f>
        <v>1712708351.0900002</v>
      </c>
      <c r="J8" s="214">
        <v>0</v>
      </c>
      <c r="K8" s="215">
        <v>1712708351.0899999</v>
      </c>
      <c r="L8" s="214">
        <v>0</v>
      </c>
      <c r="M8" s="216">
        <f t="shared" si="0"/>
        <v>724983779.74999952</v>
      </c>
      <c r="N8" s="217">
        <f t="shared" si="1"/>
        <v>0.18085677194068042</v>
      </c>
    </row>
    <row r="9" spans="1:14" s="218" customFormat="1" ht="19.5" customHeight="1" x14ac:dyDescent="0.25">
      <c r="A9" s="205">
        <v>311</v>
      </c>
      <c r="B9" s="220" t="s">
        <v>1533</v>
      </c>
      <c r="C9" s="207">
        <f>'RESUMEN POR UNIDAD'!E77</f>
        <v>3421587709.6100001</v>
      </c>
      <c r="D9" s="208">
        <v>1</v>
      </c>
      <c r="E9" s="209">
        <v>3068144140</v>
      </c>
      <c r="F9" s="210">
        <f t="shared" si="2"/>
        <v>0.89670188239883342</v>
      </c>
      <c r="G9" s="219">
        <v>2345005652</v>
      </c>
      <c r="H9" s="212">
        <f t="shared" si="3"/>
        <v>0.68535599581847007</v>
      </c>
      <c r="I9" s="213">
        <f>'RESUMEN POR UNIDAD'!G77</f>
        <v>497627876</v>
      </c>
      <c r="J9" s="214">
        <f t="shared" ref="J9:J17" si="4">I9/G9</f>
        <v>0.21220753799701289</v>
      </c>
      <c r="K9" s="215">
        <v>497627876</v>
      </c>
      <c r="L9" s="214">
        <f t="shared" ref="L9:L17" si="5">K9/G9</f>
        <v>0.21220753799701289</v>
      </c>
      <c r="M9" s="216">
        <f t="shared" si="0"/>
        <v>353443569.61000013</v>
      </c>
      <c r="N9" s="217">
        <f t="shared" si="1"/>
        <v>0.10329811760116663</v>
      </c>
    </row>
    <row r="10" spans="1:14" s="218" customFormat="1" ht="30" x14ac:dyDescent="0.25">
      <c r="A10" s="205">
        <v>312</v>
      </c>
      <c r="B10" s="220" t="s">
        <v>1534</v>
      </c>
      <c r="C10" s="207">
        <f>'RESUMEN POR UNIDAD'!E84</f>
        <v>3854290501.6300001</v>
      </c>
      <c r="D10" s="208">
        <v>1</v>
      </c>
      <c r="E10" s="209">
        <v>2346949700</v>
      </c>
      <c r="F10" s="210">
        <f t="shared" si="2"/>
        <v>0.60891873588860579</v>
      </c>
      <c r="G10" s="219">
        <f>'RESUMEN POR UNIDAD'!F84</f>
        <v>1737599819</v>
      </c>
      <c r="H10" s="212">
        <f t="shared" si="3"/>
        <v>0.45082222480769413</v>
      </c>
      <c r="I10" s="213">
        <f>'RESUMEN POR UNIDAD'!G84</f>
        <v>1295940288</v>
      </c>
      <c r="J10" s="214">
        <f t="shared" si="4"/>
        <v>0.74582206664007489</v>
      </c>
      <c r="K10" s="215">
        <v>1295940288</v>
      </c>
      <c r="L10" s="214">
        <f t="shared" si="5"/>
        <v>0.74582206664007489</v>
      </c>
      <c r="M10" s="216">
        <f t="shared" si="0"/>
        <v>1507340801.6300001</v>
      </c>
      <c r="N10" s="217">
        <f t="shared" si="1"/>
        <v>0.39108126411139421</v>
      </c>
    </row>
    <row r="11" spans="1:14" s="223" customFormat="1" ht="15.75" x14ac:dyDescent="0.25">
      <c r="A11" s="221">
        <v>313</v>
      </c>
      <c r="B11" s="206" t="s">
        <v>1535</v>
      </c>
      <c r="C11" s="222">
        <f>'RESUMEN POR UNIDAD'!E104</f>
        <v>1177000000</v>
      </c>
      <c r="D11" s="208">
        <v>1</v>
      </c>
      <c r="E11" s="209">
        <v>920142289.32000005</v>
      </c>
      <c r="F11" s="210">
        <f t="shared" si="2"/>
        <v>0.781769149804588</v>
      </c>
      <c r="G11" s="219">
        <f>'RESUMEN POR UNIDAD'!F104</f>
        <v>913410622.99000013</v>
      </c>
      <c r="H11" s="212">
        <f t="shared" si="3"/>
        <v>0.77604980712829241</v>
      </c>
      <c r="I11" s="213">
        <f>'RESUMEN POR UNIDAD'!G104</f>
        <v>637349833</v>
      </c>
      <c r="J11" s="214">
        <f t="shared" si="4"/>
        <v>0.69776923648388267</v>
      </c>
      <c r="K11" s="215">
        <v>637349833</v>
      </c>
      <c r="L11" s="214">
        <f t="shared" si="5"/>
        <v>0.69776923648388267</v>
      </c>
      <c r="M11" s="216">
        <f t="shared" si="0"/>
        <v>256857710.67999995</v>
      </c>
      <c r="N11" s="217">
        <f t="shared" si="1"/>
        <v>0.21823085019541202</v>
      </c>
    </row>
    <row r="12" spans="1:14" s="223" customFormat="1" ht="15.75" x14ac:dyDescent="0.25">
      <c r="A12" s="221">
        <v>314</v>
      </c>
      <c r="B12" s="206" t="s">
        <v>156</v>
      </c>
      <c r="C12" s="224">
        <f>'RESUMEN POR UNIDAD'!E110</f>
        <v>195488624347.70004</v>
      </c>
      <c r="D12" s="208">
        <v>1</v>
      </c>
      <c r="E12" s="209">
        <v>134670681814.03</v>
      </c>
      <c r="F12" s="210">
        <f t="shared" si="2"/>
        <v>0.68889267732787351</v>
      </c>
      <c r="G12" s="219">
        <f>'RESUMEN POR UNIDAD'!F110</f>
        <v>130208094904.87</v>
      </c>
      <c r="H12" s="212">
        <f t="shared" si="3"/>
        <v>0.66606481752758784</v>
      </c>
      <c r="I12" s="213">
        <f>'RESUMEN POR UNIDAD'!G110</f>
        <v>126818376564.37</v>
      </c>
      <c r="J12" s="214">
        <f t="shared" si="4"/>
        <v>0.97396691547498238</v>
      </c>
      <c r="K12" s="215">
        <v>126818376564.37</v>
      </c>
      <c r="L12" s="214">
        <f t="shared" si="5"/>
        <v>0.97396691547498238</v>
      </c>
      <c r="M12" s="216">
        <f t="shared" si="0"/>
        <v>60817942533.670044</v>
      </c>
      <c r="N12" s="217">
        <f t="shared" si="1"/>
        <v>0.31110732267212649</v>
      </c>
    </row>
    <row r="13" spans="1:14" s="218" customFormat="1" ht="15.75" x14ac:dyDescent="0.25">
      <c r="A13" s="205">
        <v>316</v>
      </c>
      <c r="B13" s="206" t="s">
        <v>1536</v>
      </c>
      <c r="C13" s="222">
        <f>'RESUMEN POR UNIDAD'!E119</f>
        <v>6188861113.0100002</v>
      </c>
      <c r="D13" s="208">
        <v>1</v>
      </c>
      <c r="E13" s="209">
        <v>3759865148.25</v>
      </c>
      <c r="F13" s="210">
        <f t="shared" si="2"/>
        <v>0.60752133221185833</v>
      </c>
      <c r="G13" s="219">
        <f>'RESUMEN POR UNIDAD'!F119</f>
        <v>3490031909.25</v>
      </c>
      <c r="H13" s="212">
        <f t="shared" si="3"/>
        <v>0.56392151084363185</v>
      </c>
      <c r="I13" s="213">
        <f>'RESUMEN POR UNIDAD'!G119</f>
        <v>2981879120.7600002</v>
      </c>
      <c r="J13" s="214">
        <f t="shared" si="4"/>
        <v>0.85439881304718479</v>
      </c>
      <c r="K13" s="215">
        <v>2981879120.7600002</v>
      </c>
      <c r="L13" s="214">
        <f t="shared" si="5"/>
        <v>0.85439881304718479</v>
      </c>
      <c r="M13" s="216">
        <f t="shared" si="0"/>
        <v>2428995964.7600002</v>
      </c>
      <c r="N13" s="217">
        <f t="shared" si="1"/>
        <v>0.39247866778814161</v>
      </c>
    </row>
    <row r="14" spans="1:14" s="218" customFormat="1" ht="15.75" x14ac:dyDescent="0.25">
      <c r="A14" s="205">
        <v>318</v>
      </c>
      <c r="B14" s="206" t="s">
        <v>1537</v>
      </c>
      <c r="C14" s="207">
        <f>'RESUMEN POR UNIDAD'!E139</f>
        <v>58530598681.800003</v>
      </c>
      <c r="D14" s="208">
        <v>1</v>
      </c>
      <c r="E14" s="209">
        <v>48662793773.919998</v>
      </c>
      <c r="F14" s="210">
        <f t="shared" si="2"/>
        <v>0.83140775713697967</v>
      </c>
      <c r="G14" s="219">
        <f>'RESUMEN POR UNIDAD'!F139</f>
        <v>47631688135.25</v>
      </c>
      <c r="H14" s="212">
        <f t="shared" si="3"/>
        <v>0.81379123412351151</v>
      </c>
      <c r="I14" s="213">
        <f>'RESUMEN POR UNIDAD'!G139</f>
        <v>38673383851.229996</v>
      </c>
      <c r="J14" s="214">
        <f t="shared" si="4"/>
        <v>0.81192553456046046</v>
      </c>
      <c r="K14" s="215">
        <v>38673383851.229996</v>
      </c>
      <c r="L14" s="214">
        <f t="shared" si="5"/>
        <v>0.81192553456046046</v>
      </c>
      <c r="M14" s="216">
        <f t="shared" si="0"/>
        <v>9867804907.8800049</v>
      </c>
      <c r="N14" s="217">
        <f t="shared" si="1"/>
        <v>0.16859224286302035</v>
      </c>
    </row>
    <row r="15" spans="1:14" s="218" customFormat="1" ht="30" x14ac:dyDescent="0.25">
      <c r="A15" s="205">
        <v>324</v>
      </c>
      <c r="B15" s="220" t="s">
        <v>1538</v>
      </c>
      <c r="C15" s="207">
        <f>'RESUMEN POR UNIDAD'!E146</f>
        <v>1196000000</v>
      </c>
      <c r="D15" s="208">
        <v>1</v>
      </c>
      <c r="E15" s="209">
        <v>904098553</v>
      </c>
      <c r="F15" s="210">
        <f t="shared" si="2"/>
        <v>0.75593524498327758</v>
      </c>
      <c r="G15" s="219">
        <f>'RESUMEN POR UNIDAD'!F146</f>
        <v>665187500</v>
      </c>
      <c r="H15" s="212">
        <f t="shared" si="3"/>
        <v>0.55617683946488294</v>
      </c>
      <c r="I15" s="213">
        <f>'RESUMEN POR UNIDAD'!G146</f>
        <v>366524167</v>
      </c>
      <c r="J15" s="214">
        <f t="shared" si="4"/>
        <v>0.55100880127783525</v>
      </c>
      <c r="K15" s="215">
        <v>366524167</v>
      </c>
      <c r="L15" s="214">
        <f t="shared" si="5"/>
        <v>0.55100880127783525</v>
      </c>
      <c r="M15" s="216">
        <f t="shared" si="0"/>
        <v>291901447</v>
      </c>
      <c r="N15" s="217">
        <f t="shared" si="1"/>
        <v>0.2440647550167224</v>
      </c>
    </row>
    <row r="16" spans="1:14" s="231" customFormat="1" ht="32.25" customHeight="1" x14ac:dyDescent="0.25">
      <c r="A16" s="225"/>
      <c r="B16" s="225" t="s">
        <v>1463</v>
      </c>
      <c r="C16" s="226">
        <f>SUM(C3:C15)</f>
        <v>300874324699.38007</v>
      </c>
      <c r="D16" s="227">
        <v>1</v>
      </c>
      <c r="E16" s="226">
        <f>SUM(E3:E15)</f>
        <v>218263940231.41998</v>
      </c>
      <c r="F16" s="228">
        <f>E16/C16</f>
        <v>0.72543225630668018</v>
      </c>
      <c r="G16" s="226">
        <f>SUM(G3:G15)</f>
        <v>199543937171.60001</v>
      </c>
      <c r="H16" s="229">
        <f>G16/C16</f>
        <v>0.66321357720029861</v>
      </c>
      <c r="I16" s="226">
        <f>SUM(I3:I15)</f>
        <v>178726340061.37</v>
      </c>
      <c r="J16" s="230">
        <f t="shared" si="4"/>
        <v>0.895674118666268</v>
      </c>
      <c r="K16" s="226">
        <f>SUM(K3:K15)</f>
        <v>178726340061.37</v>
      </c>
      <c r="L16" s="230">
        <f t="shared" si="5"/>
        <v>0.895674118666268</v>
      </c>
      <c r="M16" s="226">
        <f>SUM(M3:M15)</f>
        <v>82610384467.960037</v>
      </c>
      <c r="N16" s="228">
        <f t="shared" si="1"/>
        <v>0.27456774369331971</v>
      </c>
    </row>
    <row r="17" spans="1:17" ht="15.75" x14ac:dyDescent="0.2">
      <c r="A17" s="205">
        <v>319</v>
      </c>
      <c r="B17" s="206" t="s">
        <v>1539</v>
      </c>
      <c r="C17" s="222">
        <f>'RESUMEN POR UNIDAD'!E161</f>
        <v>13105059806.029999</v>
      </c>
      <c r="D17" s="208">
        <v>1</v>
      </c>
      <c r="E17" s="209">
        <v>4664748517.5600004</v>
      </c>
      <c r="F17" s="210">
        <f t="shared" ref="F17:F19" si="6">E17/C17</f>
        <v>0.35595018920963806</v>
      </c>
      <c r="G17" s="219">
        <f>'RESUMEN POR UNIDAD'!F161</f>
        <v>3806286205.8599997</v>
      </c>
      <c r="H17" s="212">
        <f t="shared" ref="H17:H19" si="7">G17/C17</f>
        <v>0.290444016448412</v>
      </c>
      <c r="I17" s="213">
        <f>'RESUMEN POR UNIDAD'!G161</f>
        <v>2740223144.8599997</v>
      </c>
      <c r="J17" s="214">
        <f t="shared" si="4"/>
        <v>0.71992041498121351</v>
      </c>
      <c r="K17" s="215">
        <v>2740223144.8600001</v>
      </c>
      <c r="L17" s="214">
        <f t="shared" si="5"/>
        <v>0.71992041498121362</v>
      </c>
      <c r="M17" s="216">
        <f>C17-E17</f>
        <v>8440311288.4699984</v>
      </c>
      <c r="N17" s="217">
        <f t="shared" si="1"/>
        <v>0.64404981079036194</v>
      </c>
    </row>
    <row r="18" spans="1:17" s="232" customFormat="1" ht="15.75" x14ac:dyDescent="0.2">
      <c r="A18" s="205">
        <v>320</v>
      </c>
      <c r="B18" s="206" t="s">
        <v>1540</v>
      </c>
      <c r="C18" s="207">
        <f>'RESUMEN POR UNIDAD'!E167</f>
        <v>2195124680.0799999</v>
      </c>
      <c r="D18" s="208">
        <v>1</v>
      </c>
      <c r="E18" s="209">
        <v>1126357838.9444499</v>
      </c>
      <c r="F18" s="210">
        <f t="shared" si="6"/>
        <v>0.5131179331933895</v>
      </c>
      <c r="G18" s="219">
        <f>'RESUMEN POR UNIDAD'!F167</f>
        <v>940694483.35205007</v>
      </c>
      <c r="H18" s="212">
        <f t="shared" si="7"/>
        <v>0.42853806523544125</v>
      </c>
      <c r="I18" s="213">
        <f>'RESUMEN POR UNIDAD'!G167</f>
        <v>483545815.74599999</v>
      </c>
      <c r="J18" s="214">
        <v>0</v>
      </c>
      <c r="K18" s="215">
        <v>483545815.74600005</v>
      </c>
      <c r="L18" s="214">
        <v>0</v>
      </c>
      <c r="M18" s="216">
        <f>C18-E18</f>
        <v>1068766841.13555</v>
      </c>
      <c r="N18" s="217">
        <f t="shared" si="1"/>
        <v>0.4868820668066105</v>
      </c>
    </row>
    <row r="19" spans="1:17" s="232" customFormat="1" ht="15.75" x14ac:dyDescent="0.2">
      <c r="A19" s="205">
        <v>321</v>
      </c>
      <c r="B19" s="220" t="s">
        <v>1541</v>
      </c>
      <c r="C19" s="207">
        <f>'RESUMEN POR UNIDAD'!E179</f>
        <v>110210000</v>
      </c>
      <c r="D19" s="208">
        <v>1</v>
      </c>
      <c r="E19" s="209">
        <v>92893240</v>
      </c>
      <c r="F19" s="210">
        <f t="shared" si="6"/>
        <v>0.84287487523818161</v>
      </c>
      <c r="G19" s="219">
        <f>'RESUMEN POR UNIDAD'!F179</f>
        <v>87445000</v>
      </c>
      <c r="H19" s="212">
        <f t="shared" si="7"/>
        <v>0.79343979675165588</v>
      </c>
      <c r="I19" s="213">
        <f>'RESUMEN POR UNIDAD'!G179</f>
        <v>68700000</v>
      </c>
      <c r="J19" s="214">
        <f>I19/G19</f>
        <v>0.78563668591686198</v>
      </c>
      <c r="K19" s="215">
        <f>I19</f>
        <v>68700000</v>
      </c>
      <c r="L19" s="214">
        <f>K19/G19</f>
        <v>0.78563668591686198</v>
      </c>
      <c r="M19" s="216">
        <f>C19-E19</f>
        <v>17316760</v>
      </c>
      <c r="N19" s="217">
        <f t="shared" si="1"/>
        <v>0.15712512476181834</v>
      </c>
    </row>
    <row r="20" spans="1:17" s="232" customFormat="1" ht="15.75" x14ac:dyDescent="0.2">
      <c r="A20" s="233"/>
      <c r="B20" s="234" t="s">
        <v>1473</v>
      </c>
      <c r="C20" s="226">
        <f>SUM(C17:C19)</f>
        <v>15410394486.109999</v>
      </c>
      <c r="D20" s="227">
        <v>1</v>
      </c>
      <c r="E20" s="226">
        <f>SUM(E17:E19)</f>
        <v>5883999596.5044498</v>
      </c>
      <c r="F20" s="228">
        <f>E20/C20</f>
        <v>0.38182017999655576</v>
      </c>
      <c r="G20" s="226">
        <f>SUM(G17:G19)</f>
        <v>4834425689.2120495</v>
      </c>
      <c r="H20" s="229">
        <f>G20/C20</f>
        <v>0.31371200092051565</v>
      </c>
      <c r="I20" s="226">
        <f>SUM(I17:I19)</f>
        <v>3292468960.6059995</v>
      </c>
      <c r="J20" s="230">
        <f>I20/G20</f>
        <v>0.68104655490994437</v>
      </c>
      <c r="K20" s="226">
        <f>SUM(K17:K19)</f>
        <v>3292468960.6059999</v>
      </c>
      <c r="L20" s="230">
        <f>K20/G20</f>
        <v>0.68104655490994437</v>
      </c>
      <c r="M20" s="226">
        <f>SUM(M17:M19)</f>
        <v>9526394889.6055489</v>
      </c>
      <c r="N20" s="228">
        <f t="shared" si="1"/>
        <v>0.61817982000344429</v>
      </c>
    </row>
    <row r="21" spans="1:17" s="232" customFormat="1" x14ac:dyDescent="0.2">
      <c r="A21" s="199"/>
      <c r="B21" s="235"/>
      <c r="C21" s="236"/>
      <c r="D21" s="237"/>
      <c r="E21" s="237"/>
      <c r="F21" s="237"/>
      <c r="N21" s="199"/>
    </row>
    <row r="22" spans="1:17" s="232" customFormat="1" ht="15.75" x14ac:dyDescent="0.2">
      <c r="A22" s="233"/>
      <c r="B22" s="234" t="s">
        <v>1559</v>
      </c>
      <c r="C22" s="226">
        <f>C16+C20</f>
        <v>316284719185.49005</v>
      </c>
      <c r="D22" s="227">
        <v>1</v>
      </c>
      <c r="E22" s="226">
        <f>E16+E20</f>
        <v>224147939827.92444</v>
      </c>
      <c r="F22" s="228">
        <f>E22/C22</f>
        <v>0.70869038632394199</v>
      </c>
      <c r="G22" s="226">
        <f>G16+G20</f>
        <v>204378362860.81204</v>
      </c>
      <c r="H22" s="229">
        <f>G22/C22</f>
        <v>0.6461847521029026</v>
      </c>
      <c r="I22" s="226">
        <f>I16+I20</f>
        <v>182018809021.97598</v>
      </c>
      <c r="J22" s="230">
        <f>I22/G22</f>
        <v>0.89059725537549395</v>
      </c>
      <c r="K22" s="226">
        <f>K16+K20</f>
        <v>182018809021.97598</v>
      </c>
      <c r="L22" s="230">
        <f>K22/G22</f>
        <v>0.89059725537549395</v>
      </c>
      <c r="M22" s="226">
        <f>M16+M20</f>
        <v>92136779357.565582</v>
      </c>
      <c r="N22" s="228">
        <f>M22/C22</f>
        <v>0.29130961367605795</v>
      </c>
    </row>
    <row r="23" spans="1:17" s="232" customFormat="1" ht="15" x14ac:dyDescent="0.25">
      <c r="A23" s="199"/>
      <c r="B23" s="238" t="s">
        <v>1542</v>
      </c>
      <c r="C23" s="239" t="s">
        <v>1543</v>
      </c>
      <c r="D23" s="240" t="s">
        <v>1544</v>
      </c>
      <c r="E23" s="240"/>
      <c r="F23" s="240"/>
      <c r="K23" s="398"/>
      <c r="M23" s="238"/>
      <c r="N23" s="239"/>
      <c r="O23" s="240"/>
      <c r="P23" s="241"/>
      <c r="Q23" s="241"/>
    </row>
    <row r="24" spans="1:17" s="232" customFormat="1" ht="16.5" thickBot="1" x14ac:dyDescent="0.3">
      <c r="A24" s="199"/>
      <c r="B24" s="502" t="s">
        <v>1556</v>
      </c>
      <c r="C24" s="503">
        <f>C16</f>
        <v>300874324699.38007</v>
      </c>
      <c r="D24" s="242">
        <f>C24/C24</f>
        <v>1</v>
      </c>
      <c r="E24" s="242"/>
      <c r="F24" s="243"/>
      <c r="M24" s="244"/>
      <c r="N24" s="245"/>
      <c r="O24" s="243"/>
      <c r="P24" s="241"/>
      <c r="Q24" s="241"/>
    </row>
    <row r="25" spans="1:17" s="232" customFormat="1" ht="15.75" x14ac:dyDescent="0.25">
      <c r="A25" s="199"/>
      <c r="B25" s="502" t="s">
        <v>1545</v>
      </c>
      <c r="C25" s="503">
        <f>E16</f>
        <v>218263940231.41998</v>
      </c>
      <c r="D25" s="504">
        <f>C25/C24</f>
        <v>0.72543225630668018</v>
      </c>
      <c r="E25" s="582" t="s">
        <v>1550</v>
      </c>
      <c r="F25" s="583"/>
      <c r="G25" s="241"/>
      <c r="M25" s="244"/>
      <c r="N25" s="245"/>
      <c r="O25" s="246"/>
      <c r="P25" s="241"/>
      <c r="Q25" s="241"/>
    </row>
    <row r="26" spans="1:17" s="232" customFormat="1" ht="15.75" x14ac:dyDescent="0.25">
      <c r="A26" s="199"/>
      <c r="B26" s="502" t="s">
        <v>1546</v>
      </c>
      <c r="C26" s="503">
        <f>G16</f>
        <v>199543937171.60001</v>
      </c>
      <c r="D26" s="505">
        <f>C26/C24</f>
        <v>0.66321357720029861</v>
      </c>
      <c r="E26" s="584" t="s">
        <v>1551</v>
      </c>
      <c r="F26" s="585"/>
      <c r="G26" s="241"/>
      <c r="M26" s="244"/>
      <c r="N26" s="245"/>
      <c r="O26" s="247"/>
      <c r="P26" s="241"/>
      <c r="Q26" s="241"/>
    </row>
    <row r="27" spans="1:17" s="232" customFormat="1" ht="15.75" x14ac:dyDescent="0.25">
      <c r="A27" s="199"/>
      <c r="B27" s="502" t="s">
        <v>1547</v>
      </c>
      <c r="C27" s="503">
        <f>I16</f>
        <v>178726340061.37</v>
      </c>
      <c r="D27" s="505">
        <f>C27/C26</f>
        <v>0.895674118666268</v>
      </c>
      <c r="E27" s="586" t="s">
        <v>1552</v>
      </c>
      <c r="F27" s="587"/>
      <c r="G27" s="241"/>
      <c r="M27" s="244"/>
      <c r="N27" s="245"/>
      <c r="O27" s="247"/>
      <c r="P27" s="241"/>
      <c r="Q27" s="241"/>
    </row>
    <row r="28" spans="1:17" s="232" customFormat="1" ht="15.75" x14ac:dyDescent="0.25">
      <c r="A28" s="199"/>
      <c r="B28" s="502" t="s">
        <v>1548</v>
      </c>
      <c r="C28" s="503">
        <f>K16</f>
        <v>178726340061.37</v>
      </c>
      <c r="D28" s="505">
        <f>C28/C26</f>
        <v>0.895674118666268</v>
      </c>
      <c r="E28" s="588" t="s">
        <v>1553</v>
      </c>
      <c r="F28" s="589"/>
      <c r="G28" s="241"/>
      <c r="M28" s="244"/>
      <c r="N28" s="245"/>
      <c r="O28" s="247"/>
      <c r="P28" s="241"/>
      <c r="Q28" s="241"/>
    </row>
    <row r="29" spans="1:17" ht="15.75" x14ac:dyDescent="0.25">
      <c r="B29" s="506" t="s">
        <v>1549</v>
      </c>
      <c r="C29" s="503">
        <f>M16</f>
        <v>82610384467.960037</v>
      </c>
      <c r="D29" s="505">
        <f>C29/C24</f>
        <v>0.27456774369331971</v>
      </c>
      <c r="E29" s="577" t="s">
        <v>1554</v>
      </c>
      <c r="F29" s="578"/>
      <c r="G29" s="241"/>
      <c r="M29" s="248"/>
      <c r="N29" s="245"/>
      <c r="O29" s="247"/>
      <c r="P29" s="249"/>
      <c r="Q29" s="249"/>
    </row>
    <row r="30" spans="1:17" ht="15" x14ac:dyDescent="0.2">
      <c r="B30" s="507"/>
      <c r="C30" s="508"/>
      <c r="D30" s="508"/>
      <c r="E30" s="579" t="s">
        <v>1555</v>
      </c>
      <c r="F30" s="580"/>
      <c r="G30" s="241"/>
      <c r="M30" s="241"/>
      <c r="N30" s="249"/>
      <c r="O30" s="249"/>
      <c r="P30" s="249"/>
      <c r="Q30" s="249"/>
    </row>
    <row r="31" spans="1:17" x14ac:dyDescent="0.2">
      <c r="B31" s="509"/>
      <c r="C31" s="510"/>
      <c r="D31" s="511"/>
      <c r="E31" s="250"/>
      <c r="F31" s="250"/>
      <c r="G31" s="241"/>
      <c r="M31" s="241"/>
      <c r="N31" s="249"/>
      <c r="O31" s="249"/>
      <c r="P31" s="249"/>
      <c r="Q31" s="249"/>
    </row>
    <row r="32" spans="1:17" x14ac:dyDescent="0.2">
      <c r="B32" s="509"/>
      <c r="C32" s="510"/>
      <c r="D32" s="511"/>
      <c r="E32" s="250"/>
      <c r="F32" s="250"/>
      <c r="G32" s="241"/>
      <c r="M32" s="241"/>
      <c r="N32" s="249"/>
      <c r="O32" s="249"/>
      <c r="P32" s="249"/>
      <c r="Q32" s="249"/>
    </row>
    <row r="33" spans="1:17" ht="15" x14ac:dyDescent="0.2">
      <c r="B33" s="509" t="s">
        <v>1557</v>
      </c>
      <c r="C33" s="503">
        <f>C20</f>
        <v>15410394486.109999</v>
      </c>
      <c r="D33" s="242">
        <f>C33/C33</f>
        <v>1</v>
      </c>
      <c r="E33" s="250"/>
      <c r="F33" s="250"/>
      <c r="G33" s="241"/>
      <c r="M33" s="241"/>
      <c r="N33" s="249"/>
      <c r="O33" s="249"/>
      <c r="P33" s="249"/>
      <c r="Q33" s="249"/>
    </row>
    <row r="34" spans="1:17" ht="15.75" x14ac:dyDescent="0.25">
      <c r="B34" s="502" t="s">
        <v>1545</v>
      </c>
      <c r="C34" s="503">
        <f>E20</f>
        <v>5883999596.5044498</v>
      </c>
      <c r="D34" s="504">
        <f>C34/C33</f>
        <v>0.38182017999655576</v>
      </c>
      <c r="E34" s="250"/>
      <c r="F34" s="250"/>
      <c r="G34" s="241"/>
      <c r="M34" s="241"/>
      <c r="N34" s="249"/>
      <c r="O34" s="249"/>
      <c r="P34" s="249"/>
      <c r="Q34" s="249"/>
    </row>
    <row r="35" spans="1:17" ht="15.75" x14ac:dyDescent="0.25">
      <c r="B35" s="502" t="s">
        <v>1546</v>
      </c>
      <c r="C35" s="503">
        <f>G20</f>
        <v>4834425689.2120495</v>
      </c>
      <c r="D35" s="505">
        <f>C35/C33</f>
        <v>0.31371200092051565</v>
      </c>
      <c r="E35" s="250"/>
      <c r="F35" s="250"/>
      <c r="G35" s="241"/>
      <c r="M35" s="241"/>
      <c r="N35" s="249"/>
      <c r="O35" s="249"/>
      <c r="P35" s="249"/>
      <c r="Q35" s="249"/>
    </row>
    <row r="36" spans="1:17" ht="15.75" x14ac:dyDescent="0.25">
      <c r="B36" s="502" t="s">
        <v>1547</v>
      </c>
      <c r="C36" s="503">
        <f>I20</f>
        <v>3292468960.6059995</v>
      </c>
      <c r="D36" s="505">
        <f>C36/C35</f>
        <v>0.68104655490994437</v>
      </c>
      <c r="E36" s="250"/>
      <c r="F36" s="250"/>
      <c r="G36" s="241"/>
      <c r="M36" s="241"/>
      <c r="N36" s="249"/>
      <c r="O36" s="249"/>
      <c r="P36" s="249"/>
      <c r="Q36" s="249"/>
    </row>
    <row r="37" spans="1:17" ht="15.75" x14ac:dyDescent="0.25">
      <c r="B37" s="502" t="s">
        <v>1548</v>
      </c>
      <c r="C37" s="503">
        <f>K20</f>
        <v>3292468960.6059999</v>
      </c>
      <c r="D37" s="505">
        <f>C37/C35</f>
        <v>0.68104655490994437</v>
      </c>
      <c r="E37" s="250"/>
      <c r="F37" s="250"/>
      <c r="G37" s="241"/>
      <c r="M37" s="241"/>
      <c r="N37" s="249"/>
      <c r="O37" s="249"/>
      <c r="P37" s="249"/>
      <c r="Q37" s="249"/>
    </row>
    <row r="38" spans="1:17" ht="15.75" x14ac:dyDescent="0.25">
      <c r="B38" s="506" t="s">
        <v>1549</v>
      </c>
      <c r="C38" s="503">
        <f>M20</f>
        <v>9526394889.6055489</v>
      </c>
      <c r="D38" s="505">
        <f>C38/C33</f>
        <v>0.61817982000344429</v>
      </c>
      <c r="E38" s="250"/>
      <c r="F38" s="250"/>
      <c r="G38" s="241"/>
      <c r="M38" s="241"/>
      <c r="N38" s="249"/>
      <c r="O38" s="249"/>
      <c r="P38" s="249"/>
      <c r="Q38" s="249"/>
    </row>
    <row r="39" spans="1:17" x14ac:dyDescent="0.2">
      <c r="B39" s="509"/>
      <c r="C39" s="510"/>
      <c r="D39" s="510"/>
      <c r="E39" s="237"/>
      <c r="F39" s="237"/>
      <c r="G39" s="241"/>
      <c r="M39" s="241"/>
      <c r="N39" s="249"/>
      <c r="O39" s="249"/>
      <c r="P39" s="249"/>
      <c r="Q39" s="249"/>
    </row>
    <row r="40" spans="1:17" s="232" customFormat="1" x14ac:dyDescent="0.2">
      <c r="A40" s="199"/>
      <c r="B40" s="509"/>
      <c r="C40" s="510"/>
      <c r="D40" s="510"/>
      <c r="E40" s="237"/>
      <c r="F40" s="237"/>
      <c r="G40" s="241"/>
      <c r="N40" s="199"/>
      <c r="O40" s="199"/>
      <c r="P40" s="199"/>
      <c r="Q40" s="199"/>
    </row>
    <row r="41" spans="1:17" s="232" customFormat="1" x14ac:dyDescent="0.2">
      <c r="A41" s="199"/>
      <c r="B41" s="507"/>
      <c r="C41" s="508"/>
      <c r="D41" s="508"/>
      <c r="E41" s="241"/>
      <c r="F41" s="241"/>
      <c r="G41" s="241"/>
      <c r="N41" s="199"/>
      <c r="O41" s="199"/>
      <c r="P41" s="199"/>
      <c r="Q41" s="199"/>
    </row>
    <row r="42" spans="1:17" x14ac:dyDescent="0.2">
      <c r="B42" s="507"/>
      <c r="C42" s="508"/>
      <c r="D42" s="508"/>
      <c r="E42" s="241"/>
      <c r="F42" s="241"/>
      <c r="G42" s="241"/>
    </row>
    <row r="43" spans="1:17" x14ac:dyDescent="0.2">
      <c r="B43" s="507"/>
      <c r="C43" s="508"/>
      <c r="D43" s="508"/>
      <c r="E43" s="241"/>
      <c r="F43" s="241"/>
      <c r="G43" s="241"/>
    </row>
    <row r="44" spans="1:17" x14ac:dyDescent="0.2">
      <c r="B44" s="507"/>
      <c r="C44" s="508"/>
      <c r="D44" s="508"/>
      <c r="E44" s="241"/>
      <c r="F44" s="241"/>
      <c r="G44" s="241"/>
    </row>
    <row r="45" spans="1:17" x14ac:dyDescent="0.2">
      <c r="B45" s="507"/>
      <c r="C45" s="508"/>
      <c r="D45" s="508"/>
      <c r="E45" s="241"/>
      <c r="F45" s="241"/>
      <c r="G45" s="241"/>
    </row>
    <row r="46" spans="1:17" x14ac:dyDescent="0.2">
      <c r="B46" s="507"/>
      <c r="C46" s="508"/>
      <c r="D46" s="508"/>
      <c r="E46" s="241"/>
      <c r="F46" s="241"/>
      <c r="G46" s="241"/>
    </row>
    <row r="47" spans="1:17" ht="15" x14ac:dyDescent="0.2">
      <c r="B47" s="509" t="s">
        <v>1558</v>
      </c>
      <c r="C47" s="503">
        <f>C22</f>
        <v>316284719185.49005</v>
      </c>
      <c r="D47" s="242">
        <f>C47/C47</f>
        <v>1</v>
      </c>
      <c r="E47" s="241"/>
      <c r="F47" s="241"/>
      <c r="G47" s="241"/>
    </row>
    <row r="48" spans="1:17" ht="15.75" x14ac:dyDescent="0.25">
      <c r="B48" s="502" t="s">
        <v>1545</v>
      </c>
      <c r="C48" s="503">
        <f>E22</f>
        <v>224147939827.92444</v>
      </c>
      <c r="D48" s="504">
        <f>C48/C47</f>
        <v>0.70869038632394199</v>
      </c>
      <c r="E48" s="241"/>
      <c r="F48" s="241"/>
      <c r="G48" s="241"/>
    </row>
    <row r="49" spans="2:7" ht="15.75" x14ac:dyDescent="0.25">
      <c r="B49" s="502" t="s">
        <v>1546</v>
      </c>
      <c r="C49" s="503">
        <f>G22</f>
        <v>204378362860.81204</v>
      </c>
      <c r="D49" s="505">
        <f>C49/C47</f>
        <v>0.6461847521029026</v>
      </c>
      <c r="E49" s="241"/>
      <c r="F49" s="241"/>
      <c r="G49" s="241"/>
    </row>
    <row r="50" spans="2:7" ht="15.75" x14ac:dyDescent="0.25">
      <c r="B50" s="502" t="s">
        <v>1547</v>
      </c>
      <c r="C50" s="503">
        <f>I22</f>
        <v>182018809021.97598</v>
      </c>
      <c r="D50" s="505">
        <f>C50/C49</f>
        <v>0.89059725537549395</v>
      </c>
      <c r="E50" s="241"/>
      <c r="F50" s="241"/>
      <c r="G50" s="241"/>
    </row>
    <row r="51" spans="2:7" ht="15.75" x14ac:dyDescent="0.25">
      <c r="B51" s="502" t="s">
        <v>1548</v>
      </c>
      <c r="C51" s="503">
        <f>K22</f>
        <v>182018809021.97598</v>
      </c>
      <c r="D51" s="505">
        <f>C51/C49</f>
        <v>0.89059725537549395</v>
      </c>
      <c r="E51" s="241"/>
      <c r="F51" s="241"/>
      <c r="G51" s="241"/>
    </row>
    <row r="52" spans="2:7" ht="15.75" x14ac:dyDescent="0.25">
      <c r="B52" s="506" t="s">
        <v>1549</v>
      </c>
      <c r="C52" s="503">
        <f>M22</f>
        <v>92136779357.565582</v>
      </c>
      <c r="D52" s="505">
        <f>C52/C47</f>
        <v>0.29130961367605795</v>
      </c>
      <c r="E52" s="241"/>
      <c r="F52" s="241"/>
      <c r="G52" s="241"/>
    </row>
    <row r="53" spans="2:7" x14ac:dyDescent="0.2">
      <c r="C53" s="241"/>
      <c r="D53" s="241"/>
      <c r="E53" s="241"/>
      <c r="F53" s="241"/>
      <c r="G53" s="241"/>
    </row>
    <row r="54" spans="2:7" x14ac:dyDescent="0.2">
      <c r="C54" s="241"/>
      <c r="D54" s="241"/>
      <c r="E54" s="241"/>
      <c r="F54" s="241"/>
      <c r="G54" s="241"/>
    </row>
    <row r="55" spans="2:7" x14ac:dyDescent="0.2">
      <c r="C55" s="241"/>
      <c r="D55" s="241"/>
      <c r="E55" s="241"/>
      <c r="F55" s="241"/>
      <c r="G55" s="241"/>
    </row>
    <row r="56" spans="2:7" x14ac:dyDescent="0.2">
      <c r="C56" s="241"/>
      <c r="D56" s="241"/>
      <c r="E56" s="241"/>
      <c r="F56" s="241"/>
      <c r="G56" s="241"/>
    </row>
    <row r="57" spans="2:7" x14ac:dyDescent="0.2">
      <c r="B57" s="199"/>
      <c r="C57" s="241"/>
      <c r="D57" s="241"/>
      <c r="E57" s="241"/>
      <c r="F57" s="241"/>
      <c r="G57" s="241"/>
    </row>
    <row r="58" spans="2:7" x14ac:dyDescent="0.2">
      <c r="B58" s="199"/>
      <c r="C58" s="241"/>
      <c r="D58" s="241"/>
      <c r="E58" s="241"/>
      <c r="F58" s="241"/>
      <c r="G58" s="241"/>
    </row>
    <row r="59" spans="2:7" x14ac:dyDescent="0.2">
      <c r="B59" s="199"/>
      <c r="C59" s="241"/>
      <c r="D59" s="241"/>
      <c r="E59" s="241"/>
      <c r="F59" s="241"/>
      <c r="G59" s="241"/>
    </row>
    <row r="60" spans="2:7" x14ac:dyDescent="0.2">
      <c r="B60" s="199"/>
      <c r="C60" s="241"/>
      <c r="D60" s="241"/>
      <c r="E60" s="241"/>
      <c r="F60" s="241"/>
      <c r="G60" s="241"/>
    </row>
    <row r="61" spans="2:7" x14ac:dyDescent="0.2">
      <c r="B61" s="199"/>
      <c r="C61" s="241"/>
      <c r="D61" s="241"/>
      <c r="E61" s="241"/>
      <c r="F61" s="241"/>
      <c r="G61" s="241"/>
    </row>
    <row r="62" spans="2:7" x14ac:dyDescent="0.2">
      <c r="B62" s="199"/>
      <c r="C62" s="241"/>
      <c r="D62" s="241"/>
      <c r="E62" s="241"/>
      <c r="F62" s="241"/>
      <c r="G62" s="241"/>
    </row>
    <row r="63" spans="2:7" x14ac:dyDescent="0.2">
      <c r="C63" s="241"/>
      <c r="D63" s="241"/>
      <c r="E63" s="241"/>
      <c r="F63" s="241"/>
      <c r="G63" s="241"/>
    </row>
    <row r="64" spans="2:7" x14ac:dyDescent="0.2">
      <c r="C64" s="241"/>
      <c r="D64" s="241"/>
      <c r="E64" s="241"/>
      <c r="F64" s="241"/>
      <c r="G64" s="241"/>
    </row>
    <row r="65" spans="1:17" x14ac:dyDescent="0.2">
      <c r="C65" s="241"/>
      <c r="D65" s="241"/>
      <c r="E65" s="241"/>
      <c r="F65" s="241"/>
      <c r="G65" s="241"/>
    </row>
    <row r="66" spans="1:17" x14ac:dyDescent="0.2">
      <c r="C66" s="241"/>
      <c r="D66" s="241"/>
      <c r="E66" s="241"/>
      <c r="F66" s="241"/>
      <c r="G66" s="241"/>
    </row>
    <row r="67" spans="1:17" x14ac:dyDescent="0.2">
      <c r="C67" s="241"/>
      <c r="D67" s="241"/>
      <c r="E67" s="241"/>
      <c r="F67" s="241"/>
      <c r="G67" s="241"/>
    </row>
    <row r="68" spans="1:17" x14ac:dyDescent="0.2">
      <c r="C68" s="241"/>
      <c r="D68" s="241"/>
      <c r="E68" s="241"/>
      <c r="F68" s="241"/>
      <c r="G68" s="241"/>
    </row>
    <row r="69" spans="1:17" x14ac:dyDescent="0.2">
      <c r="C69" s="241"/>
      <c r="D69" s="241"/>
      <c r="E69" s="241"/>
      <c r="F69" s="241"/>
      <c r="G69" s="241"/>
    </row>
    <row r="71" spans="1:17" s="232" customFormat="1" x14ac:dyDescent="0.2">
      <c r="A71" s="199"/>
      <c r="B71" s="235"/>
      <c r="N71" s="199"/>
      <c r="O71" s="199"/>
      <c r="P71" s="199"/>
      <c r="Q71" s="199"/>
    </row>
    <row r="72" spans="1:17" s="232" customFormat="1" x14ac:dyDescent="0.2">
      <c r="N72" s="199"/>
      <c r="O72" s="199"/>
      <c r="P72" s="199"/>
      <c r="Q72" s="199"/>
    </row>
    <row r="73" spans="1:17" s="232" customFormat="1" x14ac:dyDescent="0.2">
      <c r="N73" s="199"/>
      <c r="O73" s="199"/>
      <c r="P73" s="199"/>
      <c r="Q73" s="199"/>
    </row>
    <row r="74" spans="1:17" s="232" customFormat="1" x14ac:dyDescent="0.2">
      <c r="N74" s="199"/>
      <c r="O74" s="199"/>
      <c r="P74" s="199"/>
      <c r="Q74" s="199"/>
    </row>
    <row r="75" spans="1:17" s="232" customFormat="1" x14ac:dyDescent="0.2">
      <c r="N75" s="199"/>
      <c r="O75" s="199"/>
      <c r="P75" s="199"/>
      <c r="Q75" s="199"/>
    </row>
    <row r="76" spans="1:17" s="232" customFormat="1" x14ac:dyDescent="0.2">
      <c r="N76" s="199"/>
      <c r="O76" s="199"/>
      <c r="P76" s="199"/>
      <c r="Q76" s="199"/>
    </row>
    <row r="77" spans="1:17" s="232" customFormat="1" x14ac:dyDescent="0.2">
      <c r="N77" s="199"/>
      <c r="O77" s="199"/>
      <c r="P77" s="199"/>
      <c r="Q77" s="199"/>
    </row>
  </sheetData>
  <sheetProtection algorithmName="SHA-512" hashValue="BrivVhBqRQoP75bWoha0RJlpUO4/ORNbfpfFIDxOM6+kt7ah8wa8P9VHhnoMN6fqsngUGxYKaREuSbbqmf+AVA==" saltValue="nFNTponLH0V7QaWhCVCTcA==" spinCount="100000" sheet="1" objects="1" scenarios="1"/>
  <mergeCells count="7">
    <mergeCell ref="E30:F30"/>
    <mergeCell ref="A1:N1"/>
    <mergeCell ref="E25:F25"/>
    <mergeCell ref="E26:F26"/>
    <mergeCell ref="E27:F27"/>
    <mergeCell ref="E28:F28"/>
    <mergeCell ref="E29:F29"/>
  </mergeCells>
  <conditionalFormatting sqref="H3">
    <cfRule type="cellIs" dxfId="29" priority="26" operator="between">
      <formula>0</formula>
      <formula>0.3999</formula>
    </cfRule>
    <cfRule type="cellIs" dxfId="28" priority="27" operator="between">
      <formula>0.4</formula>
      <formula>0.59</formula>
    </cfRule>
    <cfRule type="cellIs" dxfId="27" priority="28" operator="between">
      <formula>0.6</formula>
      <formula>0.69</formula>
    </cfRule>
    <cfRule type="cellIs" dxfId="26" priority="29" operator="between">
      <formula>0.7</formula>
      <formula>0.79</formula>
    </cfRule>
    <cfRule type="cellIs" dxfId="25" priority="30" operator="between">
      <formula>0.8</formula>
      <formula>1</formula>
    </cfRule>
  </conditionalFormatting>
  <conditionalFormatting sqref="H4:H15">
    <cfRule type="cellIs" dxfId="24" priority="21" operator="between">
      <formula>0</formula>
      <formula>0.3999</formula>
    </cfRule>
    <cfRule type="cellIs" dxfId="23" priority="22" operator="between">
      <formula>0.4</formula>
      <formula>0.59</formula>
    </cfRule>
    <cfRule type="cellIs" dxfId="22" priority="23" operator="between">
      <formula>0.6</formula>
      <formula>0.695</formula>
    </cfRule>
    <cfRule type="cellIs" dxfId="21" priority="24" operator="between">
      <formula>0.695</formula>
      <formula>0.7949</formula>
    </cfRule>
    <cfRule type="cellIs" dxfId="20" priority="25" operator="between">
      <formula>0.8</formula>
      <formula>1</formula>
    </cfRule>
  </conditionalFormatting>
  <conditionalFormatting sqref="H16">
    <cfRule type="cellIs" dxfId="19" priority="16" operator="between">
      <formula>0</formula>
      <formula>0.3999</formula>
    </cfRule>
    <cfRule type="cellIs" dxfId="18" priority="17" operator="between">
      <formula>0.4</formula>
      <formula>0.59</formula>
    </cfRule>
    <cfRule type="cellIs" dxfId="17" priority="18" operator="between">
      <formula>0.595</formula>
      <formula>0.6949</formula>
    </cfRule>
    <cfRule type="cellIs" dxfId="16" priority="19" operator="between">
      <formula>0.7</formula>
      <formula>0.79</formula>
    </cfRule>
    <cfRule type="cellIs" dxfId="15" priority="20" operator="between">
      <formula>0.8</formula>
      <formula>1</formula>
    </cfRule>
  </conditionalFormatting>
  <conditionalFormatting sqref="H17:H19">
    <cfRule type="cellIs" dxfId="14" priority="11" operator="between">
      <formula>0</formula>
      <formula>0.3999</formula>
    </cfRule>
    <cfRule type="cellIs" dxfId="13" priority="12" operator="between">
      <formula>0.4</formula>
      <formula>0.59</formula>
    </cfRule>
    <cfRule type="cellIs" dxfId="12" priority="13" operator="between">
      <formula>0.6</formula>
      <formula>0.695</formula>
    </cfRule>
    <cfRule type="cellIs" dxfId="11" priority="14" operator="between">
      <formula>0.695</formula>
      <formula>0.7949</formula>
    </cfRule>
    <cfRule type="cellIs" dxfId="10" priority="15" operator="between">
      <formula>0.8</formula>
      <formula>1</formula>
    </cfRule>
  </conditionalFormatting>
  <conditionalFormatting sqref="H20">
    <cfRule type="cellIs" dxfId="9" priority="6" operator="between">
      <formula>0</formula>
      <formula>0.3999</formula>
    </cfRule>
    <cfRule type="cellIs" dxfId="8" priority="7" operator="between">
      <formula>0.4</formula>
      <formula>0.59</formula>
    </cfRule>
    <cfRule type="cellIs" dxfId="7" priority="8" operator="between">
      <formula>0.595</formula>
      <formula>0.6949</formula>
    </cfRule>
    <cfRule type="cellIs" dxfId="6" priority="9" operator="between">
      <formula>0.7</formula>
      <formula>0.79</formula>
    </cfRule>
    <cfRule type="cellIs" dxfId="5" priority="10" operator="between">
      <formula>0.8</formula>
      <formula>1</formula>
    </cfRule>
  </conditionalFormatting>
  <conditionalFormatting sqref="H22">
    <cfRule type="cellIs" dxfId="4" priority="1" operator="between">
      <formula>0</formula>
      <formula>0.3999</formula>
    </cfRule>
    <cfRule type="cellIs" dxfId="3" priority="2" operator="between">
      <formula>0.4</formula>
      <formula>0.59</formula>
    </cfRule>
    <cfRule type="cellIs" dxfId="2" priority="3" operator="between">
      <formula>0.595</formula>
      <formula>0.6949</formula>
    </cfRule>
    <cfRule type="cellIs" dxfId="1" priority="4" operator="between">
      <formula>0.7</formula>
      <formula>0.79</formula>
    </cfRule>
    <cfRule type="cellIs" dxfId="0" priority="5" operator="between">
      <formula>0.8</formula>
      <formula>1</formula>
    </cfRule>
  </conditionalFormatting>
  <pageMargins left="0.7" right="0.7" top="0.75" bottom="0.75" header="0.3" footer="0.3"/>
  <pageSetup orientation="portrait"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SGTO POAI -SEPTIEMBRE-2021</vt:lpstr>
      <vt:lpstr>RESUMEN POR UNIDAD</vt:lpstr>
      <vt:lpstr>UNIDADES + FUENTE</vt:lpstr>
      <vt:lpstr>PROGRAMAS</vt:lpstr>
      <vt:lpstr>EJE ESTRATEGICO</vt:lpstr>
      <vt:lpstr>PROYECTOS</vt:lpstr>
      <vt:lpstr>CONSOLIDADO UNIDADES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Lucia</dc:creator>
  <cp:lastModifiedBy>AUXPLANEACION03</cp:lastModifiedBy>
  <cp:revision/>
  <dcterms:created xsi:type="dcterms:W3CDTF">2020-08-12T15:20:51Z</dcterms:created>
  <dcterms:modified xsi:type="dcterms:W3CDTF">2021-11-10T14:20:54Z</dcterms:modified>
</cp:coreProperties>
</file>